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1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 zał.10" sheetId="10" r:id="rId10"/>
    <sheet name="zał.11" sheetId="11" r:id="rId11"/>
  </sheets>
  <definedNames>
    <definedName name="_xlnm.Print_Area" localSheetId="0">'zał.1'!$A$1:$P$151</definedName>
    <definedName name="_xlnm.Print_Area" localSheetId="1">'zał.2'!$A$1:$G$46</definedName>
    <definedName name="_xlnm.Print_Area" localSheetId="4">'zał.5'!$A$1:$F$56</definedName>
    <definedName name="_xlnm.Print_Area" localSheetId="5">'zał.6'!$A$1:$X$396</definedName>
    <definedName name="_xlnm.Print_Titles" localSheetId="9">' zał.10'!$7:$9</definedName>
    <definedName name="_xlnm.Print_Titles" localSheetId="0">'zał.1'!$7:$11</definedName>
    <definedName name="_xlnm.Print_Titles" localSheetId="1">'zał.2'!$7:$8</definedName>
    <definedName name="_xlnm.Print_Titles" localSheetId="2">'zał.3'!$7:$11</definedName>
    <definedName name="_xlnm.Print_Titles" localSheetId="3">'zał.4'!$7:$9</definedName>
    <definedName name="_xlnm.Print_Titles" localSheetId="5">'zał.6'!$7:$13</definedName>
    <definedName name="_xlnm.Print_Titles" localSheetId="6">'zał.7'!$8:$12</definedName>
    <definedName name="_xlnm.Print_Titles" localSheetId="7">'zał.8'!$6:$9</definedName>
    <definedName name="_xlnm.Print_Titles" localSheetId="8">'zał.9'!$7:$10</definedName>
  </definedNames>
  <calcPr fullCalcOnLoad="1"/>
</workbook>
</file>

<file path=xl/sharedStrings.xml><?xml version="1.0" encoding="utf-8"?>
<sst xmlns="http://schemas.openxmlformats.org/spreadsheetml/2006/main" count="4390" uniqueCount="958">
  <si>
    <t>w złotych</t>
  </si>
  <si>
    <t>Dział</t>
  </si>
  <si>
    <t>§</t>
  </si>
  <si>
    <t>Treść</t>
  </si>
  <si>
    <t xml:space="preserve">Plan na </t>
  </si>
  <si>
    <t>Zwiększenie</t>
  </si>
  <si>
    <t>Zmniejszenie</t>
  </si>
  <si>
    <t>Plan po</t>
  </si>
  <si>
    <t>Rozdział</t>
  </si>
  <si>
    <t>zmianach</t>
  </si>
  <si>
    <t>1.</t>
  </si>
  <si>
    <t>2.</t>
  </si>
  <si>
    <t>3.</t>
  </si>
  <si>
    <t>4.</t>
  </si>
  <si>
    <t>5.</t>
  </si>
  <si>
    <t>6.</t>
  </si>
  <si>
    <t>7.</t>
  </si>
  <si>
    <t>WYDATKI OGÓŁEM</t>
  </si>
  <si>
    <t>*</t>
  </si>
  <si>
    <t>OGÓŁEM</t>
  </si>
  <si>
    <t>a</t>
  </si>
  <si>
    <t>b</t>
  </si>
  <si>
    <t>c</t>
  </si>
  <si>
    <t>010</t>
  </si>
  <si>
    <t>ROLNICTWO I ŁOWIECTWO</t>
  </si>
  <si>
    <t>01008</t>
  </si>
  <si>
    <t>01042</t>
  </si>
  <si>
    <t>600</t>
  </si>
  <si>
    <t>TRANSPORT I ŁĄCZNOŚĆ</t>
  </si>
  <si>
    <t>60001</t>
  </si>
  <si>
    <t>60002</t>
  </si>
  <si>
    <t>60013</t>
  </si>
  <si>
    <t>700</t>
  </si>
  <si>
    <t>GOSPODARKA MIESZKANIOWA</t>
  </si>
  <si>
    <t>70005</t>
  </si>
  <si>
    <t>710</t>
  </si>
  <si>
    <t>DZIAŁALNOŚĆ USŁUGOWA</t>
  </si>
  <si>
    <t>71003</t>
  </si>
  <si>
    <t>750</t>
  </si>
  <si>
    <t>ADMINISTRACJA PUBLICZNA</t>
  </si>
  <si>
    <t>75018</t>
  </si>
  <si>
    <t>801</t>
  </si>
  <si>
    <t>OŚWIATA I WYCHOWANIE</t>
  </si>
  <si>
    <t>80147</t>
  </si>
  <si>
    <t>851</t>
  </si>
  <si>
    <t>OCHRONA ZDROWIA</t>
  </si>
  <si>
    <t>POMOC SPOŁECZNA</t>
  </si>
  <si>
    <t>POZOSTAŁE ZADANIA W ZAKRESIE POLITYKI SPOŁECZNEJ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</si>
  <si>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</si>
  <si>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</si>
  <si>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</si>
  <si>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a - plan przed zmianą </t>
  </si>
  <si>
    <t>b - saldo zmian</t>
  </si>
  <si>
    <t>c - plan po zmianach</t>
  </si>
  <si>
    <t>Lp</t>
  </si>
  <si>
    <t>x</t>
  </si>
  <si>
    <t>852</t>
  </si>
  <si>
    <t>853</t>
  </si>
  <si>
    <t>900</t>
  </si>
  <si>
    <t>71012</t>
  </si>
  <si>
    <t>925</t>
  </si>
  <si>
    <t>85332</t>
  </si>
  <si>
    <t>854</t>
  </si>
  <si>
    <t>EDUKACYJNA OPIEKA WYCHOWAWCZA</t>
  </si>
  <si>
    <t>60016</t>
  </si>
  <si>
    <t xml:space="preserve">2017 r. </t>
  </si>
  <si>
    <r>
      <t xml:space="preserve">W załączniku </t>
    </r>
    <r>
      <rPr>
        <b/>
        <sz val="10"/>
        <rFont val="Times New Roman"/>
        <family val="1"/>
      </rPr>
      <t>nr 3 "Wydatki budżetu Województwa Kujawsko-Pomorskiego wg grup wydatków. Plan na 2017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XXVIII/475/16 Sejmiku Województwa Kujawsko-Pomorskiego z dnia 19 grudnia 2016 roku w sprawie budżetu województwa na rok 2017 (z poźn. zm.), wprowadza się następujące zmiany:</t>
    </r>
  </si>
  <si>
    <r>
      <t xml:space="preserve">W załączniku </t>
    </r>
    <r>
      <rPr>
        <b/>
        <sz val="10"/>
        <rFont val="Times New Roman"/>
        <family val="1"/>
      </rPr>
      <t>nr 10 "Zadania z zakresu administracji rządowej zlecone ustawami Samorządowi Województwa. Plan na 2017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XXVIII/475/16 Sejmiku Województwa Kujawsko-Pomorskiego z dnia 19 grudnia 2016 roku w sprawie budżetu województwa na rok 2017 (z późn. zm.), wprowadza się następujące zmiany:</t>
    </r>
  </si>
  <si>
    <t>Nazwa zadania inwestycyjnego</t>
  </si>
  <si>
    <t>Okres realizacji</t>
  </si>
  <si>
    <t>Ogólny koszt zadania</t>
  </si>
  <si>
    <t>Przewidywane nakłady poniesione do końca 2016 r.</t>
  </si>
  <si>
    <t>Planowane wydatki</t>
  </si>
  <si>
    <t>Jednostka organizacyjna realizująca zadanie lub koordynująca wykonanie zadania</t>
  </si>
  <si>
    <t>na rok budżetowy 2017</t>
  </si>
  <si>
    <t>z tego źródła finansowania:</t>
  </si>
  <si>
    <t>środki własne Województwa</t>
  </si>
  <si>
    <t>dotacje</t>
  </si>
  <si>
    <t>środki zagraniczne</t>
  </si>
  <si>
    <t>I</t>
  </si>
  <si>
    <t>Inwestycje jednoroczne</t>
  </si>
  <si>
    <t>Budowa i utrzymanie urządzeń melioracji wodnych</t>
  </si>
  <si>
    <t>Kujawsko-Pomorski Zarząd Melioracji i Urządzeń Wodnych we Włocławku</t>
  </si>
  <si>
    <t>Budowa i modernizacja dróg dojazdowych do gruntów rolnych oraz rekultywacja i poprawa jakości gruntów rolnych</t>
  </si>
  <si>
    <t>Urząd Marszałkowski w Toruniu</t>
  </si>
  <si>
    <t>Zakup sprzętu komputerowego</t>
  </si>
  <si>
    <t>Budowa wiaduktów i przystanków kolejowych w bydgosko-toruńskim obszarze metropolitalnym - wydatki niekwalifikowalne</t>
  </si>
  <si>
    <t>Modernizacja dróg</t>
  </si>
  <si>
    <t>Zarząd Dróg Wojewódzkich w Bydgoszczy</t>
  </si>
  <si>
    <t>Wykup gruntu</t>
  </si>
  <si>
    <t>Drogowa Inicjatywa Samorządowa</t>
  </si>
  <si>
    <t>Przebudowa mostu w ciągu drogi wojewódzkiej Nr 538 w km 14+391 w m. Słup</t>
  </si>
  <si>
    <t xml:space="preserve">Zakup oprogramowania </t>
  </si>
  <si>
    <t>Kujawsko-Pomorskie Biuro Planowania Przestrzennego i Regionalnego we Włocławku</t>
  </si>
  <si>
    <t>Zakup sprzętu informatycznego</t>
  </si>
  <si>
    <t>Zakupy inwestycyjne</t>
  </si>
  <si>
    <t>Modernizacja wentylacji</t>
  </si>
  <si>
    <t>Biblioteka Pedagogiczna w Toruniu</t>
  </si>
  <si>
    <t>85217</t>
  </si>
  <si>
    <t>Zakup urządzeń biurowych i komputerowych</t>
  </si>
  <si>
    <t>Regionalny Ośrodek Polityki Społecznej w Toruniu</t>
  </si>
  <si>
    <t>85324</t>
  </si>
  <si>
    <t>Wojewódzki Urząd Pracy w Toruniu</t>
  </si>
  <si>
    <t>85403</t>
  </si>
  <si>
    <t>Modernizacja furtek wejściowych</t>
  </si>
  <si>
    <t>Specjalny Ośrodek Szkolno-Wychowawczy Nr 2 dla Dzieci i Młodzieży Słabo Słyszącej i Niesłyszącej w Bydgoszczy</t>
  </si>
  <si>
    <t>Specjalny Ośrodek Szkolno-Wychowawczy Nr 2 dla Dzieci i Młodzieży Słabo Słyszącej i Niesłyszącej w Bydgoszczy - Budowa windy dla osób niepełnosprawnych</t>
  </si>
  <si>
    <t>90019</t>
  </si>
  <si>
    <t>90095</t>
  </si>
  <si>
    <t>Zakup sprzętu komputerowego i oprogramowania w ramach zadania "Popularyzacja i propagowanie działań w zakresie ochrony środowiska"</t>
  </si>
  <si>
    <t>92502</t>
  </si>
  <si>
    <t>Zakupy inwestycyjne w ramach zadania "Parki krajobrazowe - pozostałe zadania z zakresu ochrony przyrody</t>
  </si>
  <si>
    <t>Gostynińsko-Włocławski Park Krajobrazowy</t>
  </si>
  <si>
    <t>RAZEM</t>
  </si>
  <si>
    <t>II</t>
  </si>
  <si>
    <t>Inwestycje wieloletnie</t>
  </si>
  <si>
    <t>Zakup, modernizacja oraz naprawa pojazdów kolejowych (2016-2020)</t>
  </si>
  <si>
    <t>2016-2020</t>
  </si>
  <si>
    <t>Przeprawa promowa w ciągu drogi wojewódzkiej Nr 249 łączącej Solec Kujawski z Czarnowem</t>
  </si>
  <si>
    <t>2013-2017</t>
  </si>
  <si>
    <t xml:space="preserve">Zarząd Dróg Wojewódzkich w Bydgoszczy </t>
  </si>
  <si>
    <t>Modernizacja dróg wojewódzkich, grupa III - Kujawsko-pomorskiego planu spójności komunikacji drogowej i kolejowej 2014-2020</t>
  </si>
  <si>
    <t>2017-2027</t>
  </si>
  <si>
    <t>Budowa promu z napędem bocznokołowym do przeprawy promowej przez Wisłę w ciągu drogi wojewódzkiej Nr 249 łączącej Solec Kujawski z Czarnowem</t>
  </si>
  <si>
    <t>2016-2018</t>
  </si>
  <si>
    <t>Opracowanie dokumentacji projektowej dla przebudowy drogi wojewódzkiej Nr 244 Kamieniec-Strzelce Dolne m. Żołędowo, ul. Jastrzębia od km 30+068 do km 33+342, dł. 3,274 km</t>
  </si>
  <si>
    <t>2016-2017</t>
  </si>
  <si>
    <t>Opracowanie dokumentacji projektowej dla sieci dróg wojewódzkich</t>
  </si>
  <si>
    <t>Przebudowa dróg gminnych, tj. ul. Kościuszki, ul. Plac 1 Maja, ul. 5 Stycznia, ul. Łabędzkiego i ul. Bydgoskiej wraz z przebudową przepustu w ciągu drogi gminnej, tj. ul. Bydgoskiej w mieście Mrocza - wsparcie finansowe</t>
  </si>
  <si>
    <t>Dokumentacje projektowe</t>
  </si>
  <si>
    <t>2014-2017</t>
  </si>
  <si>
    <t>Nabycie nieruchomości położonych w miejscowości Biała, gmina Tuchola oraz w Tucholi przy ul. Podgórnej 3</t>
  </si>
  <si>
    <t>Modernizacja nieruchomości w Toruniu przy ul. Św. Jakuba 3-5, Wola Zamkowa 8-10, 10A i 12A (rozliczenie z użytkownikiem)</t>
  </si>
  <si>
    <t>2016-2031</t>
  </si>
  <si>
    <t>Rozbudowa budynku Urzędu Marszałkowskiego</t>
  </si>
  <si>
    <t>2009-2018</t>
  </si>
  <si>
    <t>85111</t>
  </si>
  <si>
    <t>Zakup ambulansów dla zespołów ratownictwa medycznego wraz z wyposażeniem medycznym w formie leasingu dla potrzeb Wojewódzkiego Szpitala Zespolonego w Toruniu</t>
  </si>
  <si>
    <t>2015-2019</t>
  </si>
  <si>
    <t>Wojewódzki Szpital Zespolony w Toruniu</t>
  </si>
  <si>
    <t>Zakup ambulansów dla zespołów ratownictwa medycznego wraz z wyposażeniem medycznym w formie leasingu przez Wojewódzki Szpital Specjalistyczny we Włocławku</t>
  </si>
  <si>
    <t>Wojewódzki Szpital Specjalistyczny we Włocławku</t>
  </si>
  <si>
    <t>85141</t>
  </si>
  <si>
    <t>Zakup ambulansów w formie leasingu przez Wojewódzką Stację Pogotowia Ratunkowego w Bydgoszczy</t>
  </si>
  <si>
    <t>Wojewódzka Stacja Pogotowia Ratunkowego w Bydgoszczy</t>
  </si>
  <si>
    <t>Przebudowa budynku przy ul. Bartkiewiczówny 93 w Toruniu</t>
  </si>
  <si>
    <t>Rozbudowa Specjalnego Ośrodka Szkolno-Wychowawczego im. Korczaka w Toruniu</t>
  </si>
  <si>
    <t>921</t>
  </si>
  <si>
    <t>92106</t>
  </si>
  <si>
    <t>Modernizacja Opery NOVA w Bydgoszczy</t>
  </si>
  <si>
    <t>Opera NOVA w Bydgoszczy</t>
  </si>
  <si>
    <t>Przebudowa i remont konserwatorski budynku Pałacu Dąmbskich w Toruniu</t>
  </si>
  <si>
    <t>2015-2022</t>
  </si>
  <si>
    <t>Kujawsko-Pomorski Impresaryjny Teatr Muzyczny w Toruniu</t>
  </si>
  <si>
    <t>92108</t>
  </si>
  <si>
    <t>Rozbudowa i remont Filharmonii Pomorskiej w Bydgoszczy - I etap: Przebudowa i remont wraz z zakupem wyposażenia</t>
  </si>
  <si>
    <t>Filharmonia Pomorska w Bydgoszczy</t>
  </si>
  <si>
    <t>92116</t>
  </si>
  <si>
    <t>Rozbudowa i dostosowanie budynku Wojewódzkiej Biblioteki Publicznej-Książnicy Kopernikańskiej w Toruniu do nowych funkcji użytkowych</t>
  </si>
  <si>
    <t>Wojewódzka Biblioteka Publiczna-Książnica Kopernikańska w Toruniu</t>
  </si>
  <si>
    <t>92118</t>
  </si>
  <si>
    <t>Modernizacja i rozbudowa Muzeum Historii Włocławka</t>
  </si>
  <si>
    <t>2014-2018</t>
  </si>
  <si>
    <t>Muzeum Ziemi Kujawskiej i Dobrzyńskiej we Włocławku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</si>
  <si>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</si>
  <si>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</si>
  <si>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</si>
  <si>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</si>
  <si>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</si>
  <si>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r>
      <t xml:space="preserve">W załączniku </t>
    </r>
    <r>
      <rPr>
        <b/>
        <sz val="10"/>
        <rFont val="Times New Roman"/>
        <family val="1"/>
      </rPr>
      <t>nr 8 "Wydatki na zadania inwestycyjne. Plan na 2017 rok"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do uchwały Nr XXVIII/475/16 Sejmiku Województwa Kujawsko-Pomorskiego z dnia 19 grudnia 2016 roku w sprawie budżetu województwa na rok 2017, wprowadza się następujące zmiany:</t>
    </r>
  </si>
  <si>
    <t>2017-2019</t>
  </si>
  <si>
    <t>Zakupy inwestycyjne w ramach zadania "Opracowanie dokumentacji w sprawie obszarów chronionego krajobrazu w zakresie oceny stanu zachowania i wartości krajobrazów wyróżnionych z elementami audytu krajobrazowego"</t>
  </si>
  <si>
    <t>Zakupy inwestycyjne w ramach zadania "Inwentaryzacja i waloryzacja przyrodnicza na terenie wszystkich parków krajobrazowych województwa kujawsko-pomorskiego wraz z przygotowaniem Planów Ochrony Parków Krajobrazowych"</t>
  </si>
  <si>
    <t>2017-2021</t>
  </si>
  <si>
    <t>Nabycie nieruchomości położonej w obrębie Chrystkowo, gmina Świecie</t>
  </si>
  <si>
    <t>Przygotowanie dokumentacji na potrzeby realizacji projektów w ramach RPO WK-P</t>
  </si>
  <si>
    <t>85495</t>
  </si>
  <si>
    <t>Dofinansowanie zadania pn."Rewitalizacja siedziby ZHR Okręgu Kujawsko-Pomorskiego w Bydgoszczy"</t>
  </si>
  <si>
    <t>Zakup wyposażenia</t>
  </si>
  <si>
    <t>Wojewódzka i Miejska Biblioteka Publiczna w Bydgoszczy</t>
  </si>
  <si>
    <t>Droga do Nowoczesności - przygotowanie dokumentacji projektowej</t>
  </si>
  <si>
    <t>Wykonanie dokumentacji projektowej dla potrzeb utworzenia "Dużej Sceny" Kujawsko-Pomorskiego Impresaryjnego Teatru Muzycznego w budynku przy ul. Warszawskiej 11 w Toruniu</t>
  </si>
  <si>
    <t xml:space="preserve">Dział Rozdział
 </t>
  </si>
  <si>
    <t>Wyszczególnienie</t>
  </si>
  <si>
    <t>Plan dochodów</t>
  </si>
  <si>
    <t>Plan wydatków</t>
  </si>
  <si>
    <t>Ogółem</t>
  </si>
  <si>
    <t>w tym:</t>
  </si>
  <si>
    <t>Dotacje Budżetu Państwa</t>
  </si>
  <si>
    <t>Fundusze celowe</t>
  </si>
  <si>
    <t>Środki własne</t>
  </si>
  <si>
    <t>Melioracje wodne</t>
  </si>
  <si>
    <t>ZADANIE - BUDOWA I UTRZYMANIE URZĄDZEŃ MELIORACJI WODNYCH</t>
  </si>
  <si>
    <t>Dotacje na zadania bieżące</t>
  </si>
  <si>
    <t>Wydatki bieżące (bez remontów)</t>
  </si>
  <si>
    <t>Dotacje na zadania inwestycyjne</t>
  </si>
  <si>
    <t>Zakup usług remontowych</t>
  </si>
  <si>
    <t>Wydatki inwestycyjne</t>
  </si>
  <si>
    <t>ZADANIE - KOSZENIE KANAŁÓW I RZEK ORAZ ROBOTY AWARYJNE NA URZĄDZENIACH MELIORACJI WODNYCH I PODSTAWOWYCH</t>
  </si>
  <si>
    <t>Wynagrodzenia z pochodnymi</t>
  </si>
  <si>
    <t>Pozostałe wydatki bieżące</t>
  </si>
  <si>
    <t>ZADANIE - OBSŁUGA I EKSPLOATACJA STACJI POMP</t>
  </si>
  <si>
    <t>ZADANIE - GOSPODAROWANIE ROLNICZYMI ZASOBAMI WODNYMI - GÓRNONOTECKI SYSTEM WODNO-GOSPODARCZY ORAZ URZĄDZENIA PIĘTRZĄCE NA TERENIE WOJEWÓDZTWA</t>
  </si>
  <si>
    <t>Wydatki bieżące</t>
  </si>
  <si>
    <t>ZADANIE - RENATURYZACJA RZEK, KANAŁÓW I WAŁÓW PRZECIWPOWODZIOWYCH ORAZ OCHRONA WÓD I BEZPIECZEŃSTWO PRZECIWPOWODZIOWE</t>
  </si>
  <si>
    <t>ZADANIE - AKTUALIZACJA I OPIEKA TECHNICZNA OPROGRAMOWANIA GEOMELIO WRAZ Z PLATFORMĄ GEOMEDIA</t>
  </si>
  <si>
    <t>60003</t>
  </si>
  <si>
    <t>Krajowe pasażerskie przewozy autobusowe</t>
  </si>
  <si>
    <t>ZADANIE - KRAJOWE PASAŻERSKIE PRZEWOZY AUTOBUSOWE</t>
  </si>
  <si>
    <t>60095</t>
  </si>
  <si>
    <t>Pozostała działalność</t>
  </si>
  <si>
    <t>ZADANIE - WYDAWANIE ZAŚWIADCZEŃ ADR I ICH WTÓRNIKÓW</t>
  </si>
  <si>
    <t>71005</t>
  </si>
  <si>
    <t>Prace geologiczne (nieinwestycyjne)</t>
  </si>
  <si>
    <t>ZADANIE - PRACE GEOLOGICZNE</t>
  </si>
  <si>
    <t>Zadania z zakresu geodezji i kartografii</t>
  </si>
  <si>
    <t>ZADANIE - PRACE GEODEZYJNE I KARTOGRAFICZNE</t>
  </si>
  <si>
    <t>75011</t>
  </si>
  <si>
    <t>Urzędy wojewódzkie</t>
  </si>
  <si>
    <t>ZADANIE - KOMPETENCJE PRZEJĘTE NA PODSTAWIE USTAWY</t>
  </si>
  <si>
    <t>75084</t>
  </si>
  <si>
    <t>Funkcjonowanie wojewódzkich rad dialogu społecznego</t>
  </si>
  <si>
    <t>ZADANIE - OBSŁUGA KUJAWSKO-POMORSKIEJ RADY DIALOGU SPOŁECZNEGO</t>
  </si>
  <si>
    <t>752</t>
  </si>
  <si>
    <t>OBRONA NARODOWA</t>
  </si>
  <si>
    <t>75212</t>
  </si>
  <si>
    <t>Pozostałe wydatki obronne</t>
  </si>
  <si>
    <t>ZADANIE - OBRONA NARODOWA</t>
  </si>
  <si>
    <t>85156</t>
  </si>
  <si>
    <t>Składki na ubezpieczenie zdrowotne oraz świadczenia dla osób nieobjętych obowiązkiem ubezpieczenia zdrowotnego</t>
  </si>
  <si>
    <t>ZADANIE - UBEZPIECZENIE ZDROWOTNE UCZNIÓW</t>
  </si>
  <si>
    <t>85195</t>
  </si>
  <si>
    <t>ZADANIE - OCHRONA ZDROWIA PSYCHICZNEGO</t>
  </si>
  <si>
    <t>Wojewódzkie urzędy pracy</t>
  </si>
  <si>
    <t>ZADANIE - SŁUŻBA ZASTĘPCZA</t>
  </si>
  <si>
    <t>855</t>
  </si>
  <si>
    <t>RODZINA</t>
  </si>
  <si>
    <t>85501</t>
  </si>
  <si>
    <t>Świadczenia wychowawcze</t>
  </si>
  <si>
    <t>ZADANIE - ŚWIADCZENIA WYCHOWAWCZE</t>
  </si>
  <si>
    <t>85502</t>
  </si>
  <si>
    <t>Świadczenia rodzinne, świadczenie z funduszu alimentacyjnego oraz składki na ubezpieczenia emerytalne i rentowe z ubezpieczenia społecznego</t>
  </si>
  <si>
    <t>ZADANIE - ŚWIADCZENIA RODZINNE</t>
  </si>
  <si>
    <t>85509</t>
  </si>
  <si>
    <t>Działalność ośrodków adopcyjnych</t>
  </si>
  <si>
    <t>ZADANIE - GRANTY - WSPIERANIE DZIAŁAŃ Z ZAKRESU OPIEKI ADOPCYJNO-OPIEKUŃCZEJ</t>
  </si>
  <si>
    <t>Dotacje celowe z budżetu jednostek samorządu terytorialnego</t>
  </si>
  <si>
    <t>ZADANIE - KUJAWSKO-POMORSKI OŚRODEK ADOPCYJNY W TORUNIU - UTRZYMANIE JEDNOSTKI</t>
  </si>
  <si>
    <t>90005</t>
  </si>
  <si>
    <t>Ochrona powietrza atmosferycznego i klimatu</t>
  </si>
  <si>
    <t>ZADANIE - PROGRAMY OCHRONY POWIETRZA</t>
  </si>
  <si>
    <t>90007</t>
  </si>
  <si>
    <t>Zmniejszenie hałasu i wibracji</t>
  </si>
  <si>
    <t>ZADANIE - PROGRAMY OCHRONY PRZED HAŁASEM</t>
  </si>
  <si>
    <t>wynagrodzenia z pochodnymi</t>
  </si>
  <si>
    <t>wydatki bieżące (bez remontów)</t>
  </si>
  <si>
    <t>zakup usług remontowych</t>
  </si>
  <si>
    <t>dotacje celowe z budżetu jednostek samorządu terytorialnego</t>
  </si>
  <si>
    <t>wydatki inwestycyjne</t>
  </si>
  <si>
    <t>01010</t>
  </si>
  <si>
    <t>90001</t>
  </si>
  <si>
    <t>926</t>
  </si>
  <si>
    <t>KULTURA FIZYCZNA</t>
  </si>
  <si>
    <t>92695</t>
  </si>
  <si>
    <t>Przywrócenie równowagi ekologicznej na terenach gmin województwa kujawsko-pomorskiego w związku z budową autostrady A-1 w latach 2011-2015 - wsparcie finansowe</t>
  </si>
  <si>
    <t>Zakupy inwestycyjne w ramach zadania "Prace pielęgnacyjne na terenach ochrony lęgowej ptaków będących w trwałym zarządzie Gostynińsko-Włocławskiego Parku Krajobrazowego"</t>
  </si>
  <si>
    <t>Dział                   Rozdział</t>
  </si>
  <si>
    <t>Nazwa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</si>
  <si>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</si>
  <si>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</si>
  <si>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</si>
  <si>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</si>
  <si>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</si>
  <si>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</si>
  <si>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</si>
  <si>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</si>
  <si>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</si>
  <si>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Zadania statutowe</t>
  </si>
  <si>
    <t>01006</t>
  </si>
  <si>
    <t>Zarządy melioracji i urządzeń wodnych</t>
  </si>
  <si>
    <t>01009</t>
  </si>
  <si>
    <t>Spółki wodne</t>
  </si>
  <si>
    <t>01041</t>
  </si>
  <si>
    <t xml:space="preserve">Program Rozwoju Obszarów Wiejskich                                             </t>
  </si>
  <si>
    <t>Wyłączenie z produkcji gruntów rolnych</t>
  </si>
  <si>
    <t>01095</t>
  </si>
  <si>
    <t>050</t>
  </si>
  <si>
    <t>RYBOŁÓWSTWO I RYBACTWO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</si>
  <si>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</si>
  <si>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</si>
  <si>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</si>
  <si>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</si>
  <si>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15011</t>
  </si>
  <si>
    <t>Rozwój przedsiębiorczości</t>
  </si>
  <si>
    <t>15013</t>
  </si>
  <si>
    <t>Rozwój kadr nowoczesnej gospodarki i przedsiębiorczości</t>
  </si>
  <si>
    <t>15095</t>
  </si>
  <si>
    <t>400</t>
  </si>
  <si>
    <t>WYTWARZANIE I ZAOPATRYWANIE W ENERGIĘ ELEKTRYCZNĄ, GAZ I WODĘ</t>
  </si>
  <si>
    <t>40095</t>
  </si>
  <si>
    <t>500</t>
  </si>
  <si>
    <t>HANDEL</t>
  </si>
  <si>
    <t>50005</t>
  </si>
  <si>
    <t>Promocja eksportu</t>
  </si>
  <si>
    <t>Krajowe pasażerskie przewozy kolejowe</t>
  </si>
  <si>
    <t>Infrastruktura kolejowa</t>
  </si>
  <si>
    <t>Drogi publiczne wojewódzkie</t>
  </si>
  <si>
    <t>Drogi publiczne gminne</t>
  </si>
  <si>
    <t>630</t>
  </si>
  <si>
    <t>TURYSTYKA</t>
  </si>
  <si>
    <t>63003</t>
  </si>
  <si>
    <t>Zadania w zakresie upowszechniania turystyki</t>
  </si>
  <si>
    <t>Gospodarka gruntami i nieruchomościami</t>
  </si>
  <si>
    <t>Biura planowania przestrzennego</t>
  </si>
  <si>
    <t>71004</t>
  </si>
  <si>
    <t>Plany zagospodarowania przestrzennego</t>
  </si>
  <si>
    <t>Zadania z zkresu geodezji i kartografii</t>
  </si>
  <si>
    <t>720</t>
  </si>
  <si>
    <t>INFORMATYKA</t>
  </si>
  <si>
    <t>72095</t>
  </si>
  <si>
    <t>75017</t>
  </si>
  <si>
    <t>Samorządowe sejmiki województw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</si>
  <si>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</si>
  <si>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</si>
  <si>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</si>
  <si>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</si>
  <si>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</si>
  <si>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</si>
  <si>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</si>
  <si>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</si>
  <si>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</si>
  <si>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</si>
  <si>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</si>
  <si>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</si>
  <si>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</si>
  <si>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</si>
  <si>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</si>
  <si>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</si>
  <si>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</si>
  <si>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</si>
  <si>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</si>
  <si>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</si>
  <si>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</si>
  <si>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80104</t>
  </si>
  <si>
    <t>Przedszkola</t>
  </si>
  <si>
    <t>80105</t>
  </si>
  <si>
    <t>Przedszkola specjalne</t>
  </si>
  <si>
    <t>80111</t>
  </si>
  <si>
    <t>Gimnazja specjalne</t>
  </si>
  <si>
    <t>80113</t>
  </si>
  <si>
    <t>Dowożenie uczniów do szkół</t>
  </si>
  <si>
    <t>80120</t>
  </si>
  <si>
    <t xml:space="preserve">Licea ogólnokształcące </t>
  </si>
  <si>
    <t>80121</t>
  </si>
  <si>
    <t>Licea ogólnokształcące specjalne</t>
  </si>
  <si>
    <t>80130</t>
  </si>
  <si>
    <t>Szkoły zawodowe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</si>
  <si>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</si>
  <si>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</si>
  <si>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</si>
  <si>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</si>
  <si>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</si>
  <si>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>Dokształcanie i doskonalenie nauczycieli</t>
  </si>
  <si>
    <t>Biblioteki pedagogiczne</t>
  </si>
  <si>
    <t>80151</t>
  </si>
  <si>
    <t>Kwalifikacyjne kursy zawodowe</t>
  </si>
  <si>
    <t>80195</t>
  </si>
  <si>
    <t>Szpitale ogólne</t>
  </si>
  <si>
    <t>Ratownictwo medyczne</t>
  </si>
  <si>
    <t>Medycyna pracy</t>
  </si>
  <si>
    <t>Programy polityki zdrowotnej</t>
  </si>
  <si>
    <t>Zwalczanie narkomanii</t>
  </si>
  <si>
    <t>Przeciwdziałanie alkoholizmowi</t>
  </si>
  <si>
    <t>Ośrodki wsparcia</t>
  </si>
  <si>
    <t>Zadania w zakresie przeciwdziałania przemocy w rodzinie</t>
  </si>
  <si>
    <t>Regionalne ośrodki polityki społecznej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</si>
  <si>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</si>
  <si>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</si>
  <si>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</si>
  <si>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</si>
  <si>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</si>
  <si>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</si>
  <si>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</si>
  <si>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</si>
  <si>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</si>
  <si>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</si>
  <si>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Działaność ośrodków adopcyjnych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</si>
  <si>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</si>
  <si>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</si>
  <si>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</si>
  <si>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</si>
  <si>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</si>
  <si>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</si>
  <si>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</si>
  <si>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</si>
  <si>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</si>
  <si>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</si>
  <si>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</si>
  <si>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Parki krajobrazowe</t>
  </si>
  <si>
    <t xml:space="preserve">KULTURA FIZYCZNA </t>
  </si>
  <si>
    <t>Zadania w zakresie kultury fizycznej</t>
  </si>
  <si>
    <t>Infrastruktura wodociągowa i sanitacyjna wsi</t>
  </si>
  <si>
    <t>Gospodarka ściekowa i ochrona wód</t>
  </si>
  <si>
    <t xml:space="preserve"> </t>
  </si>
  <si>
    <t>Dotacja celowa na pomoc finansową udzielaną między jednostkami samorządu terytorialnego na dofinansowanie własnych zadań inwestycyjnych i zakupów inwestycyjnych</t>
  </si>
  <si>
    <t>Wynagrodzenia osobowe pracowników</t>
  </si>
  <si>
    <t>Składki na ubezpieczenia społeczne</t>
  </si>
  <si>
    <t>Składki na Fundusz Pracy</t>
  </si>
  <si>
    <t>Wydatki inwestycyjne jednostek budżetowych</t>
  </si>
  <si>
    <t>Zakup usług pozostałych</t>
  </si>
  <si>
    <t>Opłaty z tytułu zakupu usług telekomunikacyjnych</t>
  </si>
  <si>
    <t>Różne opłaty i składki</t>
  </si>
  <si>
    <t>Rezerwy na inwestycje i zakupy inwestycyjne</t>
  </si>
  <si>
    <t>Odsetki od dotacji oraz płatności: wykorzystanych niezgodnie z przeznaczeniem lub wykorzystanych z naruszeniem procedur, których mowa w art. 184 ustawy, pobranych nienależnie lub w nadmiernej wysokości</t>
  </si>
  <si>
    <t>Zwroty niewykorzystanych dotacji oraz płatności, dotyczące wydatków majątkowych</t>
  </si>
  <si>
    <t>Dotacje celowe z budżetu na finansowanie lub dofinansowanie kosztów realizacji inwestycji i zakupów inwestycyjnych  jednostek niezaliczanych do sektora finansów publicznych</t>
  </si>
  <si>
    <t>Wydatki osobowe niezaliczone do wynagrodzeń</t>
  </si>
  <si>
    <t>Wpłaty na Państwowy Fundusz Rehabilitacji Osób Niepełnosprawnych</t>
  </si>
  <si>
    <t>Zakup materiałów i wyposażenia</t>
  </si>
  <si>
    <t>Zakup energii</t>
  </si>
  <si>
    <t>Zakup usług zdrowotnych</t>
  </si>
  <si>
    <t>Zakup usług obejmujących tłumaczenia</t>
  </si>
  <si>
    <t>Podróże służbowe krajowe</t>
  </si>
  <si>
    <t>Odpisy na zakładowy fundusz świadczeń socjalnych</t>
  </si>
  <si>
    <t>Szkolenia pracowników niebędących członkami korpusu służby cywilnej</t>
  </si>
  <si>
    <t>Dodatkowe wynagrodzenie roczne</t>
  </si>
  <si>
    <t>Wynagrodzenia bezosobowe</t>
  </si>
  <si>
    <t>Opłaty za administrowanie i czynsze za budynki, lokale i pomieszczenia garażowe</t>
  </si>
  <si>
    <t>Podatek od nieruchomości</t>
  </si>
  <si>
    <t>Dotacje celowe z budżetu na finansowanie lub dofinansowanie kosztów realizacji inwestycji i zakupów inwestycyjnych innych jednostek sektora finansów publicznych</t>
  </si>
  <si>
    <t>Dotacje celowe z budżetu na finansowanie lub dofinansowanie prac remontowych i konserwatorskich obiektów zabytkowych przekazane jednostkom niezaliczanym do sektora finansów publicznych</t>
  </si>
  <si>
    <t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</si>
  <si>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Wydatki na zakupy inwestycyjne jednostek budżetowych</t>
  </si>
  <si>
    <t>OGRODY BOTANICZNE I ZOOLOGICZNE ORAZ NATURALNE OBSZARY CHRONIONEJ PRZYRODY</t>
  </si>
  <si>
    <t>Załącznik nr 3 do uchwały</t>
  </si>
  <si>
    <t>Załącznik nr 4 do uchwały</t>
  </si>
  <si>
    <t>Załącznik nr 7 do uchwały</t>
  </si>
  <si>
    <t>Nr    /      /17 Sejmiku Województwa</t>
  </si>
  <si>
    <t>z dnia     .02.2017 r.</t>
  </si>
  <si>
    <r>
      <t xml:space="preserve">W załączniku </t>
    </r>
    <r>
      <rPr>
        <b/>
        <sz val="10"/>
        <rFont val="Times New Roman"/>
        <family val="1"/>
      </rPr>
      <t xml:space="preserve">nr 4 "Wydatki budżetu Województwa Kujawsko-Pomorskiego wg klasyfikacji budżetowej. Plan na 2017 rok" </t>
    </r>
    <r>
      <rPr>
        <sz val="10"/>
        <rFont val="Times New Roman"/>
        <family val="1"/>
      </rPr>
      <t>do uchwały Nr XXVIII/475/16 Sejmiku Województwa Kujawsko-Pomorskiego z dnia 19 grudnia 2016 roku w sprawie budżetu województwa na rok 2017 (z późn . zm.), wprowadza się następujące zmiany:</t>
    </r>
  </si>
  <si>
    <t>Nr   /     /17 Sejmiku Województwa</t>
  </si>
  <si>
    <t>z dnia    .02.2017 r.</t>
  </si>
  <si>
    <t>Nr    /     /17 Sejmiku Województwa</t>
  </si>
  <si>
    <t>Załącznik nr 9 do uchwały</t>
  </si>
  <si>
    <r>
      <t xml:space="preserve">W  załączniku  nr  6  pn.  </t>
    </r>
    <r>
      <rPr>
        <b/>
        <sz val="16"/>
        <rFont val="Times New Roman CE"/>
        <family val="0"/>
      </rPr>
      <t>"Projekty i działania realizowane w ramach  Regionalnego  Programu Operacyjnego  Województwa Kujawsko-Pomorskiego 2014-2020.  Plan na 2017 rok"</t>
    </r>
    <r>
      <rPr>
        <sz val="16"/>
        <rFont val="Times New Roman CE"/>
        <family val="0"/>
      </rPr>
      <t xml:space="preserve"> do uchwały XXVIII/475/16 Sejmiku Województwa Kujawsko-Pomorskiego z dnia 19 grudnia 2016 r. w sprawie budżetu województwa na rok 2017 wprowadza się następujące zmiany:  </t>
    </r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</si>
  <si>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</si>
  <si>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</si>
  <si>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</si>
  <si>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</si>
  <si>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</si>
  <si>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</si>
  <si>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</si>
  <si>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2016 r.</t>
  </si>
  <si>
    <t>Wydatki 2017</t>
  </si>
  <si>
    <t>UE</t>
  </si>
  <si>
    <t>Wydatki
ogółem</t>
  </si>
  <si>
    <t>Unia Europejska</t>
  </si>
  <si>
    <t xml:space="preserve">Ogółem </t>
  </si>
  <si>
    <t>Krajowy wkład publiczny</t>
  </si>
  <si>
    <t>BP</t>
  </si>
  <si>
    <t>Budżet państwa</t>
  </si>
  <si>
    <t>Budżet Województwa</t>
  </si>
  <si>
    <t>Inne publiczne</t>
  </si>
  <si>
    <t xml:space="preserve">Bieżące </t>
  </si>
  <si>
    <t>Inwestycyjne</t>
  </si>
  <si>
    <t>Bieżące</t>
  </si>
  <si>
    <t>Ogólem</t>
  </si>
  <si>
    <t>8a</t>
  </si>
  <si>
    <t>8b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</si>
  <si>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</si>
  <si>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</si>
  <si>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</si>
  <si>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</si>
  <si>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</si>
  <si>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</si>
  <si>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</si>
  <si>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</si>
  <si>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</si>
  <si>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</si>
  <si>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>UM</t>
  </si>
  <si>
    <t>750
75075</t>
  </si>
  <si>
    <t>2016 - 2018</t>
  </si>
  <si>
    <t>Expressway - promocja terenów inwestycyjnych</t>
  </si>
  <si>
    <t>Export - misje gospodarcze</t>
  </si>
  <si>
    <t>2016 - 2017</t>
  </si>
  <si>
    <t>Promocja gospodarcza Regionu Pomorza i Kujaw narzędziem w procesie internacjonalizacji</t>
  </si>
  <si>
    <t>2.1</t>
  </si>
  <si>
    <t>078, 081, 101</t>
  </si>
  <si>
    <t>Infostrada Kujaw i Pomorza v.2.0</t>
  </si>
  <si>
    <t>720
72095</t>
  </si>
  <si>
    <t>2016 - 2021</t>
  </si>
  <si>
    <t>Budowa i rozwój regionalnego systemu dostępności i wymiany elektronicznych usług medycznych w województwie kujawsko-pomorskim</t>
  </si>
  <si>
    <t>2017 - 2020</t>
  </si>
  <si>
    <t>2.2</t>
  </si>
  <si>
    <t>079, 101</t>
  </si>
  <si>
    <t>Kultura w zasięgu 2.0</t>
  </si>
  <si>
    <t>3.5.2</t>
  </si>
  <si>
    <t>090</t>
  </si>
  <si>
    <t>Poprawa bezpieczeństwa i komfortu życia mieszkańców oraz wsparcie niskoemisyjnego transportu drogowego poprzez wybudowanie dróg dla rowerów (lider: powiat toruński)</t>
  </si>
  <si>
    <t>600
60013</t>
  </si>
  <si>
    <t>Poprawa bezpieczeństwa i komfortu życia mieszkańców oraz wsparcie niskoemisyjnego transportu drogowego poprzez wybudowanie dróg dla rowerów (lider: województwo kujawsko-pomorskie)</t>
  </si>
  <si>
    <t>ZDW</t>
  </si>
  <si>
    <t>4.1.1</t>
  </si>
  <si>
    <t>087</t>
  </si>
  <si>
    <t xml:space="preserve">"Kształtowanie przekroju poprzecznego i podłużnego rzeki Bętlewianki w km 0+700 - 2+500 w celu zwiększenia możłiwości retencjonowania w dolinie wody" gm. Dobrzyń n/Wisłą, powiat Lipno </t>
  </si>
  <si>
    <t>KPZMiUW</t>
  </si>
  <si>
    <t>010
01008</t>
  </si>
  <si>
    <t>Budowa jazu piętrzącego na rzece Pannie w km 7+537 gm. Mogilno, powiat mogileński, województwo kujawsko-pomorskie</t>
  </si>
  <si>
    <t>"Kształtowanie przekroju podłużnego i poprzecznego oraz układu poziomego Kanału Bachorza Duża od km 0+000 do km 14+000" gm. Kruszwica, Dąbrowa Biskupia, Inowrocław, pow. Inowrocławski, woj. kujawsko-pomorskie</t>
  </si>
  <si>
    <t>Przebudowa wału przeciwpowodziowego Sartowice-Nowe, odcinek od km 0+000 do km 10+600. Realizacja od km 7+075 do km 10+600</t>
  </si>
  <si>
    <t>4.4</t>
  </si>
  <si>
    <t>094</t>
  </si>
  <si>
    <t>Wsparcie opieki nad zabytkami województwa kujawsko-pomorskiego w 2016 roku</t>
  </si>
  <si>
    <t>921
92120</t>
  </si>
  <si>
    <t>094, 095</t>
  </si>
  <si>
    <t>Zmiana nazwy projektu z "Kujawsko-Pomorskie - rozwój poprzez kulturę. Edycja 1" na "Kujawsko-Pomorskie - rozwój poprzez kulturę 2016"</t>
  </si>
  <si>
    <t>921
92195</t>
  </si>
  <si>
    <t>4.5</t>
  </si>
  <si>
    <t>085</t>
  </si>
  <si>
    <t>Ochrona czynna i monitoring obszarów Natura 2000 zlokalizowanych w granicach Brodnickiego Parku Krajobrazowego</t>
  </si>
  <si>
    <t>BPK</t>
  </si>
  <si>
    <t>925
92502</t>
  </si>
  <si>
    <t>Budowa ścieżki ornitologicznej oraz parku dendrologicznego przy terenowym ośrodku edukacji przyrodniczej i promocji Rezerwatu Biosfery Bory Tucholskie w m. Piła Młyn</t>
  </si>
  <si>
    <t>TPK</t>
  </si>
  <si>
    <t>2017 - 2019</t>
  </si>
  <si>
    <t>Zmiana nazwy projektu z "Poprawa różnorodności biologicznej poprzez zarybianie j. Gopło oraz rozbudowa obiektu muzealno-edukacyjnego" na "Poprawa różnorodności biologicznej poprzez zarybianie j. Gopło oraz rozbudowa obiektu o część ekpozycji przyrodniczo-historycznej"</t>
  </si>
  <si>
    <t>NPT</t>
  </si>
  <si>
    <t>Utworzenie ośrodka edukacji ekologicznej wraz z pomieszczeniami biurowymi</t>
  </si>
  <si>
    <t>KPK</t>
  </si>
  <si>
    <t>2017 - 2018</t>
  </si>
  <si>
    <t>Utworzenie ośrodka edukacji przyrodniczej wraz z siedzibą Krajeńskiego Parku Krajobrazowego</t>
  </si>
  <si>
    <t>Utworzenie Centrum Czynnej Ochrony Przyrody Wdeckiego Parku Krajobrazowego</t>
  </si>
  <si>
    <t>WPK</t>
  </si>
  <si>
    <t>Budowa stacji terenowo-badawczej "Podmoście"</t>
  </si>
  <si>
    <t>ZPKChiN</t>
  </si>
  <si>
    <t>2016 - 2019</t>
  </si>
  <si>
    <t>Budowa stacji terenowo-badawczej  Gostynińsko Włocławskiego Parku Krajobrazowego wraz z zapleczem technicznym</t>
  </si>
  <si>
    <t>GWPK</t>
  </si>
  <si>
    <t xml:space="preserve">Doposażenie Pracowni Dydaktycznej Gostynińsko Włocławskiego Parku Krajobrazowego </t>
  </si>
  <si>
    <t>5.1</t>
  </si>
  <si>
    <t>034</t>
  </si>
  <si>
    <t>Rozbudowa drogi wojewódzkiej Nr 251 Kaliska-Inowrocław na odcinku od km 19+649 (od granicy województwa kujawsko-pomorskiego)  do km 34+200 oraz od km 34+590,30 do km 35+290 wraz z przebudową mostu na rzece Gąsawka w miejscowości Żnin</t>
  </si>
  <si>
    <t>600                 60013</t>
  </si>
  <si>
    <t>Rozbudowa drogi wojewódzkiej Nr 548 Stolno-Wąbrzeźno</t>
  </si>
  <si>
    <t>Rozbudowa drogi wojewódzkiej Nr 559 Lipno - Kamień Kotowy - granica województwa</t>
  </si>
  <si>
    <t>Przebudowa drogi wojewódzkiej Nr 241 Tuchola - Rogoźno od km 0+005 do km 26+360 na odc. Tuchola - Sępólno Krajeńskie</t>
  </si>
  <si>
    <t>Rozbudowa drogi wojewódzkiej Nr 255 Pakość - Strzelno</t>
  </si>
  <si>
    <t>Przebudowa wraz z rozbudową drogi wojewódzkiej Nr 265 Brześć Kujawski-Gostynin od km 0+003 do km 19+117</t>
  </si>
  <si>
    <t xml:space="preserve">Przebudowa drogi wojewódzkiej Nr 240 Chojnice-Świecie </t>
  </si>
  <si>
    <t>Rozbudowa drogi wojewódzkiej Nr 266 Ciechocinek-Służewo-Radziejów-Sompolno-Konin</t>
  </si>
  <si>
    <t>2017 - 2021</t>
  </si>
  <si>
    <t>Rozbudowa drogi wojewódzkiej Nr 254 Brzoza-Łabiszyn-Barcin-Mogilno-Wylatowo</t>
  </si>
  <si>
    <t>Przebudowa drogi wojewódzkiej Nr 254 Brzoza-Wylatowo</t>
  </si>
  <si>
    <t xml:space="preserve">Przebudowa drogi wojewódzkiej Nr 534 Grudziądz-Wąbrzeźno-Golub-Dobrzyń-Rypin od km 76+705 do km 81+719 </t>
  </si>
  <si>
    <t>Przebudowa drogi wojewódzkiej Nr 270 Brześć Kujawski-Izbica Kujawska-Koło od km 0+000 do km 29+023</t>
  </si>
  <si>
    <t>Rozbudowa drogi wojewódzkiej Nr 269 Szczerkowo-Kowal od km 12+170 do km 28+898 oraz od km 33+622 do km 59+194</t>
  </si>
  <si>
    <t>Przebudowa drogi wojewódzkiej Nr 563 Rypin-Żuromin-Mława od km 2+475 do km 16+656</t>
  </si>
  <si>
    <t>6.3.2</t>
  </si>
  <si>
    <t>Mistrz zawodu w nowoczesnym warsztacie - modernizacja warsztatów kształcenia zawodowego w Specjalnym Ośrodku Szkolno-Wychowawczym Nr 1 w Bydgoszczy</t>
  </si>
  <si>
    <t>854                 85403</t>
  </si>
  <si>
    <t>Modernizacja warsztatów kształcenia zawodowego działających w ramach SOSW im. J. Korczaka w Toruniu</t>
  </si>
  <si>
    <t>"Usłyszeć potrzeby" - wzmocnienie pozycji uczniów słabosłyszących i niesłyszących w ramach rozbudowy warsztatów zawodowych Specjalnego Ośrodka Szkolno-Wychowawczego nr 2 w Bydgoszczy w kontekscie zwiększenia szans na rynku pracy</t>
  </si>
  <si>
    <t>Medyczne Centrum Przyszłości - utworzenie bazy kształcenia zawodowego dla Medyczno-Społecznego Centrum Kształcenia Zawodowego i Ustawicznego w Toruniu</t>
  </si>
  <si>
    <t>801                 80130</t>
  </si>
  <si>
    <t>42.</t>
  </si>
  <si>
    <t>9.2.2</t>
  </si>
  <si>
    <t>109</t>
  </si>
  <si>
    <t>Trampolina</t>
  </si>
  <si>
    <t>ROPS</t>
  </si>
  <si>
    <t>852
85295</t>
  </si>
  <si>
    <t>9.3.2</t>
  </si>
  <si>
    <t>112</t>
  </si>
  <si>
    <t>Rodzina w Centrum</t>
  </si>
  <si>
    <t>9.4.2</t>
  </si>
  <si>
    <t>113</t>
  </si>
  <si>
    <t>Koordynacja rozwoju ekonomii społecznej w województwie kujawsko-pomorskim</t>
  </si>
  <si>
    <t>10.2.2</t>
  </si>
  <si>
    <t>115</t>
  </si>
  <si>
    <t>Region Nauk Ścisłych II - edukacja przyszłości</t>
  </si>
  <si>
    <t>801
80195</t>
  </si>
  <si>
    <t>10.2.3</t>
  </si>
  <si>
    <t>118</t>
  </si>
  <si>
    <t>Szkoła Zawodowców</t>
  </si>
  <si>
    <t>801
80130</t>
  </si>
  <si>
    <t>10.3.1</t>
  </si>
  <si>
    <t>Prymus Pomorza i Kujaw</t>
  </si>
  <si>
    <t>854
85416</t>
  </si>
  <si>
    <t>2016 - 2023</t>
  </si>
  <si>
    <t>10.3.2</t>
  </si>
  <si>
    <t>Prymusi Zawodu Kujaw i Pomorza</t>
  </si>
  <si>
    <t>10.4.1</t>
  </si>
  <si>
    <t>117</t>
  </si>
  <si>
    <t>CAPS LOCK - certyfikowane szkolenia językowe i komputerowe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</si>
  <si>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</si>
  <si>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</si>
  <si>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</si>
  <si>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</si>
  <si>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</si>
  <si>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Wsparcie procesu zarządzania i wdrażania RPO</t>
  </si>
  <si>
    <t>750
75018</t>
  </si>
  <si>
    <t>WUP</t>
  </si>
  <si>
    <t>853
85332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</si>
  <si>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</si>
  <si>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</si>
  <si>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</si>
  <si>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</si>
  <si>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Wysoka dostępność i jakość usług publicznych</t>
  </si>
  <si>
    <t>X</t>
  </si>
  <si>
    <t>Cyfrowa dostępność i użyteczność informacji sektora publicznego oraz zasobów nauki, kultury i dziedzictwa regionalnego</t>
  </si>
  <si>
    <t>3.3</t>
  </si>
  <si>
    <t>013, 014</t>
  </si>
  <si>
    <t>Efektywność energetyczna w sektorze publicznym i mieszkaniowym</t>
  </si>
  <si>
    <t>400
40095</t>
  </si>
  <si>
    <t>3.5.1</t>
  </si>
  <si>
    <t>Efektywność energetyczna w sektorze publicznym i mieszkaniowym w ramach ZIT</t>
  </si>
  <si>
    <t>6.3.1</t>
  </si>
  <si>
    <t>052, 080, 101</t>
  </si>
  <si>
    <t>Inwestycje w infrastrukturę przedszkolną</t>
  </si>
  <si>
    <t>801
80104</t>
  </si>
  <si>
    <t>8.2.1</t>
  </si>
  <si>
    <t>Wsparcie na rzecz podniesienia poziomu aktywności zawodowej osób pozostających bez zatrudnienia</t>
  </si>
  <si>
    <t>853
85395</t>
  </si>
  <si>
    <t>8.2.2</t>
  </si>
  <si>
    <t>102</t>
  </si>
  <si>
    <t>Wspieranie  osób odchodzących z rolnictwa i rybactwa</t>
  </si>
  <si>
    <t>8.3</t>
  </si>
  <si>
    <t>104</t>
  </si>
  <si>
    <t>Wsparcie przedsiębiorczości i samozatrudnienia w regionie</t>
  </si>
  <si>
    <t>8.4.1</t>
  </si>
  <si>
    <t>105</t>
  </si>
  <si>
    <t>Wsparcie zatrudnienia osób pełniących funkcje opiekuńcze</t>
  </si>
  <si>
    <t>8.5.2</t>
  </si>
  <si>
    <t>106</t>
  </si>
  <si>
    <t>Wsparcie outplacementowe</t>
  </si>
  <si>
    <t>Aktywne włączenie młodzieży objętej sądowym środkiem wychowawczym lub poprawczym</t>
  </si>
  <si>
    <t>852            85295</t>
  </si>
  <si>
    <t>Rozwój usług społecznych</t>
  </si>
  <si>
    <t>9.4.1</t>
  </si>
  <si>
    <t>Rozwój podmiotów sektora ekonomii społecznej</t>
  </si>
  <si>
    <t>852            85203</t>
  </si>
  <si>
    <t>Kształcenie ogólne</t>
  </si>
  <si>
    <t>801 
80195</t>
  </si>
  <si>
    <t>Kształcenie zawodowe</t>
  </si>
  <si>
    <t>Edukacja dorosłych w zakresie kompetencji cyfrowych i języków obcych</t>
  </si>
  <si>
    <t>150 
15013</t>
  </si>
  <si>
    <t>Działania i projekty realizowane przez beneficjentów zewnętrznych, którym samorząd województwa przekazuje dotacje na współfinansowanie krajowe</t>
  </si>
  <si>
    <t>Plan przed zmianą</t>
  </si>
  <si>
    <t>Zmiana</t>
  </si>
  <si>
    <t>Plan po zmianie</t>
  </si>
  <si>
    <t>Załącznik nr 6  do uchwały</t>
  </si>
  <si>
    <t xml:space="preserve"> z dnia   .02.2017 r.</t>
  </si>
  <si>
    <t>Nr     /    /17 Sejmiku Województwa</t>
  </si>
  <si>
    <t>Nr    /    /17 Sejmiku Województwa</t>
  </si>
  <si>
    <r>
      <t xml:space="preserve">W załączniku </t>
    </r>
    <r>
      <rPr>
        <b/>
        <sz val="10"/>
        <rFont val="Times New Roman"/>
        <family val="1"/>
      </rPr>
      <t>Nr 1 "Dochody budżetu Województwa Kujawsko-Pomorskiego wg źródeł pochodzenia. Plan na rok 2017"</t>
    </r>
    <r>
      <rPr>
        <sz val="10"/>
        <rFont val="Times New Roman"/>
        <family val="1"/>
      </rPr>
      <t xml:space="preserve"> do uchwały Nr XXVIII/475/16 Sejmiku Województwa Kujawsko-Pomorskiego z dnia 19 grudnia 2016 r. w sprawie budżetu na rok 2017 (z późn. zm.), wprowadza się następujące zmiany: </t>
    </r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</si>
  <si>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</si>
  <si>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</si>
  <si>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</si>
  <si>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
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</si>
  <si>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</si>
  <si>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</si>
  <si>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</si>
  <si>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</si>
  <si>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</si>
  <si>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</si>
  <si>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 xml:space="preserve">z budżetu państwa </t>
  </si>
  <si>
    <t>na finansowanie części unijnej</t>
  </si>
  <si>
    <t>na finansowanie części krajowej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</si>
  <si>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</si>
  <si>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</si>
  <si>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</si>
  <si>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</si>
  <si>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</si>
  <si>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</si>
  <si>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</si>
  <si>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</si>
  <si>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</si>
  <si>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</si>
  <si>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</si>
  <si>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</si>
  <si>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</si>
  <si>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</si>
  <si>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DOCHODY BIEŻĄCE</t>
  </si>
  <si>
    <t>ROLNICTWO I  ŁOWIECTWO</t>
  </si>
  <si>
    <t>756</t>
  </si>
  <si>
    <t>DOCHODY OD OSÓB PRAWNYCH, OD OSÓB FIZYCZNYCH I OD INNYCH JEDNOSTEK NIE POSIADAJĄCYCH OSOBOWOŚCI PRAWNEJ ORAZ WYDATKI ZWIĄZANE Z ICH POBOREM</t>
  </si>
  <si>
    <t>POZOSTAŁE  ZADANIA 
W ZAKRESIE POLITYKI SPOŁECZNEJ</t>
  </si>
  <si>
    <t>GOSPODARKA KOMUNALNA 
I OCHRONA ŚRODOWISKA</t>
  </si>
  <si>
    <t>DOCHODY MAJĄTKOWE</t>
  </si>
  <si>
    <t>POZOSTAŁE  ZADANIA W ZAKRESIE POLITYKI SPOŁECZNEJ</t>
  </si>
  <si>
    <t>o g ó ł e m :</t>
  </si>
  <si>
    <t xml:space="preserve"> - plan na 2017 r.</t>
  </si>
  <si>
    <t xml:space="preserve"> - saldo zmian </t>
  </si>
  <si>
    <t xml:space="preserve"> - plan po zmianach</t>
  </si>
  <si>
    <t>Załącznik nr 1 do uchwały</t>
  </si>
  <si>
    <t xml:space="preserve">Nr       /      /17  Sejmiku Województwa </t>
  </si>
  <si>
    <t xml:space="preserve">z dnia       .02.2017 r. </t>
  </si>
  <si>
    <r>
      <t xml:space="preserve">W załączniku </t>
    </r>
    <r>
      <rPr>
        <b/>
        <sz val="10"/>
        <color indexed="8"/>
        <rFont val="Times New Roman"/>
        <family val="1"/>
      </rPr>
      <t>Nr 2 "Dochody budżetu Województwa Kujawsko-Pomorskiego wg klasyfikacji budżetowej. Plan na 2017 rok"</t>
    </r>
    <r>
      <rPr>
        <sz val="10"/>
        <color indexed="8"/>
        <rFont val="Times New Roman"/>
        <family val="1"/>
      </rPr>
      <t xml:space="preserve"> do uchwały                         Nr XXVIII/475/16 Sejmiku Województwa Kujawsko-Pomorskiego z dnia 19 grudnia 2016 r. w sprawie budżetu województwa na rok 2017 (z późn. zm.), wprowadza się następujące zmiany:</t>
    </r>
  </si>
  <si>
    <t xml:space="preserve">Dział Rozdział </t>
  </si>
  <si>
    <t>Plan na 2017 r.</t>
  </si>
  <si>
    <t xml:space="preserve">Zwiększenie </t>
  </si>
  <si>
    <t>Plan po zmianach</t>
  </si>
  <si>
    <t>DOCHODY OGÓŁEM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</si>
  <si>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</si>
  <si>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</si>
  <si>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DZIAŁALNOŚC USŁUGOWA</t>
  </si>
  <si>
    <t>0940</t>
  </si>
  <si>
    <t>Wpływy z rozliczeń/zwrotów z lat ubiegłych</t>
  </si>
  <si>
    <t>0970</t>
  </si>
  <si>
    <t>Wpływy z różnych dochodów</t>
  </si>
  <si>
    <t>Dotacje celowe otrzymane z gminy na zadania bieżące realizowane na podstawie porozumień (umów) między jednostkami samorządu terytorialnego</t>
  </si>
  <si>
    <t>Część oświatowa subwencji ogólnej dla jednostek samorządu terytorialnego</t>
  </si>
  <si>
    <t>Subwencje ogólne z budżetu państwa</t>
  </si>
  <si>
    <t>Regionalne Programy Operacyjne 2014-2020 finansowane z udziałem środków Europejskiego Funduszu Rozwoju Regionalnego</t>
  </si>
  <si>
    <t>Dotacje celowe w ramach programów finansowanych z udziałem środków europejskich oraz środków, o których mowa w art. 5 ust. 1 pkt 3 oraz ust. 3 pkt 5 i 6 ustawy, lub płatności w ramach budżetu środków europejskich, z wyłączeniem dochodów klasyfikowanych w paragrafie 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</si>
  <si>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</si>
  <si>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0900</t>
  </si>
  <si>
    <t>Wpływy z odsetek od dotacji oraz płatności: wykorzystanych niezgodnie z przeznaczeniem lub wykorzystanych z naruszeniem procedur, o których mowa w art. 184 ustawy, pobranych nienależnie lub w nadmiernej wysokości</t>
  </si>
  <si>
    <t>Wpływy ze zwrotów niewykorzystanych dotacji oraz płatności, dotyczące dochodów majątkowych</t>
  </si>
  <si>
    <t>Dotacje celowe otrzymane z budżetu państwa na zadania bieżące z zakresu administracji rządowej zlecone samorządom województw, związane z realizacją świadczenia wychowawczego stanowiącego pomoc państwa w wychowywaniu dzieci</t>
  </si>
  <si>
    <t>Dotacje celowe otrzymane z budżetu państwa na zadania bieżące z zakresu administracji rządowej oraz inne zadania zlecone ustawami realizowane przez samorząd województwa</t>
  </si>
  <si>
    <t>Dotacja celowa otrzymana z tytułu pomocy finansowej udzielanej między jednostkami samorządu terytorialnego na dofinansowanie własnych zadań inwestycyjnych i zakupów inwestycyjnych</t>
  </si>
  <si>
    <t>Środki otrzymane od pozostałych jednostek zaliczanych do sektora finansów publicznych na realizację zadań bieżących jednostek zaliczanych do sektora finansów publicznych</t>
  </si>
  <si>
    <t>Środki otrzymane od pozostałych jednostek zaliczanych do sektora finansów publicznych na finansowanie lub dofinansowanie kosztów realizacji inwestycji i zakupów inwestycyjnych zaliczanych do sektora finansów publicznych</t>
  </si>
  <si>
    <t>Załącznik nr 2 do uchwały</t>
  </si>
  <si>
    <t>Załącznik nr 8 do uchwały Nr  /   /17</t>
  </si>
  <si>
    <t xml:space="preserve">                                                                                                                             </t>
  </si>
  <si>
    <t xml:space="preserve">Sejmiku Województwa z dnia   .02.2017 r.     </t>
  </si>
  <si>
    <t xml:space="preserve">    </t>
  </si>
  <si>
    <r>
      <t>W załączniku nr 9</t>
    </r>
    <r>
      <rPr>
        <b/>
        <sz val="12"/>
        <rFont val="Times New Roman CE"/>
        <family val="0"/>
      </rPr>
      <t xml:space="preserve"> "Dotacje udzielane z budżetu Województwa Kujawsko - Pomorskiego. Plan na 2017 rok"</t>
    </r>
    <r>
      <rPr>
        <sz val="12"/>
        <rFont val="Times New Roman CE"/>
        <family val="0"/>
      </rPr>
      <t xml:space="preserve"> do uchwały XXVIII/745/16 Sejmiku Województwa Kujawsko-Pomorskiego z dnia 19 grudnia 2016 r. w sprawie budżetu województwa na rok 2017 (z póżn. zm.), wprowadza się następujące zmiany:</t>
    </r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</si>
  <si>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</si>
  <si>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</si>
  <si>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</si>
  <si>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</si>
  <si>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</si>
  <si>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</si>
  <si>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</si>
  <si>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</si>
  <si>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</t>
  </si>
  <si>
    <t xml:space="preserve"> II DOTACJE PODMIOTOWE</t>
  </si>
  <si>
    <t>Dotacje dla instytucji kultury</t>
  </si>
  <si>
    <t>Teatr im. W. Horzycy w Toruniu</t>
  </si>
  <si>
    <t xml:space="preserve">Działalność statutowa  </t>
  </si>
  <si>
    <t>Opera Nova w Bydgoszczy</t>
  </si>
  <si>
    <t>Zadanie remontowe - Remont sprężarki</t>
  </si>
  <si>
    <t>Kujawsko-Pomorski Impresyjny Teatr Muzyczny w Toruniu</t>
  </si>
  <si>
    <t>Wojewódzki Ośrodek Animacji Kultury w Toruniu</t>
  </si>
  <si>
    <t>92109</t>
  </si>
  <si>
    <t>Zadanie remontowe - Remont dachu i fundamentów budynku przy ul. Szpitalnej 8</t>
  </si>
  <si>
    <t>Kujawsko-Pomorskie Centrum Kultury w Bydgoszczy</t>
  </si>
  <si>
    <t>Ośrodek Chopinowski w Szafarni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</si>
  <si>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</si>
  <si>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</si>
  <si>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</si>
  <si>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Remont pomieszczeń Ośrodka Chopinowskiego w Szafarni</t>
  </si>
  <si>
    <t>Pałac Lubostroń w Lubostroniu</t>
  </si>
  <si>
    <t>Galeria Sztuki "Wozownia" w Toruniu</t>
  </si>
  <si>
    <t>92110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</si>
  <si>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</si>
  <si>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</si>
  <si>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</si>
  <si>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</si>
  <si>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>Wojewódzka Biblioteka Publiczna - Książnica Kopernikańska w Toruniu</t>
  </si>
  <si>
    <t xml:space="preserve"> - ze środków Miasta Torunia</t>
  </si>
  <si>
    <t>Muzeum Etnograficzne w Toruniu</t>
  </si>
  <si>
    <t>Zadanie remontowe - Remont dachu obiektu przy ul. Rabiańskiej 21 w Toruniu</t>
  </si>
  <si>
    <t>Muzeum Archeologiczne w Biskupinie</t>
  </si>
  <si>
    <t xml:space="preserve"> III DOTACJE CELOWE</t>
  </si>
  <si>
    <t xml:space="preserve"> Na zadania realizowane w ramach Regionalnego Programu Operacyjnego WK-P 2014-2020</t>
  </si>
  <si>
    <t>Caps Lock - certyfikowane szkolenia językowe i komputerowe</t>
  </si>
  <si>
    <t>Poprawa bezpieczeństwa i komfortu życia mieszkańców oraz wsparcie niskoemisyjne transportu drogowego poprzez wybudowanie dróg dla rowerów (lider: powiat toruński)</t>
  </si>
  <si>
    <t>Infostrada Kujaw i Pomorza v2.0</t>
  </si>
  <si>
    <t>Wysoka dostępność i jakość e-usług publicznych</t>
  </si>
  <si>
    <t>Invest in BiT CITY 2. Promocja potencjału gospodarczego oraz atrakcyjności inwestycyjnej miast prezydenckich województwa kujawsko-pomorskiego</t>
  </si>
  <si>
    <t>Szkoła zawodowców</t>
  </si>
  <si>
    <t>85203</t>
  </si>
  <si>
    <t>85295</t>
  </si>
  <si>
    <t>85395</t>
  </si>
  <si>
    <t>Wsparcie osób odchodzących z rolnictwa i rybactwa</t>
  </si>
  <si>
    <t>92120</t>
  </si>
  <si>
    <t>92195</t>
  </si>
  <si>
    <r>
      <rPr>
        <b/>
        <sz val="10"/>
        <color indexed="8"/>
        <rFont val="Times New Roman CE"/>
        <family val="0"/>
      </rPr>
      <t>Zmiana nazwy zadania z:</t>
    </r>
    <r>
      <rPr>
        <sz val="10"/>
        <color indexed="8"/>
        <rFont val="Times New Roman CE"/>
        <family val="1"/>
      </rPr>
      <t xml:space="preserve">
Kujawsko-Pomorskie - rozwój poprzez kulturę. Edycja 1
</t>
    </r>
    <r>
      <rPr>
        <b/>
        <sz val="10"/>
        <color indexed="8"/>
        <rFont val="Times New Roman CE"/>
        <family val="0"/>
      </rPr>
      <t xml:space="preserve">na:
</t>
    </r>
    <r>
      <rPr>
        <sz val="10"/>
        <color indexed="8"/>
        <rFont val="Times New Roman CE"/>
        <family val="0"/>
      </rPr>
      <t>Kujawsko-Pomorskie - rozwój poprzez kulturę 2016</t>
    </r>
  </si>
  <si>
    <t xml:space="preserve"> Na zadania realizowane w ramach Programu Operacyjnego Wiedza Edukacja i Rozwój</t>
  </si>
  <si>
    <t>1.2.2</t>
  </si>
  <si>
    <t>Wsparcie udzielone z inicjatywy na rzecz zatrudnienia ludzi młodych</t>
  </si>
  <si>
    <t>Na pozostałe zadania</t>
  </si>
  <si>
    <t>Bieżące utrzymanie wód i urządzeń wodnych - konserwacja, naprawa urządzeń melioracji wodnych (spółki wodne)</t>
  </si>
  <si>
    <t>Przywrócenie równowagi ekologicznej na terenach gmin województwa kujawsko-pomorskiego w związku z budową autostrady A-1 w latach 2011-2015</t>
  </si>
  <si>
    <t>Realizacja ustawy o ochronie gruntów rolnych i leśnych</t>
  </si>
  <si>
    <t>Organizacja dożynek</t>
  </si>
  <si>
    <t>Kolejowe regionalne i międzywojewódzkie przewozy pasażerskie</t>
  </si>
  <si>
    <r>
      <t xml:space="preserve">Przebudowa dróg gminnych, tj. ul. Kościuszki, ul. Plac 1 Maja, ul. 5 Stycznia, ul. Łabędzkiego i ul. Bydgoskiej wraz z przebudową przepustu w ciągu drogi gminnej, tj. ul. Bydgoskiej w mieście Mrocza - </t>
    </r>
    <r>
      <rPr>
        <b/>
        <i/>
        <sz val="10"/>
        <color indexed="8"/>
        <rFont val="Times New Roman CE"/>
        <family val="0"/>
      </rPr>
      <t>wsparcie finansowe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</si>
  <si>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</si>
  <si>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</si>
  <si>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</si>
  <si>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t>Konkurs dotacji na przygotowanie programów rewitalizacji z PO PT 2014-2020</t>
  </si>
  <si>
    <t xml:space="preserve">Wsparcie finansowe dla innych jst z tytułu zatrudnienia pracowników zlikwidowanych filii bibliotek pedagogicznych </t>
  </si>
  <si>
    <r>
      <t xml:space="preserve">Zakup ambulansów dla zespołów ratownictwa medycznego wraz z wyposażeniem medycznym w formie leasingu dla potrzeb Wojewódzkiego Szpitala Zespolonego w Toruniu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Zespolony  im. L. Rydygiera w Toruniu</t>
    </r>
  </si>
  <si>
    <r>
      <t xml:space="preserve">Zakup ambulansów dla zespołów ratownictwa medycznego wraz z wyposażeniem medycznym w formie leasingu przez Wojewódzki Szpital Specjalistyczny we Włocławku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Wojewódzki Szpital Specjalistyczny we Włocławku</t>
    </r>
  </si>
  <si>
    <r>
      <t xml:space="preserve">Zakup ambulansów w formie leasingu przez Wojewódzką Stację Pogotowia Ratunkowego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Stacja Pogotowia Ratunkowego w Bydgoszczy</t>
    </r>
  </si>
  <si>
    <t>85149</t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</si>
  <si>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</si>
  <si>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</si>
  <si>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</si>
  <si>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</si>
  <si>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</si>
  <si>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</si>
  <si>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</si>
  <si>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</si>
  <si>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Dofinansowanie zadania pn. "Rewitalizacja siedziby ZHR Okręgu Kujawsko-Pomorskiego w Bydgoszczy"</t>
  </si>
  <si>
    <t>85205</t>
  </si>
  <si>
    <r>
      <t xml:space="preserve">Przeciwdziałanie przemocy w rodzinie - </t>
    </r>
    <r>
      <rPr>
        <b/>
        <i/>
        <sz val="10"/>
        <color indexed="8"/>
        <rFont val="Times New Roman CE"/>
        <family val="0"/>
      </rPr>
      <t>(GRANTY)</t>
    </r>
  </si>
  <si>
    <t>Wojewódzki Program przeciwdziałania przemocy w rodzinie dla województwa kujawsko-pomorskiego do roku 2020 - Kujawsko-Pomorska Niebieska Linia</t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</si>
  <si>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</si>
  <si>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</si>
  <si>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</si>
  <si>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</si>
  <si>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t>85311</t>
  </si>
  <si>
    <t xml:space="preserve">Dofinansowanie kosztów działalności Zakładów Aktywności Zawodowej </t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</si>
  <si>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</si>
  <si>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dostępu dzieci do wczesnej wielospecjalistycznej interwencji w niepełnosprawność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</si>
  <si>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</si>
  <si>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</si>
  <si>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</si>
  <si>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Modernizacja Opery NOVA w Bydgoszczy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Opera NOVA w Bydgoszczy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</si>
  <si>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</si>
  <si>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Wykonanie dokumentacji projektowej dla potrzeb utworzenia "Dużej Sceny" Kujawsko-Pomorskiego Impresaryjnego Teatru Muzycznego w budynku przy ul. Warszawskiej 11 w Toruniu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</si>
  <si>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Rozbudowa i remont Filharmonii Pomorskiej im. Ignacego Jana Paderewskiego - I etap: Przebudowa i remont wraz z zakupem wyposażenia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</si>
  <si>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Rozbudowa i dostosowanie budynku Wojewódzkiej Biblioteki Publicznej - Książnicy Kopernikańskiej w Toruniu do nowych funkcji użytkowych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Wojewódzka Biblioteka Publiczna Książnica Kopernikańska w Toruniu</t>
    </r>
  </si>
  <si>
    <r>
      <t xml:space="preserve">Droga do Nowoczesności - przygotowanie dokumentacji projektowej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</si>
  <si>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t xml:space="preserve">Zakup wyposażenia 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</si>
  <si>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</si>
  <si>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>Modernizacja i rozbudowa Muzeum Historii Włocławka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Muzeum Ziemi Kujawskiej i Dobrzyńskiej we Włocławku</t>
    </r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</si>
  <si>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</si>
  <si>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</si>
  <si>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</si>
  <si>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</si>
  <si>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</si>
  <si>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</si>
  <si>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</si>
  <si>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t>92605</t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</si>
  <si>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</si>
  <si>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</si>
  <si>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t>Objaśnienia:</t>
  </si>
  <si>
    <t>IW - Inwestycje wieloletnie</t>
  </si>
  <si>
    <t xml:space="preserve">a </t>
  </si>
  <si>
    <t xml:space="preserve"> -</t>
  </si>
  <si>
    <t>plan przed zmianą</t>
  </si>
  <si>
    <t>zmiana</t>
  </si>
  <si>
    <t>plan po zmianie</t>
  </si>
  <si>
    <t xml:space="preserve">                                                                                     Załącznik nr  10 do uchwały Nr   /    /17</t>
  </si>
  <si>
    <t xml:space="preserve">                                                                                     Sejmiku Województwa z dnia   .02.2017 r.          </t>
  </si>
  <si>
    <t xml:space="preserve">                                                                                                </t>
  </si>
  <si>
    <r>
      <t xml:space="preserve">W załączniku nr 12 </t>
    </r>
    <r>
      <rPr>
        <b/>
        <sz val="10"/>
        <rFont val="Times New Roman CE"/>
        <family val="0"/>
      </rPr>
      <t>"Dochody i wydatki na zadania realizowane w drodze umów i porozumień między jednostkami samorządu terytorialnego. Plan na 2017 rok"</t>
    </r>
    <r>
      <rPr>
        <sz val="10"/>
        <rFont val="Times New Roman CE"/>
        <family val="1"/>
      </rPr>
      <t xml:space="preserve"> do uchwały XXVIII/745/16 Sejmiku Województwa Kujawsko-Pomorskiego z dnia 19 grudnia 2016 r.  w sprawie budżetu województwa na rok 2017 (z późn. zm.), wprowadza się następujące zmiany:</t>
    </r>
  </si>
  <si>
    <t>Dochody od JST</t>
  </si>
  <si>
    <t>Wydatki ogółem</t>
  </si>
  <si>
    <t>Jednostka Samorządu Terytorialnego</t>
  </si>
  <si>
    <t xml:space="preserve"> Rodzaj zadania</t>
  </si>
  <si>
    <t>Województwo Mazowieckie</t>
  </si>
  <si>
    <t>Województwo Pomorskie</t>
  </si>
  <si>
    <t>Gmina Osielsko</t>
  </si>
  <si>
    <t>Opracowanie dokumentacji projektowej przebudowy drogi wojewódzkiej nr 244 Kamieniec-Strzelce Dolne m. Żołędowo ul. Jastrzębia od km 30+068 do km 33+342, dł. 3,274 km</t>
  </si>
  <si>
    <t>Gminy</t>
  </si>
  <si>
    <t>Program "Drogowa Inicjatywa Samorządowa"</t>
  </si>
  <si>
    <t>Gminy
Powiaty</t>
  </si>
  <si>
    <t>Poprawa bezpieczeństwa i komfortu życia mieszkańców oraz wsparcie niskoemisyjnego transportu drogowego poprzez wybudowanie dróg dla rowerów (lider: województwo kujawsko-pomorskie) - RPO, Dz.3.5.2</t>
  </si>
  <si>
    <t>Program "Przeciwdziałanie wykluczeniu cyfrowemu osób najuboższych oraz niepełnosprawnych"</t>
  </si>
  <si>
    <t>Invest in BiT CITY 2. Promocja potencjału gospodarczego oraz promocja atrakcyjności inwestycyjnej miast prezydenckich województwa kujawsko-pomorskiego - RPO, Dz.1.5.2</t>
  </si>
  <si>
    <t>Expressway - promocja terenów inwestycyjnych - RPO, Dz.1.5.2</t>
  </si>
  <si>
    <r>
      <t xml:space="preserve">Dokształcanie uczniów
</t>
    </r>
    <r>
      <rPr>
        <i/>
        <sz val="10"/>
        <rFont val="Times New Roman CE"/>
        <family val="0"/>
      </rPr>
      <t>Okręgowy Ośrodek Dokształcania Zawodowego w Bydgoszczy</t>
    </r>
  </si>
  <si>
    <t>Kujawsko-Pomorska Niebieska Linia - przeciwdziałanie przemocy w rodzinie</t>
  </si>
  <si>
    <t>Miasto Bydgoszcz</t>
  </si>
  <si>
    <t>Droga do Nowoczesności - przygotowanie dokumentacji projektowej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</si>
  <si>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</si>
  <si>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</si>
  <si>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</si>
  <si>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</si>
  <si>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</si>
  <si>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a - plan przed zmianą</t>
  </si>
  <si>
    <t>b - zmiana</t>
  </si>
  <si>
    <t>c - plan po zmianie</t>
  </si>
  <si>
    <t xml:space="preserve">Załącznik nr 5 do uchwały </t>
  </si>
  <si>
    <r>
      <t xml:space="preserve">W załączniku nr 5 </t>
    </r>
    <r>
      <rPr>
        <b/>
        <sz val="10"/>
        <rFont val="Times New Roman CE"/>
        <family val="0"/>
      </rPr>
      <t xml:space="preserve">"Wynik budżetowy i finansowy. Plan na 2017 rok" </t>
    </r>
    <r>
      <rPr>
        <sz val="10"/>
        <rFont val="Times New Roman CE"/>
        <family val="0"/>
      </rPr>
      <t>do uchwały Nr XXVIII/475/16 Sejmiku Województwa Kujawsko-Pomorskiego z dnia 19 grudnia 2016 r. w sprawie budżetu województwa na rok 2017 (z późn.zm.), wprowadza się następujące zmiany:</t>
    </r>
  </si>
  <si>
    <t>Lp.</t>
  </si>
  <si>
    <t xml:space="preserve">Zmiana </t>
  </si>
  <si>
    <t>Dochody</t>
  </si>
  <si>
    <t>1.1</t>
  </si>
  <si>
    <t>dochody bieżące</t>
  </si>
  <si>
    <t>1.2</t>
  </si>
  <si>
    <t>dochody majątkowe</t>
  </si>
  <si>
    <t>Przychody</t>
  </si>
  <si>
    <t>Kredyt komercyjny</t>
  </si>
  <si>
    <t>2.1.1</t>
  </si>
  <si>
    <t>Kredyt na spłatę zaciągniętych kredytów</t>
  </si>
  <si>
    <t>2.1.2</t>
  </si>
  <si>
    <t>Kredyt na sfinansowanie planowanego deficytu budżetowego</t>
  </si>
  <si>
    <t>Wolne środki z lat ubiegłych</t>
  </si>
  <si>
    <t>OGÓŁEM   (w.1 + w.2)</t>
  </si>
  <si>
    <t>Wydatki</t>
  </si>
  <si>
    <t>4.1</t>
  </si>
  <si>
    <t>wydatki bieżące, w tym: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</si>
  <si>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</si>
  <si>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</si>
  <si>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</si>
  <si>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</si>
  <si>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</si>
  <si>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</si>
  <si>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</si>
  <si>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</si>
  <si>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</si>
  <si>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</si>
  <si>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</si>
  <si>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</si>
  <si>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Kredyty bankowe</t>
  </si>
  <si>
    <t>9.2</t>
  </si>
  <si>
    <t>Przeznaczenie nadwyżki budżetowej</t>
  </si>
  <si>
    <t>Spłata rat kapitałowych zaciągniętych kredytów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</si>
  <si>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</si>
  <si>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</si>
  <si>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</si>
  <si>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</si>
  <si>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</si>
  <si>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</si>
  <si>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</si>
  <si>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</si>
  <si>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</si>
  <si>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</si>
  <si>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</si>
  <si>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</si>
  <si>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</si>
  <si>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>Wynik finansowy budżetu</t>
  </si>
  <si>
    <t xml:space="preserve">Nr    /        /17 Sejmiku Województwa </t>
  </si>
  <si>
    <t>z dnia       .02.2017 r.</t>
  </si>
  <si>
    <t>Załącznik nr 11 do uchwały</t>
  </si>
  <si>
    <t xml:space="preserve">Nr       /        /17 Sejmiku Województwa </t>
  </si>
  <si>
    <t>z dnia   .02.2017 r.</t>
  </si>
  <si>
    <r>
      <t>W załączniku Nr 13</t>
    </r>
    <r>
      <rPr>
        <b/>
        <sz val="10"/>
        <rFont val="Times New Roman"/>
        <family val="1"/>
      </rPr>
      <t xml:space="preserve"> "Dochody gromadzone na wydzielonych rachunkach oraz wydatki nimi finansowane. Plan na 2017 rok"</t>
    </r>
    <r>
      <rPr>
        <sz val="10"/>
        <rFont val="Times New Roman"/>
        <family val="1"/>
      </rPr>
      <t xml:space="preserve"> do uchwały Nr XXVIII/475/16 Sejmiku Województwa Kujawsko-Pomorskiego z dnia 19 grudnia 2016 r. w sprawie budżetu województwa na rok 2017 (z późn. zm.), wprowadza się następujące zmiany:</t>
    </r>
  </si>
  <si>
    <t>Nazwa Jednostki</t>
  </si>
  <si>
    <t>Stan środków pieniężnych na początek okresu</t>
  </si>
  <si>
    <t>Stan środków pieniężnych na koniec 
okresu</t>
  </si>
  <si>
    <t xml:space="preserve">Biblioteka Pedagogiczna im. gen. bryg. prof. Elżbiety Zawackiej 
w Toruniu 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</si>
  <si>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</si>
  <si>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</si>
  <si>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</si>
  <si>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Medyczno-Społeczne Centrum Kształcenia Zawodowego 
i Ustawicznego w Inowrocławiu</t>
  </si>
  <si>
    <t>Medyczno-Społeczne Centrum Kształcenia Zawodowego 
i Ustawicznego w Toruniu</t>
  </si>
  <si>
    <t>Okręgowy Ośrodek Dokształcania Zawodowego w Bydgoszczy</t>
  </si>
  <si>
    <t>8.</t>
  </si>
  <si>
    <t>Pedagogiczna Biblioteka Wojewódzka im. Mariana Rejewskiego w Bydgoszczy</t>
  </si>
  <si>
    <t>9.</t>
  </si>
  <si>
    <t>Specjalny Ośrodek Szkolno-Wychowawczy im. J. Korczaka 
w Toruniu</t>
  </si>
  <si>
    <t>10.</t>
  </si>
  <si>
    <t>Specjalny Ośrodek Szkolno-Wychowawczy Nr 1 dla Dzieci i Młodzieży Słabo Widzącej i Niewidomej im. Louisa Braille'a 
w Bydgoszczy</t>
  </si>
  <si>
    <t>11.</t>
  </si>
  <si>
    <t>Specjalny Ośrodek Szkolno-Wychowawczy Nr 2 im. Gen. Stanisława Maczka w Bydgoszczy</t>
  </si>
  <si>
    <t>12.</t>
  </si>
  <si>
    <t>Zespół Szkół Nr 33 Specjalnych dla Dzieci i Młodzieży Przewlekle Chorej w Bydgoszczy</t>
  </si>
  <si>
    <t>a - plan na 2017 r.</t>
  </si>
  <si>
    <t>b - zmiany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</si>
</sst>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</numFmts>
  <fonts count="10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3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 CE"/>
      <family val="0"/>
    </font>
    <font>
      <b/>
      <sz val="16"/>
      <name val="Times New Roman CE"/>
      <family val="0"/>
    </font>
    <font>
      <b/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8"/>
      <name val="Arial CE"/>
      <family val="2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8"/>
      <name val="Times New Roman CE"/>
      <family val="1"/>
    </font>
    <font>
      <b/>
      <sz val="12"/>
      <name val="Arial CE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0"/>
      <name val="Arial CE"/>
      <family val="0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0"/>
    </font>
    <font>
      <b/>
      <i/>
      <sz val="10"/>
      <name val="Times New Roman CE"/>
      <family val="1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u val="single"/>
      <sz val="10"/>
      <name val="Times New Roman CE"/>
      <family val="1"/>
    </font>
    <font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/>
      <right style="medium"/>
      <top style="medium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5" fillId="27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15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1" fillId="0" borderId="0" xfId="0" applyFont="1" applyAlignment="1">
      <alignment/>
    </xf>
    <xf numFmtId="3" fontId="11" fillId="0" borderId="11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5" fillId="0" borderId="18" xfId="0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3" fontId="15" fillId="0" borderId="17" xfId="0" applyNumberFormat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wrapText="1"/>
    </xf>
    <xf numFmtId="3" fontId="12" fillId="0" borderId="12" xfId="0" applyNumberFormat="1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3" fontId="16" fillId="0" borderId="18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21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vertical="center"/>
    </xf>
    <xf numFmtId="3" fontId="20" fillId="0" borderId="29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vertical="center"/>
    </xf>
    <xf numFmtId="3" fontId="20" fillId="0" borderId="30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vertical="center"/>
    </xf>
    <xf numFmtId="3" fontId="20" fillId="0" borderId="25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 wrapText="1"/>
    </xf>
    <xf numFmtId="3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vertical="center" wrapText="1"/>
    </xf>
    <xf numFmtId="3" fontId="21" fillId="0" borderId="2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4" fillId="0" borderId="12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wrapText="1"/>
    </xf>
    <xf numFmtId="3" fontId="18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3" fontId="18" fillId="0" borderId="31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3" fontId="4" fillId="0" borderId="27" xfId="0" applyNumberFormat="1" applyFont="1" applyFill="1" applyBorder="1" applyAlignment="1">
      <alignment/>
    </xf>
    <xf numFmtId="0" fontId="4" fillId="0" borderId="26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33" borderId="17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0" fillId="33" borderId="18" xfId="0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right" vertical="top"/>
    </xf>
    <xf numFmtId="3" fontId="20" fillId="33" borderId="29" xfId="0" applyNumberFormat="1" applyFont="1" applyFill="1" applyBorder="1" applyAlignment="1">
      <alignment horizontal="right"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right" vertical="top"/>
    </xf>
    <xf numFmtId="3" fontId="20" fillId="33" borderId="30" xfId="0" applyNumberFormat="1" applyFont="1" applyFill="1" applyBorder="1" applyAlignment="1">
      <alignment horizontal="right" vertical="top"/>
    </xf>
    <xf numFmtId="0" fontId="20" fillId="33" borderId="19" xfId="0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right" vertical="top"/>
    </xf>
    <xf numFmtId="3" fontId="20" fillId="33" borderId="25" xfId="0" applyNumberFormat="1" applyFont="1" applyFill="1" applyBorder="1" applyAlignment="1">
      <alignment horizontal="right" vertical="top"/>
    </xf>
    <xf numFmtId="49" fontId="4" fillId="0" borderId="17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3" fontId="4" fillId="33" borderId="17" xfId="0" applyNumberFormat="1" applyFont="1" applyFill="1" applyBorder="1" applyAlignment="1">
      <alignment vertical="top"/>
    </xf>
    <xf numFmtId="3" fontId="4" fillId="0" borderId="17" xfId="0" applyNumberFormat="1" applyFont="1" applyBorder="1" applyAlignment="1">
      <alignment vertical="top"/>
    </xf>
    <xf numFmtId="3" fontId="4" fillId="0" borderId="0" xfId="0" applyNumberFormat="1" applyFont="1" applyAlignment="1">
      <alignment vertical="top"/>
    </xf>
    <xf numFmtId="0" fontId="21" fillId="0" borderId="18" xfId="0" applyFont="1" applyBorder="1" applyAlignment="1">
      <alignment horizontal="center" vertical="center" wrapText="1"/>
    </xf>
    <xf numFmtId="3" fontId="21" fillId="33" borderId="18" xfId="0" applyNumberFormat="1" applyFont="1" applyFill="1" applyBorder="1" applyAlignment="1">
      <alignment vertical="top"/>
    </xf>
    <xf numFmtId="3" fontId="21" fillId="0" borderId="18" xfId="0" applyNumberFormat="1" applyFont="1" applyBorder="1" applyAlignment="1">
      <alignment vertical="top"/>
    </xf>
    <xf numFmtId="3" fontId="21" fillId="0" borderId="29" xfId="0" applyNumberFormat="1" applyFont="1" applyBorder="1" applyAlignment="1">
      <alignment vertical="top"/>
    </xf>
    <xf numFmtId="3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vertical="top"/>
    </xf>
    <xf numFmtId="3" fontId="21" fillId="0" borderId="10" xfId="0" applyNumberFormat="1" applyFont="1" applyBorder="1" applyAlignment="1">
      <alignment vertical="top"/>
    </xf>
    <xf numFmtId="3" fontId="21" fillId="0" borderId="30" xfId="0" applyNumberFormat="1" applyFont="1" applyBorder="1" applyAlignment="1">
      <alignment vertical="top"/>
    </xf>
    <xf numFmtId="0" fontId="21" fillId="0" borderId="19" xfId="0" applyFont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vertical="top"/>
    </xf>
    <xf numFmtId="3" fontId="21" fillId="0" borderId="19" xfId="0" applyNumberFormat="1" applyFont="1" applyFill="1" applyBorder="1" applyAlignment="1">
      <alignment vertical="top"/>
    </xf>
    <xf numFmtId="3" fontId="21" fillId="0" borderId="25" xfId="0" applyNumberFormat="1" applyFont="1" applyFill="1" applyBorder="1" applyAlignment="1">
      <alignment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3" fontId="4" fillId="33" borderId="14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vertical="top"/>
    </xf>
    <xf numFmtId="0" fontId="4" fillId="0" borderId="12" xfId="0" applyFont="1" applyBorder="1" applyAlignment="1">
      <alignment vertical="top" wrapText="1"/>
    </xf>
    <xf numFmtId="3" fontId="4" fillId="0" borderId="12" xfId="0" applyNumberFormat="1" applyFont="1" applyBorder="1" applyAlignment="1">
      <alignment vertical="top"/>
    </xf>
    <xf numFmtId="3" fontId="21" fillId="33" borderId="18" xfId="0" applyNumberFormat="1" applyFont="1" applyFill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21" fillId="33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Fill="1" applyBorder="1" applyAlignment="1">
      <alignment horizontal="right" vertical="center"/>
    </xf>
    <xf numFmtId="3" fontId="21" fillId="0" borderId="30" xfId="0" applyNumberFormat="1" applyFont="1" applyBorder="1" applyAlignment="1">
      <alignment horizontal="right" vertical="center"/>
    </xf>
    <xf numFmtId="3" fontId="21" fillId="33" borderId="19" xfId="0" applyNumberFormat="1" applyFont="1" applyFill="1" applyBorder="1" applyAlignment="1">
      <alignment horizontal="right" vertical="center"/>
    </xf>
    <xf numFmtId="3" fontId="21" fillId="0" borderId="19" xfId="0" applyNumberFormat="1" applyFont="1" applyFill="1" applyBorder="1" applyAlignment="1">
      <alignment horizontal="right" vertical="center"/>
    </xf>
    <xf numFmtId="3" fontId="21" fillId="0" borderId="25" xfId="0" applyNumberFormat="1" applyFont="1" applyFill="1" applyBorder="1" applyAlignment="1">
      <alignment horizontal="right" vertical="center"/>
    </xf>
    <xf numFmtId="49" fontId="21" fillId="0" borderId="1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center" vertical="top" wrapText="1"/>
    </xf>
    <xf numFmtId="3" fontId="21" fillId="33" borderId="14" xfId="0" applyNumberFormat="1" applyFont="1" applyFill="1" applyBorder="1" applyAlignment="1">
      <alignment vertical="top"/>
    </xf>
    <xf numFmtId="3" fontId="21" fillId="0" borderId="14" xfId="0" applyNumberFormat="1" applyFont="1" applyBorder="1" applyAlignment="1">
      <alignment vertical="top"/>
    </xf>
    <xf numFmtId="3" fontId="21" fillId="0" borderId="14" xfId="0" applyNumberFormat="1" applyFont="1" applyFill="1" applyBorder="1" applyAlignment="1">
      <alignment vertical="top"/>
    </xf>
    <xf numFmtId="3" fontId="18" fillId="0" borderId="14" xfId="0" applyNumberFormat="1" applyFont="1" applyBorder="1" applyAlignment="1">
      <alignment vertical="top"/>
    </xf>
    <xf numFmtId="3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3" fontId="21" fillId="33" borderId="18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3" fontId="21" fillId="33" borderId="10" xfId="0" applyNumberFormat="1" applyFont="1" applyFill="1" applyBorder="1" applyAlignment="1">
      <alignment vertical="center"/>
    </xf>
    <xf numFmtId="3" fontId="21" fillId="33" borderId="19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4" fillId="0" borderId="14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24" fillId="0" borderId="14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33" borderId="17" xfId="0" applyNumberFormat="1" applyFont="1" applyFill="1" applyBorder="1" applyAlignment="1">
      <alignment vertical="center"/>
    </xf>
    <xf numFmtId="3" fontId="24" fillId="0" borderId="17" xfId="0" applyNumberFormat="1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Alignment="1">
      <alignment vertical="top"/>
    </xf>
    <xf numFmtId="3" fontId="21" fillId="0" borderId="18" xfId="0" applyNumberFormat="1" applyFont="1" applyFill="1" applyBorder="1" applyAlignment="1">
      <alignment vertical="top"/>
    </xf>
    <xf numFmtId="3" fontId="21" fillId="0" borderId="29" xfId="0" applyNumberFormat="1" applyFont="1" applyFill="1" applyBorder="1" applyAlignment="1">
      <alignment vertical="top"/>
    </xf>
    <xf numFmtId="3" fontId="21" fillId="0" borderId="10" xfId="0" applyNumberFormat="1" applyFont="1" applyFill="1" applyBorder="1" applyAlignment="1">
      <alignment vertical="top"/>
    </xf>
    <xf numFmtId="3" fontId="21" fillId="0" borderId="30" xfId="0" applyNumberFormat="1" applyFont="1" applyFill="1" applyBorder="1" applyAlignment="1">
      <alignment vertical="top"/>
    </xf>
    <xf numFmtId="3" fontId="18" fillId="0" borderId="0" xfId="0" applyNumberFormat="1" applyFont="1" applyFill="1" applyAlignment="1">
      <alignment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top"/>
    </xf>
    <xf numFmtId="3" fontId="21" fillId="0" borderId="19" xfId="0" applyNumberFormat="1" applyFont="1" applyBorder="1" applyAlignment="1">
      <alignment vertical="top"/>
    </xf>
    <xf numFmtId="3" fontId="21" fillId="0" borderId="25" xfId="0" applyNumberFormat="1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vertical="top"/>
    </xf>
    <xf numFmtId="3" fontId="4" fillId="0" borderId="17" xfId="0" applyNumberFormat="1" applyFont="1" applyFill="1" applyBorder="1" applyAlignment="1">
      <alignment vertical="top"/>
    </xf>
    <xf numFmtId="0" fontId="20" fillId="33" borderId="18" xfId="0" applyFont="1" applyFill="1" applyBorder="1" applyAlignment="1">
      <alignment horizontal="center" vertical="center"/>
    </xf>
    <xf numFmtId="3" fontId="20" fillId="33" borderId="18" xfId="0" applyNumberFormat="1" applyFont="1" applyFill="1" applyBorder="1" applyAlignment="1">
      <alignment/>
    </xf>
    <xf numFmtId="3" fontId="20" fillId="33" borderId="29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/>
    </xf>
    <xf numFmtId="3" fontId="20" fillId="33" borderId="10" xfId="0" applyNumberFormat="1" applyFont="1" applyFill="1" applyBorder="1" applyAlignment="1">
      <alignment/>
    </xf>
    <xf numFmtId="3" fontId="20" fillId="33" borderId="30" xfId="0" applyNumberFormat="1" applyFont="1" applyFill="1" applyBorder="1" applyAlignment="1">
      <alignment/>
    </xf>
    <xf numFmtId="0" fontId="20" fillId="33" borderId="19" xfId="0" applyFont="1" applyFill="1" applyBorder="1" applyAlignment="1">
      <alignment horizontal="center" vertical="center"/>
    </xf>
    <xf numFmtId="3" fontId="20" fillId="33" borderId="19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101" fillId="0" borderId="0" xfId="0" applyFont="1" applyAlignment="1">
      <alignment vertical="top" wrapText="1"/>
    </xf>
    <xf numFmtId="3" fontId="101" fillId="0" borderId="17" xfId="56" applyNumberFormat="1" applyFont="1" applyBorder="1" applyAlignment="1">
      <alignment vertical="top" wrapText="1"/>
      <protection/>
    </xf>
    <xf numFmtId="3" fontId="101" fillId="0" borderId="14" xfId="56" applyNumberFormat="1" applyFont="1" applyBorder="1" applyAlignment="1">
      <alignment vertical="top" wrapText="1"/>
      <protection/>
    </xf>
    <xf numFmtId="0" fontId="101" fillId="0" borderId="17" xfId="56" applyFont="1" applyBorder="1" applyAlignment="1">
      <alignment vertical="top" wrapText="1"/>
      <protection/>
    </xf>
    <xf numFmtId="0" fontId="101" fillId="0" borderId="14" xfId="56" applyFont="1" applyBorder="1" applyAlignment="1">
      <alignment vertical="top" wrapText="1"/>
      <protection/>
    </xf>
    <xf numFmtId="49" fontId="101" fillId="0" borderId="17" xfId="56" applyNumberFormat="1" applyFont="1" applyBorder="1" applyAlignment="1">
      <alignment horizontal="center" vertical="top" wrapText="1"/>
      <protection/>
    </xf>
    <xf numFmtId="49" fontId="101" fillId="0" borderId="14" xfId="56" applyNumberFormat="1" applyFont="1" applyBorder="1" applyAlignment="1">
      <alignment horizontal="center" vertical="top" wrapText="1"/>
      <protection/>
    </xf>
    <xf numFmtId="49" fontId="101" fillId="0" borderId="0" xfId="56" applyNumberFormat="1" applyFont="1" applyBorder="1" applyAlignment="1">
      <alignment horizontal="center" vertical="top" wrapText="1"/>
      <protection/>
    </xf>
    <xf numFmtId="3" fontId="101" fillId="0" borderId="0" xfId="56" applyNumberFormat="1" applyFont="1" applyBorder="1" applyAlignment="1">
      <alignment vertical="top" wrapText="1"/>
      <protection/>
    </xf>
    <xf numFmtId="49" fontId="101" fillId="0" borderId="15" xfId="56" applyNumberFormat="1" applyFont="1" applyBorder="1" applyAlignment="1">
      <alignment horizontal="center" vertical="top" wrapText="1"/>
      <protection/>
    </xf>
    <xf numFmtId="3" fontId="101" fillId="0" borderId="15" xfId="56" applyNumberFormat="1" applyFont="1" applyBorder="1" applyAlignment="1">
      <alignment vertical="top" wrapText="1"/>
      <protection/>
    </xf>
    <xf numFmtId="49" fontId="102" fillId="0" borderId="17" xfId="56" applyNumberFormat="1" applyFont="1" applyBorder="1" applyAlignment="1">
      <alignment horizontal="center" vertical="top" wrapText="1"/>
      <protection/>
    </xf>
    <xf numFmtId="49" fontId="102" fillId="0" borderId="0" xfId="56" applyNumberFormat="1" applyFont="1" applyBorder="1" applyAlignment="1">
      <alignment horizontal="center" vertical="top" wrapText="1"/>
      <protection/>
    </xf>
    <xf numFmtId="0" fontId="102" fillId="0" borderId="17" xfId="56" applyFont="1" applyBorder="1" applyAlignment="1">
      <alignment vertical="top" wrapText="1"/>
      <protection/>
    </xf>
    <xf numFmtId="3" fontId="102" fillId="0" borderId="0" xfId="56" applyNumberFormat="1" applyFont="1" applyBorder="1" applyAlignment="1">
      <alignment vertical="top" wrapText="1"/>
      <protection/>
    </xf>
    <xf numFmtId="3" fontId="102" fillId="0" borderId="17" xfId="56" applyNumberFormat="1" applyFont="1" applyBorder="1" applyAlignment="1">
      <alignment vertical="top" wrapText="1"/>
      <protection/>
    </xf>
    <xf numFmtId="0" fontId="102" fillId="0" borderId="0" xfId="0" applyFont="1" applyAlignment="1">
      <alignment vertical="top" wrapText="1"/>
    </xf>
    <xf numFmtId="49" fontId="102" fillId="0" borderId="10" xfId="56" applyNumberFormat="1" applyFont="1" applyBorder="1" applyAlignment="1">
      <alignment horizontal="center" vertical="top" wrapText="1"/>
      <protection/>
    </xf>
    <xf numFmtId="49" fontId="102" fillId="0" borderId="11" xfId="56" applyNumberFormat="1" applyFont="1" applyBorder="1" applyAlignment="1">
      <alignment horizontal="center" vertical="top" wrapText="1"/>
      <protection/>
    </xf>
    <xf numFmtId="0" fontId="102" fillId="0" borderId="10" xfId="56" applyFont="1" applyBorder="1" applyAlignment="1">
      <alignment vertical="top" wrapText="1"/>
      <protection/>
    </xf>
    <xf numFmtId="3" fontId="102" fillId="0" borderId="11" xfId="56" applyNumberFormat="1" applyFont="1" applyBorder="1" applyAlignment="1">
      <alignment vertical="top" wrapText="1"/>
      <protection/>
    </xf>
    <xf numFmtId="3" fontId="102" fillId="0" borderId="10" xfId="56" applyNumberFormat="1" applyFont="1" applyBorder="1" applyAlignment="1">
      <alignment vertical="top" wrapText="1"/>
      <protection/>
    </xf>
    <xf numFmtId="0" fontId="4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top"/>
    </xf>
    <xf numFmtId="0" fontId="21" fillId="0" borderId="18" xfId="0" applyFont="1" applyBorder="1" applyAlignment="1">
      <alignment vertical="top" wrapText="1"/>
    </xf>
    <xf numFmtId="0" fontId="21" fillId="0" borderId="18" xfId="0" applyFont="1" applyBorder="1" applyAlignment="1">
      <alignment horizontal="center" vertical="top" wrapText="1"/>
    </xf>
    <xf numFmtId="3" fontId="18" fillId="0" borderId="18" xfId="0" applyNumberFormat="1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49" fontId="101" fillId="0" borderId="12" xfId="56" applyNumberFormat="1" applyFont="1" applyBorder="1" applyAlignment="1">
      <alignment horizontal="center" vertical="top" wrapText="1"/>
      <protection/>
    </xf>
    <xf numFmtId="49" fontId="101" fillId="0" borderId="13" xfId="56" applyNumberFormat="1" applyFont="1" applyBorder="1" applyAlignment="1">
      <alignment horizontal="center" vertical="top" wrapText="1"/>
      <protection/>
    </xf>
    <xf numFmtId="0" fontId="101" fillId="0" borderId="12" xfId="56" applyFont="1" applyBorder="1" applyAlignment="1">
      <alignment vertical="top" wrapText="1"/>
      <protection/>
    </xf>
    <xf numFmtId="3" fontId="101" fillId="0" borderId="13" xfId="56" applyNumberFormat="1" applyFont="1" applyBorder="1" applyAlignment="1">
      <alignment vertical="top" wrapText="1"/>
      <protection/>
    </xf>
    <xf numFmtId="3" fontId="101" fillId="0" borderId="12" xfId="56" applyNumberFormat="1" applyFont="1" applyBorder="1" applyAlignment="1">
      <alignment vertical="top" wrapText="1"/>
      <protection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2" fillId="0" borderId="0" xfId="71" applyFill="1" applyAlignment="1">
      <alignment horizontal="center"/>
      <protection/>
    </xf>
    <xf numFmtId="0" fontId="2" fillId="0" borderId="0" xfId="71" applyFill="1">
      <alignment/>
      <protection/>
    </xf>
    <xf numFmtId="0" fontId="25" fillId="0" borderId="0" xfId="71" applyFont="1" applyFill="1">
      <alignment/>
      <protection/>
    </xf>
    <xf numFmtId="0" fontId="28" fillId="0" borderId="0" xfId="71" applyFont="1" applyFill="1" applyAlignment="1">
      <alignment horizontal="center"/>
      <protection/>
    </xf>
    <xf numFmtId="0" fontId="12" fillId="0" borderId="0" xfId="71" applyFont="1" applyFill="1">
      <alignment/>
      <protection/>
    </xf>
    <xf numFmtId="0" fontId="13" fillId="0" borderId="10" xfId="71" applyFont="1" applyFill="1" applyBorder="1" applyAlignment="1">
      <alignment horizontal="center" vertical="center" wrapText="1"/>
      <protection/>
    </xf>
    <xf numFmtId="0" fontId="32" fillId="0" borderId="10" xfId="71" applyFont="1" applyFill="1" applyBorder="1" applyAlignment="1">
      <alignment horizontal="center"/>
      <protection/>
    </xf>
    <xf numFmtId="0" fontId="32" fillId="0" borderId="0" xfId="71" applyFont="1" applyFill="1" applyAlignment="1">
      <alignment horizontal="center"/>
      <protection/>
    </xf>
    <xf numFmtId="0" fontId="33" fillId="0" borderId="0" xfId="71" applyFont="1" applyFill="1" applyBorder="1" applyAlignment="1">
      <alignment/>
      <protection/>
    </xf>
    <xf numFmtId="0" fontId="33" fillId="0" borderId="0" xfId="71" applyFont="1" applyFill="1" applyBorder="1" applyAlignment="1">
      <alignment horizontal="center"/>
      <protection/>
    </xf>
    <xf numFmtId="3" fontId="12" fillId="0" borderId="10" xfId="71" applyNumberFormat="1" applyFont="1" applyFill="1" applyBorder="1" applyAlignment="1">
      <alignment horizontal="center" vertical="center" wrapText="1"/>
      <protection/>
    </xf>
    <xf numFmtId="0" fontId="23" fillId="0" borderId="0" xfId="70" applyAlignment="1">
      <alignment vertical="center"/>
      <protection/>
    </xf>
    <xf numFmtId="3" fontId="24" fillId="33" borderId="10" xfId="70" applyNumberFormat="1" applyFont="1" applyFill="1" applyBorder="1" applyAlignment="1">
      <alignment vertical="center"/>
      <protection/>
    </xf>
    <xf numFmtId="3" fontId="34" fillId="0" borderId="10" xfId="70" applyNumberFormat="1" applyFont="1" applyBorder="1" applyAlignment="1">
      <alignment vertical="center"/>
      <protection/>
    </xf>
    <xf numFmtId="3" fontId="13" fillId="0" borderId="10" xfId="71" applyNumberFormat="1" applyFont="1" applyFill="1" applyBorder="1" applyAlignment="1">
      <alignment horizontal="center" vertical="center"/>
      <protection/>
    </xf>
    <xf numFmtId="0" fontId="36" fillId="0" borderId="0" xfId="70" applyFont="1" applyAlignment="1">
      <alignment vertical="center"/>
      <protection/>
    </xf>
    <xf numFmtId="3" fontId="13" fillId="0" borderId="10" xfId="71" applyNumberFormat="1" applyFont="1" applyFill="1" applyBorder="1" applyAlignment="1">
      <alignment horizontal="center" vertical="center" wrapText="1"/>
      <protection/>
    </xf>
    <xf numFmtId="3" fontId="21" fillId="33" borderId="10" xfId="70" applyNumberFormat="1" applyFont="1" applyFill="1" applyBorder="1" applyAlignment="1">
      <alignment vertical="center"/>
      <protection/>
    </xf>
    <xf numFmtId="0" fontId="23" fillId="0" borderId="0" xfId="70">
      <alignment/>
      <protection/>
    </xf>
    <xf numFmtId="3" fontId="21" fillId="0" borderId="10" xfId="70" applyNumberFormat="1" applyFont="1" applyBorder="1" applyAlignment="1">
      <alignment horizontal="right" vertical="center"/>
      <protection/>
    </xf>
    <xf numFmtId="0" fontId="12" fillId="0" borderId="0" xfId="71" applyFont="1" applyFill="1" applyBorder="1" applyAlignment="1">
      <alignment vertical="center"/>
      <protection/>
    </xf>
    <xf numFmtId="0" fontId="12" fillId="0" borderId="0" xfId="71" applyFont="1" applyFill="1" applyAlignment="1">
      <alignment vertical="center"/>
      <protection/>
    </xf>
    <xf numFmtId="0" fontId="13" fillId="0" borderId="0" xfId="71" applyFont="1" applyFill="1" applyAlignment="1">
      <alignment horizontal="right" vertical="center"/>
      <protection/>
    </xf>
    <xf numFmtId="0" fontId="2" fillId="0" borderId="0" xfId="71" applyFill="1" applyAlignment="1">
      <alignment horizontal="right"/>
      <protection/>
    </xf>
    <xf numFmtId="3" fontId="16" fillId="0" borderId="10" xfId="71" applyNumberFormat="1" applyFont="1" applyFill="1" applyBorder="1" applyAlignment="1">
      <alignment horizontal="center" vertical="center" wrapText="1"/>
      <protection/>
    </xf>
    <xf numFmtId="0" fontId="16" fillId="0" borderId="0" xfId="71" applyFont="1" applyFill="1" applyAlignment="1">
      <alignment horizontal="right" vertical="center"/>
      <protection/>
    </xf>
    <xf numFmtId="0" fontId="39" fillId="0" borderId="0" xfId="71" applyFont="1" applyFill="1" applyAlignment="1">
      <alignment horizontal="right"/>
      <protection/>
    </xf>
    <xf numFmtId="0" fontId="4" fillId="0" borderId="0" xfId="67" applyFont="1" applyAlignment="1">
      <alignment horizontal="center"/>
      <protection/>
    </xf>
    <xf numFmtId="0" fontId="4" fillId="0" borderId="0" xfId="67" applyFont="1">
      <alignment/>
      <protection/>
    </xf>
    <xf numFmtId="49" fontId="9" fillId="0" borderId="0" xfId="72" applyNumberFormat="1" applyFont="1" applyFill="1" applyAlignment="1">
      <alignment horizontal="center" vertical="center"/>
      <protection/>
    </xf>
    <xf numFmtId="49" fontId="8" fillId="0" borderId="0" xfId="72" applyNumberFormat="1" applyFont="1" applyFill="1" applyAlignment="1">
      <alignment horizontal="center" vertical="center" wrapText="1"/>
      <protection/>
    </xf>
    <xf numFmtId="0" fontId="9" fillId="0" borderId="0" xfId="72" applyFont="1" applyFill="1" applyAlignment="1">
      <alignment vertical="center"/>
      <protection/>
    </xf>
    <xf numFmtId="0" fontId="8" fillId="0" borderId="0" xfId="72" applyFont="1" applyFill="1" applyAlignment="1">
      <alignment vertical="center"/>
      <protection/>
    </xf>
    <xf numFmtId="4" fontId="8" fillId="0" borderId="0" xfId="72" applyNumberFormat="1" applyFont="1" applyAlignment="1">
      <alignment vertical="center"/>
      <protection/>
    </xf>
    <xf numFmtId="0" fontId="8" fillId="0" borderId="0" xfId="72" applyFont="1" applyAlignment="1">
      <alignment vertical="center"/>
      <protection/>
    </xf>
    <xf numFmtId="0" fontId="8" fillId="0" borderId="0" xfId="72" applyFont="1" applyFill="1" applyBorder="1" applyAlignment="1">
      <alignment horizontal="center" vertical="center"/>
      <protection/>
    </xf>
    <xf numFmtId="2" fontId="8" fillId="0" borderId="0" xfId="72" applyNumberFormat="1" applyFont="1" applyFill="1" applyBorder="1" applyAlignment="1">
      <alignment horizontal="center" vertical="center"/>
      <protection/>
    </xf>
    <xf numFmtId="49" fontId="9" fillId="0" borderId="34" xfId="72" applyNumberFormat="1" applyFont="1" applyFill="1" applyBorder="1" applyAlignment="1">
      <alignment horizontal="center" vertical="center" wrapText="1"/>
      <protection/>
    </xf>
    <xf numFmtId="4" fontId="9" fillId="0" borderId="0" xfId="72" applyNumberFormat="1" applyFont="1" applyFill="1" applyAlignment="1">
      <alignment horizontal="center" vertical="center" wrapText="1"/>
      <protection/>
    </xf>
    <xf numFmtId="2" fontId="9" fillId="0" borderId="0" xfId="72" applyNumberFormat="1" applyFont="1" applyFill="1" applyAlignment="1">
      <alignment horizontal="center" vertical="center" wrapText="1"/>
      <protection/>
    </xf>
    <xf numFmtId="49" fontId="9" fillId="0" borderId="35" xfId="72" applyNumberFormat="1" applyFont="1" applyFill="1" applyBorder="1" applyAlignment="1">
      <alignment horizontal="center" vertical="center" wrapText="1"/>
      <protection/>
    </xf>
    <xf numFmtId="49" fontId="9" fillId="0" borderId="27" xfId="72" applyNumberFormat="1" applyFont="1" applyFill="1" applyBorder="1" applyAlignment="1">
      <alignment horizontal="center" vertical="center" wrapText="1"/>
      <protection/>
    </xf>
    <xf numFmtId="2" fontId="8" fillId="0" borderId="10" xfId="72" applyNumberFormat="1" applyFont="1" applyFill="1" applyBorder="1" applyAlignment="1">
      <alignment horizontal="center" vertical="center" wrapText="1"/>
      <protection/>
    </xf>
    <xf numFmtId="2" fontId="8" fillId="0" borderId="16" xfId="72" applyNumberFormat="1" applyFont="1" applyFill="1" applyBorder="1" applyAlignment="1">
      <alignment horizontal="center" vertical="center" wrapText="1"/>
      <protection/>
    </xf>
    <xf numFmtId="49" fontId="40" fillId="0" borderId="36" xfId="72" applyNumberFormat="1" applyFont="1" applyFill="1" applyBorder="1" applyAlignment="1">
      <alignment horizontal="center" vertical="center" wrapText="1"/>
      <protection/>
    </xf>
    <xf numFmtId="49" fontId="10" fillId="0" borderId="31" xfId="72" applyNumberFormat="1" applyFont="1" applyFill="1" applyBorder="1" applyAlignment="1">
      <alignment horizontal="center" vertical="center" wrapText="1"/>
      <protection/>
    </xf>
    <xf numFmtId="49" fontId="40" fillId="0" borderId="10" xfId="72" applyNumberFormat="1" applyFont="1" applyFill="1" applyBorder="1" applyAlignment="1">
      <alignment horizontal="center" vertical="center" wrapText="1"/>
      <protection/>
    </xf>
    <xf numFmtId="49" fontId="40" fillId="0" borderId="31" xfId="72" applyNumberFormat="1" applyFont="1" applyFill="1" applyBorder="1" applyAlignment="1">
      <alignment horizontal="center" vertical="center" wrapText="1"/>
      <protection/>
    </xf>
    <xf numFmtId="49" fontId="40" fillId="0" borderId="16" xfId="72" applyNumberFormat="1" applyFont="1" applyFill="1" applyBorder="1" applyAlignment="1">
      <alignment horizontal="center" vertical="center" wrapText="1"/>
      <protection/>
    </xf>
    <xf numFmtId="49" fontId="40" fillId="0" borderId="30" xfId="72" applyNumberFormat="1" applyFont="1" applyFill="1" applyBorder="1" applyAlignment="1">
      <alignment horizontal="center" vertical="center" wrapText="1"/>
      <protection/>
    </xf>
    <xf numFmtId="4" fontId="40" fillId="0" borderId="0" xfId="72" applyNumberFormat="1" applyFont="1" applyFill="1" applyAlignment="1">
      <alignment horizontal="center" vertical="center" wrapText="1"/>
      <protection/>
    </xf>
    <xf numFmtId="49" fontId="40" fillId="0" borderId="0" xfId="72" applyNumberFormat="1" applyFont="1" applyFill="1" applyAlignment="1">
      <alignment horizontal="center" vertical="center" wrapText="1"/>
      <protection/>
    </xf>
    <xf numFmtId="49" fontId="40" fillId="0" borderId="37" xfId="72" applyNumberFormat="1" applyFont="1" applyFill="1" applyBorder="1" applyAlignment="1">
      <alignment horizontal="center" vertical="center" wrapText="1"/>
      <protection/>
    </xf>
    <xf numFmtId="49" fontId="41" fillId="0" borderId="13" xfId="72" applyNumberFormat="1" applyFont="1" applyFill="1" applyBorder="1" applyAlignment="1">
      <alignment horizontal="center" vertical="center" wrapText="1"/>
      <protection/>
    </xf>
    <xf numFmtId="49" fontId="42" fillId="0" borderId="13" xfId="72" applyNumberFormat="1" applyFont="1" applyFill="1" applyBorder="1" applyAlignment="1">
      <alignment horizontal="center" vertical="center" wrapText="1"/>
      <protection/>
    </xf>
    <xf numFmtId="49" fontId="40" fillId="0" borderId="13" xfId="72" applyNumberFormat="1" applyFont="1" applyFill="1" applyBorder="1" applyAlignment="1">
      <alignment horizontal="center" vertical="center" wrapText="1"/>
      <protection/>
    </xf>
    <xf numFmtId="49" fontId="40" fillId="0" borderId="12" xfId="72" applyNumberFormat="1" applyFont="1" applyFill="1" applyBorder="1" applyAlignment="1">
      <alignment horizontal="center" vertical="center" wrapText="1"/>
      <protection/>
    </xf>
    <xf numFmtId="49" fontId="40" fillId="0" borderId="38" xfId="72" applyNumberFormat="1" applyFont="1" applyFill="1" applyBorder="1" applyAlignment="1">
      <alignment horizontal="center" vertical="center" wrapText="1"/>
      <protection/>
    </xf>
    <xf numFmtId="4" fontId="40" fillId="0" borderId="0" xfId="72" applyNumberFormat="1" applyFont="1" applyAlignment="1">
      <alignment horizontal="center" vertical="center" wrapText="1"/>
      <protection/>
    </xf>
    <xf numFmtId="49" fontId="40" fillId="0" borderId="0" xfId="72" applyNumberFormat="1" applyFont="1" applyAlignment="1">
      <alignment horizontal="center" vertical="center" wrapText="1"/>
      <protection/>
    </xf>
    <xf numFmtId="3" fontId="11" fillId="34" borderId="18" xfId="72" applyNumberFormat="1" applyFont="1" applyFill="1" applyBorder="1" applyAlignment="1">
      <alignment horizontal="center" vertical="center" wrapText="1"/>
      <protection/>
    </xf>
    <xf numFmtId="3" fontId="9" fillId="34" borderId="39" xfId="72" applyNumberFormat="1" applyFont="1" applyFill="1" applyBorder="1" applyAlignment="1">
      <alignment horizontal="right" vertical="center" wrapText="1"/>
      <protection/>
    </xf>
    <xf numFmtId="3" fontId="9" fillId="34" borderId="18" xfId="72" applyNumberFormat="1" applyFont="1" applyFill="1" applyBorder="1" applyAlignment="1">
      <alignment horizontal="right" vertical="center" wrapText="1"/>
      <protection/>
    </xf>
    <xf numFmtId="3" fontId="9" fillId="34" borderId="29" xfId="72" applyNumberFormat="1" applyFont="1" applyFill="1" applyBorder="1" applyAlignment="1">
      <alignment horizontal="right" vertical="center" wrapText="1"/>
      <protection/>
    </xf>
    <xf numFmtId="4" fontId="43" fillId="35" borderId="0" xfId="72" applyNumberFormat="1" applyFont="1" applyFill="1" applyAlignment="1">
      <alignment horizontal="center" vertical="center" wrapText="1"/>
      <protection/>
    </xf>
    <xf numFmtId="3" fontId="8" fillId="0" borderId="0" xfId="72" applyNumberFormat="1" applyFont="1" applyAlignment="1">
      <alignment vertical="center" wrapText="1"/>
      <protection/>
    </xf>
    <xf numFmtId="4" fontId="8" fillId="0" borderId="0" xfId="72" applyNumberFormat="1" applyFont="1" applyAlignment="1">
      <alignment vertical="center" wrapText="1"/>
      <protection/>
    </xf>
    <xf numFmtId="3" fontId="11" fillId="34" borderId="10" xfId="72" applyNumberFormat="1" applyFont="1" applyFill="1" applyBorder="1" applyAlignment="1">
      <alignment horizontal="center" vertical="center" wrapText="1"/>
      <protection/>
    </xf>
    <xf numFmtId="3" fontId="9" fillId="34" borderId="10" xfId="72" applyNumberFormat="1" applyFont="1" applyFill="1" applyBorder="1" applyAlignment="1">
      <alignment horizontal="right" vertical="center" wrapText="1"/>
      <protection/>
    </xf>
    <xf numFmtId="3" fontId="9" fillId="34" borderId="30" xfId="72" applyNumberFormat="1" applyFont="1" applyFill="1" applyBorder="1" applyAlignment="1">
      <alignment horizontal="right" vertical="center" wrapText="1"/>
      <protection/>
    </xf>
    <xf numFmtId="3" fontId="11" fillId="34" borderId="19" xfId="72" applyNumberFormat="1" applyFont="1" applyFill="1" applyBorder="1" applyAlignment="1">
      <alignment horizontal="center" vertical="center" wrapText="1"/>
      <protection/>
    </xf>
    <xf numFmtId="3" fontId="9" fillId="34" borderId="19" xfId="72" applyNumberFormat="1" applyFont="1" applyFill="1" applyBorder="1" applyAlignment="1">
      <alignment horizontal="right" vertical="center" wrapText="1"/>
      <protection/>
    </xf>
    <xf numFmtId="3" fontId="9" fillId="34" borderId="25" xfId="72" applyNumberFormat="1" applyFont="1" applyFill="1" applyBorder="1" applyAlignment="1">
      <alignment horizontal="right" vertical="center" wrapText="1"/>
      <protection/>
    </xf>
    <xf numFmtId="49" fontId="9" fillId="0" borderId="40" xfId="72" applyNumberFormat="1" applyFont="1" applyBorder="1" applyAlignment="1">
      <alignment horizontal="center" vertical="center" wrapText="1"/>
      <protection/>
    </xf>
    <xf numFmtId="3" fontId="44" fillId="0" borderId="41" xfId="72" applyNumberFormat="1" applyFont="1" applyBorder="1" applyAlignment="1">
      <alignment horizontal="center" vertical="center" wrapText="1"/>
      <protection/>
    </xf>
    <xf numFmtId="3" fontId="9" fillId="0" borderId="0" xfId="72" applyNumberFormat="1" applyFont="1" applyFill="1" applyBorder="1" applyAlignment="1">
      <alignment vertical="center" wrapText="1"/>
      <protection/>
    </xf>
    <xf numFmtId="3" fontId="44" fillId="0" borderId="0" xfId="72" applyNumberFormat="1" applyFont="1" applyBorder="1" applyAlignment="1">
      <alignment vertical="center" wrapText="1"/>
      <protection/>
    </xf>
    <xf numFmtId="3" fontId="9" fillId="0" borderId="0" xfId="72" applyNumberFormat="1" applyFont="1" applyBorder="1" applyAlignment="1">
      <alignment horizontal="right" vertical="center" wrapText="1"/>
      <protection/>
    </xf>
    <xf numFmtId="3" fontId="9" fillId="0" borderId="17" xfId="72" applyNumberFormat="1" applyFont="1" applyBorder="1" applyAlignment="1">
      <alignment horizontal="right" vertical="center" wrapText="1"/>
      <protection/>
    </xf>
    <xf numFmtId="3" fontId="9" fillId="0" borderId="42" xfId="72" applyNumberFormat="1" applyFont="1" applyBorder="1" applyAlignment="1">
      <alignment horizontal="right" vertical="center" wrapText="1"/>
      <protection/>
    </xf>
    <xf numFmtId="3" fontId="9" fillId="0" borderId="43" xfId="72" applyNumberFormat="1" applyFont="1" applyBorder="1" applyAlignment="1">
      <alignment horizontal="right" vertical="center" wrapText="1"/>
      <protection/>
    </xf>
    <xf numFmtId="3" fontId="8" fillId="0" borderId="0" xfId="72" applyNumberFormat="1" applyFont="1" applyAlignment="1">
      <alignment horizontal="center" vertical="center" wrapText="1"/>
      <protection/>
    </xf>
    <xf numFmtId="4" fontId="8" fillId="0" borderId="0" xfId="72" applyNumberFormat="1" applyFont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center" vertical="center" wrapText="1"/>
      <protection/>
    </xf>
    <xf numFmtId="3" fontId="9" fillId="0" borderId="10" xfId="72" applyNumberFormat="1" applyFont="1" applyFill="1" applyBorder="1" applyAlignment="1">
      <alignment horizontal="right" vertical="center" wrapText="1"/>
      <protection/>
    </xf>
    <xf numFmtId="3" fontId="8" fillId="0" borderId="10" xfId="72" applyNumberFormat="1" applyFont="1" applyFill="1" applyBorder="1" applyAlignment="1">
      <alignment horizontal="right" vertical="center" wrapText="1"/>
      <protection/>
    </xf>
    <xf numFmtId="3" fontId="8" fillId="0" borderId="31" xfId="72" applyNumberFormat="1" applyFont="1" applyFill="1" applyBorder="1" applyAlignment="1">
      <alignment horizontal="right" vertical="center" wrapText="1"/>
      <protection/>
    </xf>
    <xf numFmtId="3" fontId="8" fillId="0" borderId="11" xfId="72" applyNumberFormat="1" applyFont="1" applyFill="1" applyBorder="1" applyAlignment="1">
      <alignment horizontal="right" vertical="center" wrapText="1"/>
      <protection/>
    </xf>
    <xf numFmtId="3" fontId="8" fillId="0" borderId="16" xfId="72" applyNumberFormat="1" applyFont="1" applyFill="1" applyBorder="1" applyAlignment="1">
      <alignment horizontal="right" vertical="center" wrapText="1"/>
      <protection/>
    </xf>
    <xf numFmtId="3" fontId="8" fillId="0" borderId="44" xfId="72" applyNumberFormat="1" applyFont="1" applyFill="1" applyBorder="1" applyAlignment="1">
      <alignment horizontal="right" vertical="center" wrapText="1"/>
      <protection/>
    </xf>
    <xf numFmtId="4" fontId="43" fillId="0" borderId="0" xfId="72" applyNumberFormat="1" applyFont="1" applyFill="1" applyAlignment="1">
      <alignment horizontal="center" vertical="center" wrapText="1"/>
      <protection/>
    </xf>
    <xf numFmtId="3" fontId="8" fillId="0" borderId="0" xfId="72" applyNumberFormat="1" applyFont="1" applyFill="1" applyAlignment="1">
      <alignment vertical="center" wrapText="1"/>
      <protection/>
    </xf>
    <xf numFmtId="4" fontId="8" fillId="0" borderId="0" xfId="72" applyNumberFormat="1" applyFont="1" applyFill="1" applyAlignment="1">
      <alignment vertical="center" wrapText="1"/>
      <protection/>
    </xf>
    <xf numFmtId="3" fontId="8" fillId="0" borderId="14" xfId="72" applyNumberFormat="1" applyFont="1" applyFill="1" applyBorder="1" applyAlignment="1">
      <alignment horizontal="right" vertical="center" wrapText="1"/>
      <protection/>
    </xf>
    <xf numFmtId="3" fontId="8" fillId="0" borderId="15" xfId="72" applyNumberFormat="1" applyFont="1" applyFill="1" applyBorder="1" applyAlignment="1">
      <alignment horizontal="right" vertical="center" wrapText="1"/>
      <protection/>
    </xf>
    <xf numFmtId="3" fontId="8" fillId="0" borderId="26" xfId="72" applyNumberFormat="1" applyFont="1" applyFill="1" applyBorder="1" applyAlignment="1">
      <alignment horizontal="right" vertical="center" wrapText="1"/>
      <protection/>
    </xf>
    <xf numFmtId="3" fontId="8" fillId="0" borderId="27" xfId="72" applyNumberFormat="1" applyFont="1" applyFill="1" applyBorder="1" applyAlignment="1">
      <alignment horizontal="right" vertical="center" wrapText="1"/>
      <protection/>
    </xf>
    <xf numFmtId="3" fontId="8" fillId="0" borderId="45" xfId="72" applyNumberFormat="1" applyFont="1" applyFill="1" applyBorder="1" applyAlignment="1">
      <alignment horizontal="right" vertical="center" wrapText="1"/>
      <protection/>
    </xf>
    <xf numFmtId="3" fontId="8" fillId="0" borderId="46" xfId="72" applyNumberFormat="1" applyFont="1" applyFill="1" applyBorder="1" applyAlignment="1">
      <alignment horizontal="right" vertical="center" wrapText="1"/>
      <protection/>
    </xf>
    <xf numFmtId="49" fontId="8" fillId="0" borderId="47" xfId="72" applyNumberFormat="1" applyFont="1" applyFill="1" applyBorder="1" applyAlignment="1">
      <alignment horizontal="center" vertical="center" wrapText="1"/>
      <protection/>
    </xf>
    <xf numFmtId="3" fontId="8" fillId="0" borderId="11" xfId="72" applyNumberFormat="1" applyFont="1" applyFill="1" applyBorder="1" applyAlignment="1">
      <alignment horizontal="left" vertical="center" wrapText="1"/>
      <protection/>
    </xf>
    <xf numFmtId="3" fontId="8" fillId="0" borderId="13" xfId="72" applyNumberFormat="1" applyFont="1" applyFill="1" applyBorder="1" applyAlignment="1">
      <alignment horizontal="left" vertical="center" wrapText="1"/>
      <protection/>
    </xf>
    <xf numFmtId="3" fontId="9" fillId="0" borderId="11" xfId="72" applyNumberFormat="1" applyFont="1" applyFill="1" applyBorder="1" applyAlignment="1">
      <alignment horizontal="right" vertical="center" wrapText="1"/>
      <protection/>
    </xf>
    <xf numFmtId="49" fontId="8" fillId="0" borderId="37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vertical="center"/>
      <protection/>
    </xf>
    <xf numFmtId="3" fontId="8" fillId="0" borderId="11" xfId="72" applyNumberFormat="1" applyFont="1" applyFill="1" applyBorder="1" applyAlignment="1">
      <alignment vertical="center"/>
      <protection/>
    </xf>
    <xf numFmtId="3" fontId="8" fillId="0" borderId="16" xfId="72" applyNumberFormat="1" applyFont="1" applyFill="1" applyBorder="1" applyAlignment="1">
      <alignment vertical="center"/>
      <protection/>
    </xf>
    <xf numFmtId="3" fontId="8" fillId="0" borderId="44" xfId="72" applyNumberFormat="1" applyFont="1" applyFill="1" applyBorder="1" applyAlignment="1">
      <alignment vertical="center"/>
      <protection/>
    </xf>
    <xf numFmtId="0" fontId="9" fillId="0" borderId="0" xfId="72" applyFont="1" applyFill="1" applyAlignment="1">
      <alignment vertical="center"/>
      <protection/>
    </xf>
    <xf numFmtId="4" fontId="9" fillId="0" borderId="0" xfId="72" applyNumberFormat="1" applyFont="1" applyFill="1" applyAlignment="1">
      <alignment vertical="center"/>
      <protection/>
    </xf>
    <xf numFmtId="49" fontId="8" fillId="0" borderId="47" xfId="72" applyNumberFormat="1" applyFont="1" applyFill="1" applyBorder="1" applyAlignment="1">
      <alignment horizontal="center" vertical="center"/>
      <protection/>
    </xf>
    <xf numFmtId="49" fontId="8" fillId="0" borderId="11" xfId="72" applyNumberFormat="1" applyFont="1" applyFill="1" applyBorder="1" applyAlignment="1">
      <alignment horizontal="left" vertical="center" wrapText="1"/>
      <protection/>
    </xf>
    <xf numFmtId="4" fontId="9" fillId="0" borderId="0" xfId="72" applyNumberFormat="1" applyFont="1" applyFill="1" applyAlignment="1">
      <alignment vertical="center"/>
      <protection/>
    </xf>
    <xf numFmtId="3" fontId="8" fillId="0" borderId="31" xfId="72" applyNumberFormat="1" applyFont="1" applyFill="1" applyBorder="1" applyAlignment="1">
      <alignment vertical="center"/>
      <protection/>
    </xf>
    <xf numFmtId="3" fontId="8" fillId="0" borderId="30" xfId="72" applyNumberFormat="1" applyFont="1" applyFill="1" applyBorder="1" applyAlignment="1">
      <alignment vertical="center"/>
      <protection/>
    </xf>
    <xf numFmtId="49" fontId="8" fillId="0" borderId="37" xfId="72" applyNumberFormat="1" applyFont="1" applyFill="1" applyBorder="1" applyAlignment="1">
      <alignment horizontal="center" vertical="center"/>
      <protection/>
    </xf>
    <xf numFmtId="49" fontId="8" fillId="0" borderId="13" xfId="72" applyNumberFormat="1" applyFont="1" applyFill="1" applyBorder="1" applyAlignment="1">
      <alignment horizontal="left" vertical="center" wrapText="1"/>
      <protection/>
    </xf>
    <xf numFmtId="49" fontId="9" fillId="0" borderId="48" xfId="72" applyNumberFormat="1" applyFont="1" applyBorder="1" applyAlignment="1">
      <alignment horizontal="center" vertical="center" wrapText="1"/>
      <protection/>
    </xf>
    <xf numFmtId="3" fontId="44" fillId="0" borderId="0" xfId="72" applyNumberFormat="1" applyFont="1" applyBorder="1" applyAlignment="1">
      <alignment horizontal="center" vertical="center" wrapText="1"/>
      <protection/>
    </xf>
    <xf numFmtId="3" fontId="11" fillId="34" borderId="49" xfId="72" applyNumberFormat="1" applyFont="1" applyFill="1" applyBorder="1" applyAlignment="1">
      <alignment horizontal="center" wrapText="1"/>
      <protection/>
    </xf>
    <xf numFmtId="3" fontId="9" fillId="34" borderId="22" xfId="72" applyNumberFormat="1" applyFont="1" applyFill="1" applyBorder="1" applyAlignment="1">
      <alignment horizontal="right" vertical="center" wrapText="1"/>
      <protection/>
    </xf>
    <xf numFmtId="3" fontId="11" fillId="34" borderId="16" xfId="72" applyNumberFormat="1" applyFont="1" applyFill="1" applyBorder="1" applyAlignment="1">
      <alignment horizontal="center" wrapText="1"/>
      <protection/>
    </xf>
    <xf numFmtId="3" fontId="11" fillId="34" borderId="50" xfId="72" applyNumberFormat="1" applyFont="1" applyFill="1" applyBorder="1" applyAlignment="1">
      <alignment horizontal="center" wrapText="1"/>
      <protection/>
    </xf>
    <xf numFmtId="49" fontId="9" fillId="0" borderId="51" xfId="72" applyNumberFormat="1" applyFont="1" applyBorder="1" applyAlignment="1">
      <alignment horizontal="center" vertical="center" wrapText="1"/>
      <protection/>
    </xf>
    <xf numFmtId="3" fontId="8" fillId="0" borderId="30" xfId="72" applyNumberFormat="1" applyFont="1" applyFill="1" applyBorder="1" applyAlignment="1">
      <alignment horizontal="right" vertical="center" wrapText="1"/>
      <protection/>
    </xf>
    <xf numFmtId="49" fontId="8" fillId="0" borderId="31" xfId="72" applyNumberFormat="1" applyFont="1" applyFill="1" applyBorder="1" applyAlignment="1">
      <alignment horizontal="center" vertical="center"/>
      <protection/>
    </xf>
    <xf numFmtId="3" fontId="9" fillId="0" borderId="13" xfId="72" applyNumberFormat="1" applyFont="1" applyFill="1" applyBorder="1" applyAlignment="1">
      <alignment horizontal="right" vertical="center" wrapText="1"/>
      <protection/>
    </xf>
    <xf numFmtId="3" fontId="8" fillId="0" borderId="0" xfId="72" applyNumberFormat="1" applyFont="1" applyFill="1" applyBorder="1" applyAlignment="1">
      <alignment vertical="center"/>
      <protection/>
    </xf>
    <xf numFmtId="3" fontId="8" fillId="0" borderId="43" xfId="72" applyNumberFormat="1" applyFont="1" applyFill="1" applyBorder="1" applyAlignment="1">
      <alignment vertical="center"/>
      <protection/>
    </xf>
    <xf numFmtId="3" fontId="9" fillId="0" borderId="12" xfId="72" applyNumberFormat="1" applyFont="1" applyFill="1" applyBorder="1" applyAlignment="1">
      <alignment horizontal="right" vertical="center" wrapText="1"/>
      <protection/>
    </xf>
    <xf numFmtId="3" fontId="8" fillId="0" borderId="12" xfId="72" applyNumberFormat="1" applyFont="1" applyFill="1" applyBorder="1" applyAlignment="1">
      <alignment vertical="center"/>
      <protection/>
    </xf>
    <xf numFmtId="3" fontId="8" fillId="0" borderId="28" xfId="72" applyNumberFormat="1" applyFont="1" applyFill="1" applyBorder="1" applyAlignment="1">
      <alignment vertical="center"/>
      <protection/>
    </xf>
    <xf numFmtId="3" fontId="8" fillId="0" borderId="13" xfId="72" applyNumberFormat="1" applyFont="1" applyFill="1" applyBorder="1" applyAlignment="1">
      <alignment vertical="center"/>
      <protection/>
    </xf>
    <xf numFmtId="3" fontId="8" fillId="0" borderId="21" xfId="72" applyNumberFormat="1" applyFont="1" applyFill="1" applyBorder="1" applyAlignment="1">
      <alignment vertical="center"/>
      <protection/>
    </xf>
    <xf numFmtId="3" fontId="8" fillId="0" borderId="38" xfId="72" applyNumberFormat="1" applyFont="1" applyFill="1" applyBorder="1" applyAlignment="1">
      <alignment vertical="center"/>
      <protection/>
    </xf>
    <xf numFmtId="49" fontId="8" fillId="0" borderId="52" xfId="72" applyNumberFormat="1" applyFont="1" applyFill="1" applyBorder="1" applyAlignment="1">
      <alignment horizontal="center" vertical="center"/>
      <protection/>
    </xf>
    <xf numFmtId="49" fontId="37" fillId="34" borderId="18" xfId="72" applyNumberFormat="1" applyFont="1" applyFill="1" applyBorder="1" applyAlignment="1">
      <alignment horizontal="center" vertical="center"/>
      <protection/>
    </xf>
    <xf numFmtId="3" fontId="11" fillId="34" borderId="18" xfId="72" applyNumberFormat="1" applyFont="1" applyFill="1" applyBorder="1" applyAlignment="1">
      <alignment vertical="center"/>
      <protection/>
    </xf>
    <xf numFmtId="3" fontId="11" fillId="34" borderId="29" xfId="72" applyNumberFormat="1" applyFont="1" applyFill="1" applyBorder="1" applyAlignment="1">
      <alignment vertical="center"/>
      <protection/>
    </xf>
    <xf numFmtId="3" fontId="37" fillId="36" borderId="0" xfId="72" applyNumberFormat="1" applyFont="1" applyFill="1" applyAlignment="1">
      <alignment vertical="center"/>
      <protection/>
    </xf>
    <xf numFmtId="0" fontId="37" fillId="36" borderId="0" xfId="72" applyFont="1" applyFill="1" applyAlignment="1">
      <alignment vertical="center"/>
      <protection/>
    </xf>
    <xf numFmtId="4" fontId="37" fillId="36" borderId="0" xfId="72" applyNumberFormat="1" applyFont="1" applyFill="1" applyAlignment="1">
      <alignment vertical="center"/>
      <protection/>
    </xf>
    <xf numFmtId="49" fontId="37" fillId="34" borderId="10" xfId="72" applyNumberFormat="1" applyFont="1" applyFill="1" applyBorder="1" applyAlignment="1">
      <alignment horizontal="center" vertical="center"/>
      <protection/>
    </xf>
    <xf numFmtId="3" fontId="11" fillId="34" borderId="10" xfId="72" applyNumberFormat="1" applyFont="1" applyFill="1" applyBorder="1" applyAlignment="1">
      <alignment vertical="center"/>
      <protection/>
    </xf>
    <xf numFmtId="3" fontId="11" fillId="34" borderId="30" xfId="72" applyNumberFormat="1" applyFont="1" applyFill="1" applyBorder="1" applyAlignment="1">
      <alignment vertical="center"/>
      <protection/>
    </xf>
    <xf numFmtId="49" fontId="37" fillId="34" borderId="19" xfId="72" applyNumberFormat="1" applyFont="1" applyFill="1" applyBorder="1" applyAlignment="1">
      <alignment horizontal="center" vertical="center"/>
      <protection/>
    </xf>
    <xf numFmtId="3" fontId="11" fillId="34" borderId="19" xfId="72" applyNumberFormat="1" applyFont="1" applyFill="1" applyBorder="1" applyAlignment="1">
      <alignment vertical="center"/>
      <protection/>
    </xf>
    <xf numFmtId="3" fontId="11" fillId="34" borderId="25" xfId="72" applyNumberFormat="1" applyFont="1" applyFill="1" applyBorder="1" applyAlignment="1">
      <alignment vertical="center"/>
      <protection/>
    </xf>
    <xf numFmtId="49" fontId="37" fillId="0" borderId="0" xfId="72" applyNumberFormat="1" applyFont="1" applyFill="1" applyBorder="1" applyAlignment="1">
      <alignment horizontal="center" vertical="center"/>
      <protection/>
    </xf>
    <xf numFmtId="3" fontId="11" fillId="0" borderId="0" xfId="72" applyNumberFormat="1" applyFont="1" applyFill="1" applyBorder="1" applyAlignment="1">
      <alignment vertical="center"/>
      <protection/>
    </xf>
    <xf numFmtId="4" fontId="8" fillId="0" borderId="0" xfId="72" applyNumberFormat="1" applyFont="1" applyFill="1" applyAlignment="1">
      <alignment vertical="center"/>
      <protection/>
    </xf>
    <xf numFmtId="49" fontId="8" fillId="0" borderId="0" xfId="72" applyNumberFormat="1" applyFont="1" applyFill="1" applyBorder="1" applyAlignment="1">
      <alignment horizontal="right" vertical="center"/>
      <protection/>
    </xf>
    <xf numFmtId="49" fontId="8" fillId="0" borderId="0" xfId="72" applyNumberFormat="1" applyFont="1" applyFill="1" applyBorder="1" applyAlignment="1">
      <alignment horizontal="left" vertical="center"/>
      <protection/>
    </xf>
    <xf numFmtId="49" fontId="8" fillId="0" borderId="0" xfId="72" applyNumberFormat="1" applyFont="1" applyFill="1" applyBorder="1" applyAlignment="1">
      <alignment horizontal="center" vertical="center"/>
      <protection/>
    </xf>
    <xf numFmtId="0" fontId="8" fillId="0" borderId="0" xfId="72" applyFont="1" applyFill="1" applyAlignment="1">
      <alignment vertical="center"/>
      <protection/>
    </xf>
    <xf numFmtId="49" fontId="9" fillId="0" borderId="0" xfId="72" applyNumberFormat="1" applyFont="1" applyAlignment="1">
      <alignment horizontal="center" vertical="center"/>
      <protection/>
    </xf>
    <xf numFmtId="49" fontId="8" fillId="0" borderId="0" xfId="72" applyNumberFormat="1" applyFont="1" applyAlignment="1">
      <alignment horizontal="center" vertical="center" wrapText="1"/>
      <protection/>
    </xf>
    <xf numFmtId="0" fontId="9" fillId="35" borderId="0" xfId="72" applyFont="1" applyFill="1" applyAlignment="1">
      <alignment vertical="center"/>
      <protection/>
    </xf>
    <xf numFmtId="49" fontId="18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49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02" fillId="0" borderId="10" xfId="0" applyFont="1" applyBorder="1" applyAlignment="1">
      <alignment horizontal="center" vertical="top"/>
    </xf>
    <xf numFmtId="0" fontId="102" fillId="0" borderId="10" xfId="0" applyFont="1" applyBorder="1" applyAlignment="1">
      <alignment vertical="top" wrapText="1"/>
    </xf>
    <xf numFmtId="3" fontId="102" fillId="0" borderId="10" xfId="0" applyNumberFormat="1" applyFont="1" applyBorder="1" applyAlignment="1">
      <alignment vertical="top"/>
    </xf>
    <xf numFmtId="0" fontId="102" fillId="0" borderId="17" xfId="0" applyFont="1" applyBorder="1" applyAlignment="1">
      <alignment horizontal="center" vertical="top"/>
    </xf>
    <xf numFmtId="0" fontId="102" fillId="0" borderId="17" xfId="0" applyFont="1" applyBorder="1" applyAlignment="1">
      <alignment vertical="top" wrapText="1"/>
    </xf>
    <xf numFmtId="3" fontId="102" fillId="0" borderId="17" xfId="0" applyNumberFormat="1" applyFont="1" applyBorder="1" applyAlignment="1">
      <alignment vertical="top"/>
    </xf>
    <xf numFmtId="0" fontId="101" fillId="0" borderId="17" xfId="0" applyFont="1" applyBorder="1" applyAlignment="1">
      <alignment horizontal="center" vertical="top"/>
    </xf>
    <xf numFmtId="0" fontId="101" fillId="0" borderId="17" xfId="0" applyFont="1" applyBorder="1" applyAlignment="1">
      <alignment vertical="top" wrapText="1"/>
    </xf>
    <xf numFmtId="3" fontId="101" fillId="0" borderId="17" xfId="0" applyNumberFormat="1" applyFont="1" applyBorder="1" applyAlignment="1">
      <alignment vertical="top"/>
    </xf>
    <xf numFmtId="49" fontId="101" fillId="0" borderId="17" xfId="0" applyNumberFormat="1" applyFont="1" applyBorder="1" applyAlignment="1">
      <alignment horizontal="center" vertical="top"/>
    </xf>
    <xf numFmtId="0" fontId="101" fillId="0" borderId="14" xfId="0" applyFont="1" applyBorder="1" applyAlignment="1">
      <alignment horizontal="center" vertical="top"/>
    </xf>
    <xf numFmtId="0" fontId="101" fillId="0" borderId="14" xfId="0" applyFont="1" applyBorder="1" applyAlignment="1">
      <alignment vertical="top" wrapText="1"/>
    </xf>
    <xf numFmtId="3" fontId="101" fillId="0" borderId="14" xfId="0" applyNumberFormat="1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75" applyFont="1" applyFill="1" applyAlignment="1">
      <alignment vertical="center"/>
      <protection/>
    </xf>
    <xf numFmtId="3" fontId="12" fillId="0" borderId="0" xfId="75" applyNumberFormat="1" applyFont="1" applyFill="1" applyAlignment="1">
      <alignment horizontal="center" vertical="center" wrapText="1"/>
      <protection/>
    </xf>
    <xf numFmtId="3" fontId="12" fillId="0" borderId="0" xfId="75" applyNumberFormat="1" applyFont="1" applyFill="1" applyAlignment="1">
      <alignment horizontal="center" vertical="center"/>
      <protection/>
    </xf>
    <xf numFmtId="3" fontId="12" fillId="0" borderId="0" xfId="75" applyNumberFormat="1" applyFont="1" applyFill="1" applyAlignment="1">
      <alignment horizontal="left" vertical="center"/>
      <protection/>
    </xf>
    <xf numFmtId="3" fontId="45" fillId="0" borderId="0" xfId="75" applyNumberFormat="1" applyFont="1" applyFill="1" applyAlignment="1">
      <alignment horizontal="left" vertical="center"/>
      <protection/>
    </xf>
    <xf numFmtId="3" fontId="12" fillId="0" borderId="0" xfId="75" applyNumberFormat="1" applyFont="1" applyFill="1" applyAlignment="1">
      <alignment horizontal="left" vertical="center" wrapText="1"/>
      <protection/>
    </xf>
    <xf numFmtId="0" fontId="12" fillId="0" borderId="0" xfId="75" applyFont="1" applyFill="1" applyAlignment="1">
      <alignment vertical="center" wrapText="1"/>
      <protection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horizontal="center" vertical="center" wrapText="1"/>
      <protection/>
    </xf>
    <xf numFmtId="0" fontId="45" fillId="0" borderId="0" xfId="75" applyFont="1" applyFill="1" applyAlignment="1">
      <alignment vertical="center" wrapText="1"/>
      <protection/>
    </xf>
    <xf numFmtId="3" fontId="31" fillId="0" borderId="11" xfId="75" applyNumberFormat="1" applyFont="1" applyFill="1" applyBorder="1" applyAlignment="1">
      <alignment horizontal="center" vertical="top" wrapText="1"/>
      <protection/>
    </xf>
    <xf numFmtId="3" fontId="31" fillId="0" borderId="16" xfId="75" applyNumberFormat="1" applyFont="1" applyFill="1" applyBorder="1" applyAlignment="1">
      <alignment horizontal="center" vertical="top" wrapText="1"/>
      <protection/>
    </xf>
    <xf numFmtId="0" fontId="13" fillId="0" borderId="0" xfId="75" applyFont="1" applyFill="1" applyAlignment="1">
      <alignment vertical="center"/>
      <protection/>
    </xf>
    <xf numFmtId="0" fontId="31" fillId="0" borderId="12" xfId="75" applyFont="1" applyFill="1" applyBorder="1" applyAlignment="1">
      <alignment horizontal="center" vertical="top" wrapText="1"/>
      <protection/>
    </xf>
    <xf numFmtId="0" fontId="31" fillId="0" borderId="14" xfId="75" applyFont="1" applyFill="1" applyBorder="1" applyAlignment="1">
      <alignment horizontal="center" vertical="top" wrapText="1"/>
      <protection/>
    </xf>
    <xf numFmtId="3" fontId="31" fillId="0" borderId="10" xfId="75" applyNumberFormat="1" applyFont="1" applyFill="1" applyBorder="1" applyAlignment="1">
      <alignment horizontal="center" vertical="top" wrapText="1"/>
      <protection/>
    </xf>
    <xf numFmtId="0" fontId="40" fillId="0" borderId="10" xfId="75" applyFont="1" applyFill="1" applyBorder="1" applyAlignment="1">
      <alignment horizontal="center" vertical="center" wrapText="1"/>
      <protection/>
    </xf>
    <xf numFmtId="3" fontId="40" fillId="0" borderId="10" xfId="75" applyNumberFormat="1" applyFont="1" applyFill="1" applyBorder="1" applyAlignment="1">
      <alignment horizontal="center" vertical="center" wrapText="1"/>
      <protection/>
    </xf>
    <xf numFmtId="0" fontId="40" fillId="0" borderId="0" xfId="75" applyFont="1" applyFill="1" applyAlignment="1">
      <alignment horizontal="center" vertical="center"/>
      <protection/>
    </xf>
    <xf numFmtId="0" fontId="47" fillId="0" borderId="53" xfId="75" applyFont="1" applyFill="1" applyBorder="1" applyAlignment="1">
      <alignment horizontal="center" vertical="center"/>
      <protection/>
    </xf>
    <xf numFmtId="0" fontId="47" fillId="0" borderId="54" xfId="75" applyFont="1" applyFill="1" applyBorder="1" applyAlignment="1">
      <alignment horizontal="center" vertical="center"/>
      <protection/>
    </xf>
    <xf numFmtId="0" fontId="47" fillId="0" borderId="54" xfId="75" applyFont="1" applyFill="1" applyBorder="1" applyAlignment="1">
      <alignment horizontal="center" vertical="center" wrapText="1"/>
      <protection/>
    </xf>
    <xf numFmtId="0" fontId="48" fillId="0" borderId="54" xfId="75" applyFont="1" applyFill="1" applyBorder="1" applyAlignment="1">
      <alignment horizontal="center" vertical="center" wrapText="1"/>
      <protection/>
    </xf>
    <xf numFmtId="3" fontId="47" fillId="0" borderId="54" xfId="75" applyNumberFormat="1" applyFont="1" applyFill="1" applyBorder="1" applyAlignment="1">
      <alignment horizontal="center" vertical="center" wrapText="1"/>
      <protection/>
    </xf>
    <xf numFmtId="3" fontId="47" fillId="0" borderId="50" xfId="75" applyNumberFormat="1" applyFont="1" applyFill="1" applyBorder="1" applyAlignment="1">
      <alignment horizontal="center" vertical="center" wrapText="1"/>
      <protection/>
    </xf>
    <xf numFmtId="0" fontId="47" fillId="0" borderId="0" xfId="75" applyFont="1" applyFill="1" applyAlignment="1">
      <alignment horizontal="center" vertical="center"/>
      <protection/>
    </xf>
    <xf numFmtId="0" fontId="49" fillId="0" borderId="32" xfId="75" applyFont="1" applyFill="1" applyBorder="1" applyAlignment="1">
      <alignment horizontal="center" vertical="center" wrapText="1"/>
      <protection/>
    </xf>
    <xf numFmtId="3" fontId="49" fillId="0" borderId="55" xfId="75" applyNumberFormat="1" applyFont="1" applyFill="1" applyBorder="1" applyAlignment="1">
      <alignment horizontal="right" vertical="center" wrapText="1"/>
      <protection/>
    </xf>
    <xf numFmtId="3" fontId="49" fillId="0" borderId="32" xfId="75" applyNumberFormat="1" applyFont="1" applyFill="1" applyBorder="1" applyAlignment="1">
      <alignment horizontal="right" vertical="center" wrapText="1"/>
      <protection/>
    </xf>
    <xf numFmtId="0" fontId="49" fillId="0" borderId="0" xfId="75" applyFont="1" applyFill="1" applyAlignment="1">
      <alignment horizontal="center" vertical="center"/>
      <protection/>
    </xf>
    <xf numFmtId="0" fontId="47" fillId="0" borderId="56" xfId="75" applyFont="1" applyFill="1" applyBorder="1" applyAlignment="1">
      <alignment horizontal="center"/>
      <protection/>
    </xf>
    <xf numFmtId="0" fontId="47" fillId="0" borderId="57" xfId="75" applyFont="1" applyFill="1" applyBorder="1" applyAlignment="1">
      <alignment horizontal="center"/>
      <protection/>
    </xf>
    <xf numFmtId="0" fontId="47" fillId="0" borderId="57" xfId="75" applyFont="1" applyFill="1" applyBorder="1" applyAlignment="1">
      <alignment horizontal="center" wrapText="1"/>
      <protection/>
    </xf>
    <xf numFmtId="0" fontId="47" fillId="0" borderId="57" xfId="75" applyFont="1" applyFill="1" applyBorder="1" applyAlignment="1">
      <alignment horizontal="left" wrapText="1"/>
      <protection/>
    </xf>
    <xf numFmtId="0" fontId="48" fillId="0" borderId="57" xfId="75" applyFont="1" applyFill="1" applyBorder="1" applyAlignment="1">
      <alignment horizontal="center" wrapText="1"/>
      <protection/>
    </xf>
    <xf numFmtId="3" fontId="47" fillId="0" borderId="57" xfId="75" applyNumberFormat="1" applyFont="1" applyFill="1" applyBorder="1" applyAlignment="1">
      <alignment horizontal="center" wrapText="1"/>
      <protection/>
    </xf>
    <xf numFmtId="3" fontId="47" fillId="0" borderId="55" xfId="75" applyNumberFormat="1" applyFont="1" applyFill="1" applyBorder="1" applyAlignment="1">
      <alignment horizontal="center" wrapText="1"/>
      <protection/>
    </xf>
    <xf numFmtId="0" fontId="47" fillId="0" borderId="0" xfId="75" applyFont="1" applyFill="1" applyAlignment="1">
      <alignment horizontal="center"/>
      <protection/>
    </xf>
    <xf numFmtId="0" fontId="15" fillId="0" borderId="32" xfId="75" applyFont="1" applyFill="1" applyBorder="1" applyAlignment="1">
      <alignment horizontal="center" vertical="center"/>
      <protection/>
    </xf>
    <xf numFmtId="3" fontId="15" fillId="0" borderId="32" xfId="75" applyNumberFormat="1" applyFont="1" applyFill="1" applyBorder="1" applyAlignment="1">
      <alignment horizontal="right" vertical="center"/>
      <protection/>
    </xf>
    <xf numFmtId="0" fontId="15" fillId="0" borderId="32" xfId="75" applyFont="1" applyFill="1" applyBorder="1" applyAlignment="1">
      <alignment horizontal="right" vertical="center"/>
      <protection/>
    </xf>
    <xf numFmtId="0" fontId="15" fillId="0" borderId="0" xfId="75" applyFont="1" applyFill="1" applyAlignment="1">
      <alignment vertical="center"/>
      <protection/>
    </xf>
    <xf numFmtId="0" fontId="47" fillId="0" borderId="35" xfId="75" applyFont="1" applyFill="1" applyBorder="1" applyAlignment="1">
      <alignment horizontal="center"/>
      <protection/>
    </xf>
    <xf numFmtId="0" fontId="47" fillId="0" borderId="0" xfId="75" applyFont="1" applyFill="1" applyBorder="1" applyAlignment="1">
      <alignment horizontal="center"/>
      <protection/>
    </xf>
    <xf numFmtId="0" fontId="47" fillId="0" borderId="15" xfId="75" applyFont="1" applyFill="1" applyBorder="1" applyAlignment="1">
      <alignment horizontal="center"/>
      <protection/>
    </xf>
    <xf numFmtId="0" fontId="47" fillId="0" borderId="15" xfId="75" applyFont="1" applyFill="1" applyBorder="1" applyAlignment="1">
      <alignment horizontal="center" wrapText="1"/>
      <protection/>
    </xf>
    <xf numFmtId="0" fontId="48" fillId="0" borderId="15" xfId="75" applyFont="1" applyFill="1" applyBorder="1" applyAlignment="1">
      <alignment horizontal="center" wrapText="1"/>
      <protection/>
    </xf>
    <xf numFmtId="3" fontId="47" fillId="0" borderId="15" xfId="75" applyNumberFormat="1" applyFont="1" applyFill="1" applyBorder="1" applyAlignment="1">
      <alignment horizontal="center" wrapText="1"/>
      <protection/>
    </xf>
    <xf numFmtId="3" fontId="47" fillId="0" borderId="26" xfId="75" applyNumberFormat="1" applyFont="1" applyFill="1" applyBorder="1" applyAlignment="1">
      <alignment horizontal="center" wrapText="1"/>
      <protection/>
    </xf>
    <xf numFmtId="0" fontId="50" fillId="0" borderId="10" xfId="75" applyFont="1" applyFill="1" applyBorder="1" applyAlignment="1">
      <alignment horizontal="center" vertical="center" wrapText="1"/>
      <protection/>
    </xf>
    <xf numFmtId="3" fontId="4" fillId="0" borderId="10" xfId="75" applyNumberFormat="1" applyFont="1" applyFill="1" applyBorder="1" applyAlignment="1">
      <alignment vertical="center" wrapText="1"/>
      <protection/>
    </xf>
    <xf numFmtId="3" fontId="50" fillId="0" borderId="10" xfId="75" applyNumberFormat="1" applyFont="1" applyFill="1" applyBorder="1" applyAlignment="1">
      <alignment vertical="center" wrapText="1"/>
      <protection/>
    </xf>
    <xf numFmtId="0" fontId="31" fillId="0" borderId="0" xfId="75" applyFont="1" applyFill="1" applyAlignment="1">
      <alignment vertical="top"/>
      <protection/>
    </xf>
    <xf numFmtId="0" fontId="47" fillId="0" borderId="53" xfId="75" applyFont="1" applyFill="1" applyBorder="1" applyAlignment="1">
      <alignment horizontal="center"/>
      <protection/>
    </xf>
    <xf numFmtId="0" fontId="47" fillId="0" borderId="58" xfId="75" applyFont="1" applyFill="1" applyBorder="1" applyAlignment="1">
      <alignment horizontal="center"/>
      <protection/>
    </xf>
    <xf numFmtId="0" fontId="47" fillId="0" borderId="58" xfId="75" applyFont="1" applyFill="1" applyBorder="1" applyAlignment="1">
      <alignment horizontal="center" wrapText="1"/>
      <protection/>
    </xf>
    <xf numFmtId="0" fontId="47" fillId="0" borderId="58" xfId="75" applyFont="1" applyFill="1" applyBorder="1" applyAlignment="1">
      <alignment horizontal="left" wrapText="1"/>
      <protection/>
    </xf>
    <xf numFmtId="0" fontId="48" fillId="0" borderId="58" xfId="75" applyFont="1" applyFill="1" applyBorder="1" applyAlignment="1">
      <alignment horizontal="center" wrapText="1"/>
      <protection/>
    </xf>
    <xf numFmtId="3" fontId="47" fillId="0" borderId="58" xfId="75" applyNumberFormat="1" applyFont="1" applyFill="1" applyBorder="1" applyAlignment="1">
      <alignment horizontal="center" wrapText="1"/>
      <protection/>
    </xf>
    <xf numFmtId="3" fontId="47" fillId="0" borderId="59" xfId="75" applyNumberFormat="1" applyFont="1" applyFill="1" applyBorder="1" applyAlignment="1">
      <alignment horizontal="center" wrapText="1"/>
      <protection/>
    </xf>
    <xf numFmtId="3" fontId="49" fillId="0" borderId="32" xfId="75" applyNumberFormat="1" applyFont="1" applyFill="1" applyBorder="1" applyAlignment="1">
      <alignment vertical="center"/>
      <protection/>
    </xf>
    <xf numFmtId="3" fontId="15" fillId="0" borderId="32" xfId="75" applyNumberFormat="1" applyFont="1" applyFill="1" applyBorder="1" applyAlignment="1">
      <alignment vertical="center"/>
      <protection/>
    </xf>
    <xf numFmtId="0" fontId="47" fillId="0" borderId="27" xfId="75" applyFont="1" applyFill="1" applyBorder="1" applyAlignment="1">
      <alignment horizontal="center"/>
      <protection/>
    </xf>
    <xf numFmtId="49" fontId="51" fillId="0" borderId="16" xfId="75" applyNumberFormat="1" applyFont="1" applyFill="1" applyBorder="1" applyAlignment="1">
      <alignment horizontal="center" vertical="center"/>
      <protection/>
    </xf>
    <xf numFmtId="3" fontId="22" fillId="0" borderId="10" xfId="75" applyNumberFormat="1" applyFont="1" applyFill="1" applyBorder="1" applyAlignment="1">
      <alignment vertical="center" wrapText="1"/>
      <protection/>
    </xf>
    <xf numFmtId="3" fontId="51" fillId="0" borderId="10" xfId="75" applyNumberFormat="1" applyFont="1" applyFill="1" applyBorder="1" applyAlignment="1">
      <alignment vertical="center" wrapText="1"/>
      <protection/>
    </xf>
    <xf numFmtId="0" fontId="52" fillId="0" borderId="0" xfId="75" applyFont="1" applyFill="1" applyAlignment="1">
      <alignment vertical="center"/>
      <protection/>
    </xf>
    <xf numFmtId="49" fontId="53" fillId="0" borderId="28" xfId="75" applyNumberFormat="1" applyFont="1" applyFill="1" applyBorder="1" applyAlignment="1">
      <alignment horizontal="left" vertical="center"/>
      <protection/>
    </xf>
    <xf numFmtId="49" fontId="53" fillId="0" borderId="13" xfId="75" applyNumberFormat="1" applyFont="1" applyFill="1" applyBorder="1" applyAlignment="1">
      <alignment horizontal="left" vertical="center"/>
      <protection/>
    </xf>
    <xf numFmtId="49" fontId="53" fillId="0" borderId="11" xfId="75" applyNumberFormat="1" applyFont="1" applyFill="1" applyBorder="1" applyAlignment="1">
      <alignment horizontal="left" vertical="center"/>
      <protection/>
    </xf>
    <xf numFmtId="49" fontId="53" fillId="0" borderId="11" xfId="75" applyNumberFormat="1" applyFont="1" applyFill="1" applyBorder="1" applyAlignment="1">
      <alignment horizontal="center" vertical="center"/>
      <protection/>
    </xf>
    <xf numFmtId="0" fontId="24" fillId="0" borderId="11" xfId="75" applyFont="1" applyFill="1" applyBorder="1" applyAlignment="1">
      <alignment vertical="center" wrapText="1"/>
      <protection/>
    </xf>
    <xf numFmtId="3" fontId="50" fillId="0" borderId="11" xfId="75" applyNumberFormat="1" applyFont="1" applyFill="1" applyBorder="1" applyAlignment="1">
      <alignment vertical="center" wrapText="1"/>
      <protection/>
    </xf>
    <xf numFmtId="3" fontId="50" fillId="0" borderId="16" xfId="75" applyNumberFormat="1" applyFont="1" applyFill="1" applyBorder="1" applyAlignment="1">
      <alignment vertical="center" wrapText="1"/>
      <protection/>
    </xf>
    <xf numFmtId="0" fontId="31" fillId="0" borderId="0" xfId="75" applyFont="1" applyFill="1" applyAlignment="1">
      <alignment vertical="center"/>
      <protection/>
    </xf>
    <xf numFmtId="0" fontId="53" fillId="0" borderId="16" xfId="75" applyFont="1" applyFill="1" applyBorder="1" applyAlignment="1">
      <alignment horizontal="center" vertical="center" wrapText="1"/>
      <protection/>
    </xf>
    <xf numFmtId="3" fontId="18" fillId="0" borderId="10" xfId="75" applyNumberFormat="1" applyFont="1" applyFill="1" applyBorder="1" applyAlignment="1">
      <alignment vertical="center" wrapText="1"/>
      <protection/>
    </xf>
    <xf numFmtId="3" fontId="53" fillId="0" borderId="10" xfId="75" applyNumberFormat="1" applyFont="1" applyFill="1" applyBorder="1" applyAlignment="1">
      <alignment vertical="center" wrapText="1"/>
      <protection/>
    </xf>
    <xf numFmtId="0" fontId="50" fillId="0" borderId="21" xfId="75" applyFont="1" applyFill="1" applyBorder="1" applyAlignment="1">
      <alignment horizontal="center" vertical="center" wrapText="1"/>
      <protection/>
    </xf>
    <xf numFmtId="3" fontId="4" fillId="0" borderId="12" xfId="75" applyNumberFormat="1" applyFont="1" applyFill="1" applyBorder="1" applyAlignment="1">
      <alignment vertical="center" wrapText="1"/>
      <protection/>
    </xf>
    <xf numFmtId="3" fontId="50" fillId="0" borderId="12" xfId="75" applyNumberFormat="1" applyFont="1" applyFill="1" applyBorder="1" applyAlignment="1">
      <alignment vertical="center" wrapText="1"/>
      <protection/>
    </xf>
    <xf numFmtId="0" fontId="50" fillId="0" borderId="16" xfId="75" applyFont="1" applyFill="1" applyBorder="1" applyAlignment="1">
      <alignment horizontal="center" vertical="center" wrapText="1"/>
      <protection/>
    </xf>
    <xf numFmtId="0" fontId="54" fillId="0" borderId="21" xfId="75" applyFont="1" applyFill="1" applyBorder="1" applyAlignment="1">
      <alignment horizontal="center" vertical="center" wrapText="1"/>
      <protection/>
    </xf>
    <xf numFmtId="3" fontId="19" fillId="0" borderId="12" xfId="75" applyNumberFormat="1" applyFont="1" applyFill="1" applyBorder="1" applyAlignment="1">
      <alignment vertical="center" wrapText="1"/>
      <protection/>
    </xf>
    <xf numFmtId="3" fontId="54" fillId="0" borderId="12" xfId="75" applyNumberFormat="1" applyFont="1" applyFill="1" applyBorder="1" applyAlignment="1">
      <alignment vertical="center" wrapText="1"/>
      <protection/>
    </xf>
    <xf numFmtId="0" fontId="14" fillId="0" borderId="0" xfId="75" applyFont="1" applyFill="1" applyAlignment="1">
      <alignment vertical="center"/>
      <protection/>
    </xf>
    <xf numFmtId="0" fontId="54" fillId="0" borderId="16" xfId="75" applyFont="1" applyFill="1" applyBorder="1" applyAlignment="1">
      <alignment horizontal="center" vertical="center" wrapText="1"/>
      <protection/>
    </xf>
    <xf numFmtId="3" fontId="54" fillId="0" borderId="10" xfId="75" applyNumberFormat="1" applyFont="1" applyFill="1" applyBorder="1" applyAlignment="1">
      <alignment vertical="center" wrapText="1"/>
      <protection/>
    </xf>
    <xf numFmtId="49" fontId="55" fillId="0" borderId="16" xfId="75" applyNumberFormat="1" applyFont="1" applyFill="1" applyBorder="1" applyAlignment="1">
      <alignment horizontal="center" vertical="center"/>
      <protection/>
    </xf>
    <xf numFmtId="3" fontId="56" fillId="0" borderId="10" xfId="75" applyNumberFormat="1" applyFont="1" applyFill="1" applyBorder="1" applyAlignment="1">
      <alignment vertical="center" wrapText="1"/>
      <protection/>
    </xf>
    <xf numFmtId="3" fontId="55" fillId="0" borderId="10" xfId="75" applyNumberFormat="1" applyFont="1" applyFill="1" applyBorder="1" applyAlignment="1">
      <alignment vertical="center" wrapText="1"/>
      <protection/>
    </xf>
    <xf numFmtId="0" fontId="57" fillId="0" borderId="0" xfId="75" applyFont="1" applyFill="1" applyAlignment="1">
      <alignment vertical="center"/>
      <protection/>
    </xf>
    <xf numFmtId="49" fontId="53" fillId="0" borderId="0" xfId="75" applyNumberFormat="1" applyFont="1" applyFill="1" applyBorder="1" applyAlignment="1">
      <alignment horizontal="left" vertical="center"/>
      <protection/>
    </xf>
    <xf numFmtId="49" fontId="53" fillId="0" borderId="13" xfId="75" applyNumberFormat="1" applyFont="1" applyFill="1" applyBorder="1" applyAlignment="1">
      <alignment horizontal="center" vertical="center"/>
      <protection/>
    </xf>
    <xf numFmtId="0" fontId="24" fillId="0" borderId="13" xfId="75" applyFont="1" applyFill="1" applyBorder="1" applyAlignment="1">
      <alignment vertical="center" wrapText="1"/>
      <protection/>
    </xf>
    <xf numFmtId="3" fontId="50" fillId="0" borderId="13" xfId="75" applyNumberFormat="1" applyFont="1" applyFill="1" applyBorder="1" applyAlignment="1">
      <alignment vertical="center" wrapText="1"/>
      <protection/>
    </xf>
    <xf numFmtId="3" fontId="50" fillId="0" borderId="21" xfId="75" applyNumberFormat="1" applyFont="1" applyFill="1" applyBorder="1" applyAlignment="1">
      <alignment vertical="center" wrapText="1"/>
      <protection/>
    </xf>
    <xf numFmtId="0" fontId="50" fillId="0" borderId="12" xfId="75" applyFont="1" applyFill="1" applyBorder="1" applyAlignment="1">
      <alignment horizontal="center" vertical="center" wrapText="1"/>
      <protection/>
    </xf>
    <xf numFmtId="0" fontId="50" fillId="0" borderId="28" xfId="75" applyFont="1" applyFill="1" applyBorder="1" applyAlignment="1">
      <alignment horizontal="center" vertical="center" wrapText="1"/>
      <protection/>
    </xf>
    <xf numFmtId="0" fontId="50" fillId="0" borderId="17" xfId="75" applyFont="1" applyFill="1" applyBorder="1" applyAlignment="1">
      <alignment horizontal="center" vertical="center" wrapText="1"/>
      <protection/>
    </xf>
    <xf numFmtId="0" fontId="50" fillId="0" borderId="14" xfId="75" applyFont="1" applyFill="1" applyBorder="1" applyAlignment="1">
      <alignment horizontal="center" vertical="center" wrapText="1"/>
      <protection/>
    </xf>
    <xf numFmtId="0" fontId="50" fillId="0" borderId="31" xfId="75" applyFont="1" applyFill="1" applyBorder="1" applyAlignment="1">
      <alignment horizontal="center" vertical="center" wrapText="1"/>
      <protection/>
    </xf>
    <xf numFmtId="0" fontId="50" fillId="0" borderId="12" xfId="75" applyFont="1" applyFill="1" applyBorder="1" applyAlignment="1">
      <alignment horizontal="center" vertical="top" wrapText="1"/>
      <protection/>
    </xf>
    <xf numFmtId="0" fontId="12" fillId="0" borderId="0" xfId="75" applyFont="1" applyFill="1" applyAlignment="1">
      <alignment vertical="top"/>
      <protection/>
    </xf>
    <xf numFmtId="0" fontId="50" fillId="0" borderId="17" xfId="75" applyFont="1" applyFill="1" applyBorder="1" applyAlignment="1">
      <alignment horizontal="center" vertical="top" wrapText="1"/>
      <protection/>
    </xf>
    <xf numFmtId="49" fontId="53" fillId="0" borderId="31" xfId="75" applyNumberFormat="1" applyFont="1" applyFill="1" applyBorder="1" applyAlignment="1">
      <alignment horizontal="left" vertical="center"/>
      <protection/>
    </xf>
    <xf numFmtId="0" fontId="50" fillId="0" borderId="42" xfId="75" applyFont="1" applyFill="1" applyBorder="1" applyAlignment="1">
      <alignment horizontal="center" vertical="center" wrapText="1"/>
      <protection/>
    </xf>
    <xf numFmtId="3" fontId="4" fillId="0" borderId="17" xfId="75" applyNumberFormat="1" applyFont="1" applyFill="1" applyBorder="1" applyAlignment="1">
      <alignment vertical="center" wrapText="1"/>
      <protection/>
    </xf>
    <xf numFmtId="3" fontId="50" fillId="0" borderId="17" xfId="75" applyNumberFormat="1" applyFont="1" applyFill="1" applyBorder="1" applyAlignment="1">
      <alignment vertical="center" wrapText="1"/>
      <protection/>
    </xf>
    <xf numFmtId="49" fontId="53" fillId="0" borderId="53" xfId="75" applyNumberFormat="1" applyFont="1" applyFill="1" applyBorder="1" applyAlignment="1">
      <alignment horizontal="left" vertical="center"/>
      <protection/>
    </xf>
    <xf numFmtId="49" fontId="53" fillId="0" borderId="58" xfId="75" applyNumberFormat="1" applyFont="1" applyFill="1" applyBorder="1" applyAlignment="1">
      <alignment horizontal="left" vertical="center"/>
      <protection/>
    </xf>
    <xf numFmtId="49" fontId="53" fillId="0" borderId="58" xfId="75" applyNumberFormat="1" applyFont="1" applyFill="1" applyBorder="1" applyAlignment="1">
      <alignment horizontal="center" vertical="center"/>
      <protection/>
    </xf>
    <xf numFmtId="0" fontId="24" fillId="0" borderId="58" xfId="75" applyFont="1" applyFill="1" applyBorder="1" applyAlignment="1">
      <alignment vertical="center" wrapText="1"/>
      <protection/>
    </xf>
    <xf numFmtId="3" fontId="50" fillId="0" borderId="58" xfId="75" applyNumberFormat="1" applyFont="1" applyFill="1" applyBorder="1" applyAlignment="1">
      <alignment vertical="center" wrapText="1"/>
      <protection/>
    </xf>
    <xf numFmtId="3" fontId="50" fillId="0" borderId="59" xfId="75" applyNumberFormat="1" applyFont="1" applyFill="1" applyBorder="1" applyAlignment="1">
      <alignment vertical="center" wrapText="1"/>
      <protection/>
    </xf>
    <xf numFmtId="0" fontId="15" fillId="0" borderId="55" xfId="75" applyFont="1" applyFill="1" applyBorder="1" applyAlignment="1">
      <alignment horizontal="center" vertical="center" wrapText="1"/>
      <protection/>
    </xf>
    <xf numFmtId="0" fontId="15" fillId="0" borderId="0" xfId="75" applyFont="1" applyFill="1" applyAlignment="1">
      <alignment horizontal="center" vertical="center"/>
      <protection/>
    </xf>
    <xf numFmtId="0" fontId="12" fillId="0" borderId="0" xfId="75" applyFont="1" applyFill="1" applyBorder="1" applyAlignment="1">
      <alignment horizontal="center" vertical="center"/>
      <protection/>
    </xf>
    <xf numFmtId="0" fontId="12" fillId="0" borderId="0" xfId="75" applyFont="1" applyFill="1" applyBorder="1" applyAlignment="1">
      <alignment horizontal="center" vertical="center" wrapText="1"/>
      <protection/>
    </xf>
    <xf numFmtId="0" fontId="12" fillId="0" borderId="0" xfId="75" applyFont="1" applyFill="1" applyBorder="1" applyAlignment="1">
      <alignment vertical="center" wrapText="1"/>
      <protection/>
    </xf>
    <xf numFmtId="0" fontId="45" fillId="0" borderId="0" xfId="75" applyFont="1" applyFill="1" applyBorder="1" applyAlignment="1">
      <alignment vertical="center" wrapText="1"/>
      <protection/>
    </xf>
    <xf numFmtId="3" fontId="12" fillId="0" borderId="0" xfId="75" applyNumberFormat="1" applyFont="1" applyFill="1" applyBorder="1" applyAlignment="1">
      <alignment vertical="center" wrapText="1"/>
      <protection/>
    </xf>
    <xf numFmtId="0" fontId="58" fillId="0" borderId="0" xfId="75" applyFont="1" applyFill="1" applyAlignment="1">
      <alignment horizontal="left"/>
      <protection/>
    </xf>
    <xf numFmtId="0" fontId="58" fillId="0" borderId="0" xfId="75" applyFont="1" applyFill="1" applyAlignment="1">
      <alignment horizontal="center"/>
      <protection/>
    </xf>
    <xf numFmtId="0" fontId="59" fillId="0" borderId="0" xfId="75" applyFont="1" applyFill="1" applyAlignment="1">
      <alignment wrapText="1"/>
      <protection/>
    </xf>
    <xf numFmtId="0" fontId="12" fillId="0" borderId="0" xfId="75" applyFont="1" applyFill="1" applyAlignment="1">
      <alignment wrapText="1"/>
      <protection/>
    </xf>
    <xf numFmtId="0" fontId="12" fillId="0" borderId="0" xfId="75" applyFont="1" applyFill="1" applyAlignment="1">
      <alignment horizontal="center" wrapText="1"/>
      <protection/>
    </xf>
    <xf numFmtId="0" fontId="45" fillId="0" borderId="0" xfId="75" applyFont="1" applyFill="1" applyAlignment="1">
      <alignment wrapText="1"/>
      <protection/>
    </xf>
    <xf numFmtId="3" fontId="12" fillId="0" borderId="0" xfId="75" applyNumberFormat="1" applyFont="1" applyFill="1" applyAlignment="1">
      <alignment wrapText="1"/>
      <protection/>
    </xf>
    <xf numFmtId="0" fontId="59" fillId="0" borderId="0" xfId="75" applyFont="1" applyFill="1" applyAlignment="1">
      <alignment horizontal="left" vertical="center"/>
      <protection/>
    </xf>
    <xf numFmtId="0" fontId="59" fillId="0" borderId="0" xfId="75" applyFont="1" applyFill="1" applyAlignment="1">
      <alignment horizontal="center" vertical="center"/>
      <protection/>
    </xf>
    <xf numFmtId="0" fontId="59" fillId="0" borderId="0" xfId="75" applyFont="1" applyFill="1" applyAlignment="1">
      <alignment vertical="center" wrapText="1"/>
      <protection/>
    </xf>
    <xf numFmtId="0" fontId="12" fillId="0" borderId="0" xfId="75" applyFont="1" applyFill="1" applyAlignment="1">
      <alignment horizontal="center"/>
      <protection/>
    </xf>
    <xf numFmtId="0" fontId="12" fillId="0" borderId="0" xfId="75" applyFont="1" applyFill="1" applyAlignment="1">
      <alignment horizontal="left"/>
      <protection/>
    </xf>
    <xf numFmtId="0" fontId="12" fillId="0" borderId="0" xfId="75" applyFont="1" applyFill="1">
      <alignment/>
      <protection/>
    </xf>
    <xf numFmtId="3" fontId="12" fillId="0" borderId="0" xfId="75" applyNumberFormat="1" applyFont="1" applyFill="1" applyAlignment="1">
      <alignment horizontal="left" wrapText="1"/>
      <protection/>
    </xf>
    <xf numFmtId="0" fontId="9" fillId="0" borderId="0" xfId="75" applyFont="1" applyFill="1" applyAlignment="1">
      <alignment horizontal="center" wrapText="1"/>
      <protection/>
    </xf>
    <xf numFmtId="3" fontId="12" fillId="0" borderId="0" xfId="75" applyNumberFormat="1" applyFont="1" applyFill="1" applyAlignment="1">
      <alignment horizontal="center" wrapText="1"/>
      <protection/>
    </xf>
    <xf numFmtId="0" fontId="13" fillId="0" borderId="12" xfId="75" applyFont="1" applyFill="1" applyBorder="1" applyAlignment="1">
      <alignment horizontal="center" vertical="top" wrapText="1"/>
      <protection/>
    </xf>
    <xf numFmtId="0" fontId="13" fillId="0" borderId="0" xfId="75" applyFont="1" applyFill="1" applyAlignment="1">
      <alignment vertical="center" wrapText="1"/>
      <protection/>
    </xf>
    <xf numFmtId="0" fontId="47" fillId="0" borderId="10" xfId="75" applyFont="1" applyFill="1" applyBorder="1" applyAlignment="1">
      <alignment horizontal="center"/>
      <protection/>
    </xf>
    <xf numFmtId="0" fontId="47" fillId="0" borderId="10" xfId="75" applyFont="1" applyFill="1" applyBorder="1" applyAlignment="1">
      <alignment horizontal="center" wrapText="1"/>
      <protection/>
    </xf>
    <xf numFmtId="0" fontId="60" fillId="0" borderId="10" xfId="75" applyFont="1" applyFill="1" applyBorder="1" applyAlignment="1">
      <alignment horizontal="center" wrapText="1"/>
      <protection/>
    </xf>
    <xf numFmtId="3" fontId="47" fillId="0" borderId="10" xfId="75" applyNumberFormat="1" applyFont="1" applyFill="1" applyBorder="1" applyAlignment="1">
      <alignment horizontal="center" wrapText="1"/>
      <protection/>
    </xf>
    <xf numFmtId="0" fontId="47" fillId="0" borderId="0" xfId="75" applyFont="1" applyFill="1" applyAlignment="1">
      <alignment horizontal="center" wrapText="1"/>
      <protection/>
    </xf>
    <xf numFmtId="0" fontId="37" fillId="0" borderId="21" xfId="75" applyFont="1" applyFill="1" applyBorder="1" applyAlignment="1">
      <alignment horizontal="center" vertical="center" wrapText="1"/>
      <protection/>
    </xf>
    <xf numFmtId="3" fontId="16" fillId="0" borderId="10" xfId="75" applyNumberFormat="1" applyFont="1" applyFill="1" applyBorder="1" applyAlignment="1">
      <alignment horizontal="right" vertical="center" wrapText="1"/>
      <protection/>
    </xf>
    <xf numFmtId="0" fontId="16" fillId="0" borderId="0" xfId="75" applyFont="1" applyFill="1" applyAlignment="1">
      <alignment horizontal="center" vertical="center"/>
      <protection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26" xfId="0" applyFont="1" applyFill="1" applyBorder="1" applyAlignment="1">
      <alignment horizontal="center" vertical="center" wrapText="1"/>
    </xf>
    <xf numFmtId="0" fontId="8" fillId="0" borderId="12" xfId="75" applyFont="1" applyFill="1" applyBorder="1" applyAlignment="1">
      <alignment horizontal="center" vertical="center" wrapText="1"/>
      <protection/>
    </xf>
    <xf numFmtId="3" fontId="12" fillId="0" borderId="10" xfId="75" applyNumberFormat="1" applyFont="1" applyFill="1" applyBorder="1" applyAlignment="1">
      <alignment horizontal="right" vertical="center"/>
      <protection/>
    </xf>
    <xf numFmtId="3" fontId="12" fillId="0" borderId="10" xfId="75" applyNumberFormat="1" applyFont="1" applyFill="1" applyBorder="1" applyAlignment="1">
      <alignment vertical="center" wrapText="1"/>
      <protection/>
    </xf>
    <xf numFmtId="0" fontId="12" fillId="0" borderId="0" xfId="75" applyFont="1" applyFill="1" applyAlignment="1">
      <alignment vertical="top" wrapText="1"/>
      <protection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8" fillId="0" borderId="10" xfId="75" applyFont="1" applyFill="1" applyBorder="1" applyAlignment="1">
      <alignment horizontal="center" vertical="center" wrapText="1"/>
      <protection/>
    </xf>
    <xf numFmtId="0" fontId="61" fillId="0" borderId="0" xfId="75" applyFont="1" applyFill="1" applyAlignment="1">
      <alignment horizontal="left" vertical="center"/>
      <protection/>
    </xf>
    <xf numFmtId="0" fontId="61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horizontal="left" vertical="center"/>
      <protection/>
    </xf>
    <xf numFmtId="0" fontId="59" fillId="0" borderId="0" xfId="75" applyFont="1" applyFill="1" applyAlignment="1">
      <alignment vertical="center"/>
      <protection/>
    </xf>
    <xf numFmtId="0" fontId="31" fillId="0" borderId="0" xfId="75" applyFont="1" applyFill="1">
      <alignment/>
      <protection/>
    </xf>
    <xf numFmtId="0" fontId="13" fillId="0" borderId="0" xfId="75" applyFont="1" applyFill="1">
      <alignment/>
      <protection/>
    </xf>
    <xf numFmtId="0" fontId="12" fillId="0" borderId="0" xfId="76" applyFont="1" applyAlignment="1">
      <alignment wrapText="1"/>
      <protection/>
    </xf>
    <xf numFmtId="0" fontId="12" fillId="0" borderId="0" xfId="76" applyFont="1" applyAlignment="1">
      <alignment horizontal="left" wrapText="1"/>
      <protection/>
    </xf>
    <xf numFmtId="0" fontId="12" fillId="0" borderId="0" xfId="73" applyFont="1" applyAlignment="1">
      <alignment horizontal="left" vertical="center" wrapText="1"/>
      <protection/>
    </xf>
    <xf numFmtId="0" fontId="28" fillId="0" borderId="0" xfId="76" applyFont="1" applyAlignment="1">
      <alignment horizontal="center" wrapText="1"/>
      <protection/>
    </xf>
    <xf numFmtId="0" fontId="12" fillId="0" borderId="0" xfId="73" applyFont="1" applyAlignment="1">
      <alignment horizontal="left" vertical="center" wrapText="1"/>
      <protection/>
    </xf>
    <xf numFmtId="0" fontId="12" fillId="0" borderId="0" xfId="73" applyFont="1" applyAlignment="1">
      <alignment wrapText="1"/>
      <protection/>
    </xf>
    <xf numFmtId="0" fontId="12" fillId="0" borderId="0" xfId="73" applyFont="1" applyFill="1" applyAlignment="1">
      <alignment wrapText="1"/>
      <protection/>
    </xf>
    <xf numFmtId="0" fontId="13" fillId="0" borderId="0" xfId="76" applyFont="1" applyAlignment="1">
      <alignment wrapText="1"/>
      <protection/>
    </xf>
    <xf numFmtId="0" fontId="13" fillId="0" borderId="0" xfId="76" applyFont="1" applyAlignment="1">
      <alignment horizontal="center" vertical="center" wrapText="1"/>
      <protection/>
    </xf>
    <xf numFmtId="0" fontId="14" fillId="0" borderId="20" xfId="76" applyFont="1" applyBorder="1" applyAlignment="1">
      <alignment horizontal="center" vertical="center" wrapText="1"/>
      <protection/>
    </xf>
    <xf numFmtId="0" fontId="14" fillId="0" borderId="55" xfId="76" applyFont="1" applyBorder="1" applyAlignment="1">
      <alignment horizontal="center" vertical="center" wrapText="1"/>
      <protection/>
    </xf>
    <xf numFmtId="0" fontId="14" fillId="0" borderId="56" xfId="76" applyFont="1" applyBorder="1" applyAlignment="1">
      <alignment horizontal="center" vertical="center" wrapText="1"/>
      <protection/>
    </xf>
    <xf numFmtId="0" fontId="14" fillId="0" borderId="60" xfId="76" applyFont="1" applyFill="1" applyBorder="1" applyAlignment="1">
      <alignment horizontal="center" vertical="center" wrapText="1"/>
      <protection/>
    </xf>
    <xf numFmtId="0" fontId="14" fillId="0" borderId="32" xfId="76" applyFont="1" applyBorder="1" applyAlignment="1">
      <alignment horizontal="center" vertical="center" wrapText="1"/>
      <protection/>
    </xf>
    <xf numFmtId="0" fontId="14" fillId="0" borderId="33" xfId="76" applyFont="1" applyBorder="1" applyAlignment="1">
      <alignment horizontal="center" vertical="center" wrapText="1"/>
      <protection/>
    </xf>
    <xf numFmtId="0" fontId="14" fillId="0" borderId="0" xfId="76" applyFont="1" applyAlignment="1">
      <alignment wrapText="1"/>
      <protection/>
    </xf>
    <xf numFmtId="0" fontId="14" fillId="0" borderId="61" xfId="76" applyFont="1" applyBorder="1" applyAlignment="1">
      <alignment wrapText="1"/>
      <protection/>
    </xf>
    <xf numFmtId="0" fontId="14" fillId="0" borderId="57" xfId="76" applyFont="1" applyBorder="1" applyAlignment="1">
      <alignment wrapText="1"/>
      <protection/>
    </xf>
    <xf numFmtId="0" fontId="14" fillId="0" borderId="60" xfId="76" applyFont="1" applyFill="1" applyBorder="1" applyAlignment="1">
      <alignment wrapText="1"/>
      <protection/>
    </xf>
    <xf numFmtId="0" fontId="14" fillId="0" borderId="33" xfId="76" applyFont="1" applyBorder="1" applyAlignment="1">
      <alignment wrapText="1"/>
      <protection/>
    </xf>
    <xf numFmtId="0" fontId="31" fillId="0" borderId="20" xfId="76" applyFont="1" applyBorder="1" applyAlignment="1">
      <alignment horizontal="center" vertical="center" wrapText="1"/>
      <protection/>
    </xf>
    <xf numFmtId="0" fontId="31" fillId="0" borderId="55" xfId="76" applyFont="1" applyBorder="1" applyAlignment="1">
      <alignment horizontal="center" vertical="center" wrapText="1"/>
      <protection/>
    </xf>
    <xf numFmtId="0" fontId="31" fillId="0" borderId="56" xfId="76" applyFont="1" applyBorder="1" applyAlignment="1">
      <alignment vertical="center" wrapText="1"/>
      <protection/>
    </xf>
    <xf numFmtId="3" fontId="31" fillId="0" borderId="60" xfId="76" applyNumberFormat="1" applyFont="1" applyFill="1" applyBorder="1" applyAlignment="1">
      <alignment vertical="center" wrapText="1"/>
      <protection/>
    </xf>
    <xf numFmtId="3" fontId="31" fillId="0" borderId="33" xfId="76" applyNumberFormat="1" applyFont="1" applyFill="1" applyBorder="1" applyAlignment="1">
      <alignment vertical="center" wrapText="1"/>
      <protection/>
    </xf>
    <xf numFmtId="0" fontId="31" fillId="0" borderId="0" xfId="76" applyFont="1" applyAlignment="1">
      <alignment wrapText="1"/>
      <protection/>
    </xf>
    <xf numFmtId="0" fontId="57" fillId="0" borderId="20" xfId="76" applyFont="1" applyBorder="1" applyAlignment="1">
      <alignment horizontal="center" vertical="center" wrapText="1"/>
      <protection/>
    </xf>
    <xf numFmtId="0" fontId="57" fillId="0" borderId="55" xfId="76" applyFont="1" applyBorder="1" applyAlignment="1">
      <alignment horizontal="center" vertical="center" wrapText="1"/>
      <protection/>
    </xf>
    <xf numFmtId="0" fontId="57" fillId="0" borderId="56" xfId="76" applyFont="1" applyBorder="1" applyAlignment="1">
      <alignment vertical="center" wrapText="1"/>
      <protection/>
    </xf>
    <xf numFmtId="3" fontId="57" fillId="0" borderId="60" xfId="76" applyNumberFormat="1" applyFont="1" applyFill="1" applyBorder="1" applyAlignment="1">
      <alignment vertical="center" wrapText="1"/>
      <protection/>
    </xf>
    <xf numFmtId="3" fontId="57" fillId="0" borderId="33" xfId="76" applyNumberFormat="1" applyFont="1" applyFill="1" applyBorder="1" applyAlignment="1">
      <alignment vertical="center" wrapText="1"/>
      <protection/>
    </xf>
    <xf numFmtId="0" fontId="57" fillId="0" borderId="0" xfId="76" applyFont="1" applyAlignment="1">
      <alignment wrapText="1"/>
      <protection/>
    </xf>
    <xf numFmtId="0" fontId="12" fillId="0" borderId="62" xfId="76" applyFont="1" applyBorder="1" applyAlignment="1">
      <alignment horizontal="center" vertical="center" wrapText="1"/>
      <protection/>
    </xf>
    <xf numFmtId="0" fontId="12" fillId="0" borderId="21" xfId="76" applyFont="1" applyBorder="1" applyAlignment="1">
      <alignment horizontal="center" vertical="center" wrapText="1"/>
      <protection/>
    </xf>
    <xf numFmtId="0" fontId="12" fillId="0" borderId="28" xfId="76" applyFont="1" applyBorder="1" applyAlignment="1">
      <alignment vertical="center" wrapText="1"/>
      <protection/>
    </xf>
    <xf numFmtId="3" fontId="12" fillId="0" borderId="63" xfId="76" applyNumberFormat="1" applyFont="1" applyFill="1" applyBorder="1" applyAlignment="1">
      <alignment vertical="center" wrapText="1"/>
      <protection/>
    </xf>
    <xf numFmtId="3" fontId="12" fillId="0" borderId="64" xfId="76" applyNumberFormat="1" applyFont="1" applyBorder="1" applyAlignment="1">
      <alignment vertical="center" wrapText="1"/>
      <protection/>
    </xf>
    <xf numFmtId="0" fontId="12" fillId="0" borderId="0" xfId="76" applyFont="1" applyAlignment="1">
      <alignment vertical="top" wrapText="1"/>
      <protection/>
    </xf>
    <xf numFmtId="0" fontId="14" fillId="0" borderId="36" xfId="76" applyFont="1" applyBorder="1" applyAlignment="1">
      <alignment horizontal="center" vertical="center" wrapText="1"/>
      <protection/>
    </xf>
    <xf numFmtId="0" fontId="14" fillId="0" borderId="16" xfId="76" applyFont="1" applyBorder="1" applyAlignment="1">
      <alignment horizontal="center" vertical="center" wrapText="1"/>
      <protection/>
    </xf>
    <xf numFmtId="0" fontId="14" fillId="0" borderId="31" xfId="76" applyFont="1" applyBorder="1" applyAlignment="1">
      <alignment vertical="center" wrapText="1"/>
      <protection/>
    </xf>
    <xf numFmtId="3" fontId="14" fillId="0" borderId="63" xfId="76" applyNumberFormat="1" applyFont="1" applyFill="1" applyBorder="1" applyAlignment="1">
      <alignment vertical="center" wrapText="1"/>
      <protection/>
    </xf>
    <xf numFmtId="3" fontId="14" fillId="0" borderId="64" xfId="76" applyNumberFormat="1" applyFont="1" applyBorder="1" applyAlignment="1">
      <alignment vertical="center" wrapText="1"/>
      <protection/>
    </xf>
    <xf numFmtId="0" fontId="14" fillId="0" borderId="65" xfId="76" applyFont="1" applyBorder="1" applyAlignment="1">
      <alignment horizontal="center" vertical="center" wrapText="1"/>
      <protection/>
    </xf>
    <xf numFmtId="0" fontId="14" fillId="0" borderId="26" xfId="76" applyFont="1" applyBorder="1" applyAlignment="1">
      <alignment horizontal="center" vertical="center" wrapText="1"/>
      <protection/>
    </xf>
    <xf numFmtId="0" fontId="14" fillId="0" borderId="27" xfId="76" applyFont="1" applyFill="1" applyBorder="1" applyAlignment="1">
      <alignment vertical="center" wrapText="1"/>
      <protection/>
    </xf>
    <xf numFmtId="3" fontId="14" fillId="0" borderId="66" xfId="76" applyNumberFormat="1" applyFont="1" applyFill="1" applyBorder="1" applyAlignment="1">
      <alignment vertical="center" wrapText="1"/>
      <protection/>
    </xf>
    <xf numFmtId="3" fontId="14" fillId="0" borderId="64" xfId="76" applyNumberFormat="1" applyFont="1" applyFill="1" applyBorder="1" applyAlignment="1">
      <alignment vertical="center" wrapText="1"/>
      <protection/>
    </xf>
    <xf numFmtId="3" fontId="12" fillId="0" borderId="25" xfId="76" applyNumberFormat="1" applyFont="1" applyBorder="1" applyAlignment="1">
      <alignment vertical="center" wrapText="1"/>
      <protection/>
    </xf>
    <xf numFmtId="0" fontId="52" fillId="0" borderId="20" xfId="76" applyFont="1" applyBorder="1" applyAlignment="1">
      <alignment horizontal="center" vertical="center" wrapText="1"/>
      <protection/>
    </xf>
    <xf numFmtId="0" fontId="52" fillId="0" borderId="57" xfId="76" applyFont="1" applyBorder="1" applyAlignment="1">
      <alignment horizontal="center" vertical="center" wrapText="1"/>
      <protection/>
    </xf>
    <xf numFmtId="0" fontId="52" fillId="0" borderId="57" xfId="76" applyFont="1" applyBorder="1" applyAlignment="1">
      <alignment vertical="center" wrapText="1"/>
      <protection/>
    </xf>
    <xf numFmtId="3" fontId="31" fillId="0" borderId="60" xfId="76" applyNumberFormat="1" applyFont="1" applyFill="1" applyBorder="1" applyAlignment="1">
      <alignment vertical="center" wrapText="1"/>
      <protection/>
    </xf>
    <xf numFmtId="3" fontId="31" fillId="0" borderId="33" xfId="76" applyNumberFormat="1" applyFont="1" applyBorder="1" applyAlignment="1">
      <alignment vertical="center" wrapText="1"/>
      <protection/>
    </xf>
    <xf numFmtId="0" fontId="52" fillId="0" borderId="0" xfId="76" applyFont="1" applyAlignment="1">
      <alignment wrapText="1"/>
      <protection/>
    </xf>
    <xf numFmtId="0" fontId="12" fillId="0" borderId="61" xfId="76" applyFont="1" applyBorder="1" applyAlignment="1">
      <alignment horizontal="center" vertical="center" wrapText="1"/>
      <protection/>
    </xf>
    <xf numFmtId="0" fontId="12" fillId="0" borderId="57" xfId="76" applyFont="1" applyBorder="1" applyAlignment="1">
      <alignment horizontal="center" vertical="center" wrapText="1"/>
      <protection/>
    </xf>
    <xf numFmtId="0" fontId="12" fillId="0" borderId="57" xfId="76" applyFont="1" applyBorder="1" applyAlignment="1">
      <alignment vertical="center" wrapText="1"/>
      <protection/>
    </xf>
    <xf numFmtId="3" fontId="14" fillId="0" borderId="60" xfId="76" applyNumberFormat="1" applyFont="1" applyFill="1" applyBorder="1" applyAlignment="1">
      <alignment vertical="center" wrapText="1"/>
      <protection/>
    </xf>
    <xf numFmtId="3" fontId="14" fillId="0" borderId="33" xfId="76" applyNumberFormat="1" applyFont="1" applyBorder="1" applyAlignment="1">
      <alignment vertical="center" wrapText="1"/>
      <protection/>
    </xf>
    <xf numFmtId="0" fontId="31" fillId="0" borderId="20" xfId="76" applyFont="1" applyBorder="1" applyAlignment="1">
      <alignment horizontal="center" vertical="center" wrapText="1"/>
      <protection/>
    </xf>
    <xf numFmtId="0" fontId="31" fillId="0" borderId="55" xfId="76" applyFont="1" applyBorder="1" applyAlignment="1">
      <alignment horizontal="center" vertical="center" wrapText="1"/>
      <protection/>
    </xf>
    <xf numFmtId="0" fontId="31" fillId="0" borderId="56" xfId="76" applyFont="1" applyBorder="1" applyAlignment="1">
      <alignment vertical="center" wrapText="1"/>
      <protection/>
    </xf>
    <xf numFmtId="3" fontId="31" fillId="0" borderId="67" xfId="76" applyNumberFormat="1" applyFont="1" applyFill="1" applyBorder="1" applyAlignment="1">
      <alignment vertical="center" wrapText="1"/>
      <protection/>
    </xf>
    <xf numFmtId="3" fontId="31" fillId="0" borderId="68" xfId="76" applyNumberFormat="1" applyFont="1" applyFill="1" applyBorder="1" applyAlignment="1">
      <alignment vertical="center" wrapText="1"/>
      <protection/>
    </xf>
    <xf numFmtId="0" fontId="31" fillId="0" borderId="0" xfId="76" applyFont="1" applyAlignment="1">
      <alignment wrapText="1"/>
      <protection/>
    </xf>
    <xf numFmtId="0" fontId="62" fillId="0" borderId="20" xfId="76" applyFont="1" applyBorder="1" applyAlignment="1">
      <alignment horizontal="center" vertical="center" wrapText="1"/>
      <protection/>
    </xf>
    <xf numFmtId="0" fontId="62" fillId="0" borderId="55" xfId="76" applyFont="1" applyBorder="1" applyAlignment="1">
      <alignment horizontal="center" vertical="center" wrapText="1"/>
      <protection/>
    </xf>
    <xf numFmtId="0" fontId="62" fillId="0" borderId="56" xfId="76" applyFont="1" applyBorder="1" applyAlignment="1">
      <alignment vertical="center" wrapText="1"/>
      <protection/>
    </xf>
    <xf numFmtId="3" fontId="62" fillId="0" borderId="60" xfId="76" applyNumberFormat="1" applyFont="1" applyFill="1" applyBorder="1" applyAlignment="1">
      <alignment vertical="center" wrapText="1"/>
      <protection/>
    </xf>
    <xf numFmtId="3" fontId="62" fillId="0" borderId="33" xfId="76" applyNumberFormat="1" applyFont="1" applyFill="1" applyBorder="1" applyAlignment="1">
      <alignment vertical="center" wrapText="1"/>
      <protection/>
    </xf>
    <xf numFmtId="0" fontId="62" fillId="0" borderId="0" xfId="76" applyFont="1" applyAlignment="1">
      <alignment wrapText="1"/>
      <protection/>
    </xf>
    <xf numFmtId="3" fontId="31" fillId="0" borderId="33" xfId="76" applyNumberFormat="1" applyFont="1" applyBorder="1" applyAlignment="1">
      <alignment vertical="center" wrapText="1"/>
      <protection/>
    </xf>
    <xf numFmtId="0" fontId="12" fillId="0" borderId="65" xfId="76" applyFont="1" applyBorder="1" applyAlignment="1">
      <alignment horizontal="center" vertical="center" wrapText="1"/>
      <protection/>
    </xf>
    <xf numFmtId="0" fontId="12" fillId="0" borderId="26" xfId="76" applyFont="1" applyBorder="1" applyAlignment="1">
      <alignment horizontal="center" vertical="center" wrapText="1"/>
      <protection/>
    </xf>
    <xf numFmtId="0" fontId="12" fillId="0" borderId="27" xfId="76" applyFont="1" applyBorder="1" applyAlignment="1">
      <alignment vertical="center" wrapText="1"/>
      <protection/>
    </xf>
    <xf numFmtId="3" fontId="12" fillId="0" borderId="66" xfId="76" applyNumberFormat="1" applyFont="1" applyFill="1" applyBorder="1" applyAlignment="1">
      <alignment vertical="center" wrapText="1"/>
      <protection/>
    </xf>
    <xf numFmtId="3" fontId="12" fillId="0" borderId="30" xfId="76" applyNumberFormat="1" applyFont="1" applyBorder="1" applyAlignment="1">
      <alignment vertical="center" wrapText="1"/>
      <protection/>
    </xf>
    <xf numFmtId="0" fontId="52" fillId="0" borderId="61" xfId="76" applyFont="1" applyBorder="1" applyAlignment="1">
      <alignment horizontal="center" vertical="center" wrapText="1"/>
      <protection/>
    </xf>
    <xf numFmtId="0" fontId="31" fillId="0" borderId="61" xfId="76" applyFont="1" applyBorder="1" applyAlignment="1">
      <alignment horizontal="center" vertical="center" wrapText="1"/>
      <protection/>
    </xf>
    <xf numFmtId="0" fontId="31" fillId="0" borderId="57" xfId="76" applyFont="1" applyBorder="1" applyAlignment="1">
      <alignment horizontal="center" vertical="center" wrapText="1"/>
      <protection/>
    </xf>
    <xf numFmtId="0" fontId="31" fillId="0" borderId="57" xfId="76" applyFont="1" applyBorder="1" applyAlignment="1">
      <alignment vertical="center" wrapText="1"/>
      <protection/>
    </xf>
    <xf numFmtId="3" fontId="14" fillId="0" borderId="67" xfId="76" applyNumberFormat="1" applyFont="1" applyFill="1" applyBorder="1" applyAlignment="1">
      <alignment vertical="center" wrapText="1"/>
      <protection/>
    </xf>
    <xf numFmtId="3" fontId="14" fillId="0" borderId="68" xfId="76" applyNumberFormat="1" applyFont="1" applyBorder="1" applyAlignment="1">
      <alignment vertical="center" wrapText="1"/>
      <protection/>
    </xf>
    <xf numFmtId="3" fontId="31" fillId="0" borderId="60" xfId="76" applyNumberFormat="1" applyFont="1" applyBorder="1" applyAlignment="1">
      <alignment vertical="center" wrapText="1"/>
      <protection/>
    </xf>
    <xf numFmtId="0" fontId="12" fillId="0" borderId="69" xfId="76" applyFont="1" applyBorder="1" applyAlignment="1">
      <alignment horizontal="center" vertical="center" wrapText="1"/>
      <protection/>
    </xf>
    <xf numFmtId="0" fontId="12" fillId="0" borderId="18" xfId="76" applyFont="1" applyBorder="1" applyAlignment="1">
      <alignment horizontal="center" vertical="center" wrapText="1"/>
      <protection/>
    </xf>
    <xf numFmtId="0" fontId="12" fillId="0" borderId="70" xfId="76" applyFont="1" applyBorder="1" applyAlignment="1">
      <alignment vertical="center" wrapText="1"/>
      <protection/>
    </xf>
    <xf numFmtId="3" fontId="14" fillId="0" borderId="71" xfId="76" applyNumberFormat="1" applyFont="1" applyFill="1" applyBorder="1" applyAlignment="1">
      <alignment vertical="center" wrapText="1"/>
      <protection/>
    </xf>
    <xf numFmtId="3" fontId="14" fillId="0" borderId="29" xfId="76" applyNumberFormat="1" applyFont="1" applyBorder="1" applyAlignment="1">
      <alignment vertical="center" wrapText="1"/>
      <protection/>
    </xf>
    <xf numFmtId="0" fontId="12" fillId="0" borderId="72" xfId="76" applyFont="1" applyBorder="1" applyAlignment="1">
      <alignment horizontal="center" vertical="center" wrapText="1"/>
      <protection/>
    </xf>
    <xf numFmtId="0" fontId="12" fillId="0" borderId="24" xfId="76" applyFont="1" applyBorder="1" applyAlignment="1">
      <alignment horizontal="center" vertical="center" wrapText="1"/>
      <protection/>
    </xf>
    <xf numFmtId="0" fontId="12" fillId="0" borderId="35" xfId="76" applyFont="1" applyBorder="1" applyAlignment="1">
      <alignment vertical="center" wrapText="1"/>
      <protection/>
    </xf>
    <xf numFmtId="3" fontId="14" fillId="0" borderId="73" xfId="76" applyNumberFormat="1" applyFont="1" applyFill="1" applyBorder="1" applyAlignment="1">
      <alignment vertical="center" wrapText="1"/>
      <protection/>
    </xf>
    <xf numFmtId="3" fontId="14" fillId="0" borderId="74" xfId="76" applyNumberFormat="1" applyFont="1" applyBorder="1" applyAlignment="1">
      <alignment vertical="center" wrapText="1"/>
      <protection/>
    </xf>
    <xf numFmtId="0" fontId="12" fillId="0" borderId="75" xfId="76" applyFont="1" applyBorder="1" applyAlignment="1">
      <alignment horizontal="center" vertical="center" wrapText="1"/>
      <protection/>
    </xf>
    <xf numFmtId="0" fontId="12" fillId="0" borderId="19" xfId="76" applyFont="1" applyBorder="1" applyAlignment="1">
      <alignment horizontal="center" vertical="center" wrapText="1"/>
      <protection/>
    </xf>
    <xf numFmtId="0" fontId="12" fillId="0" borderId="51" xfId="76" applyFont="1" applyBorder="1" applyAlignment="1">
      <alignment horizontal="center" vertical="center" wrapText="1"/>
      <protection/>
    </xf>
    <xf numFmtId="0" fontId="12" fillId="0" borderId="0" xfId="76" applyFont="1" applyBorder="1" applyAlignment="1">
      <alignment horizontal="center" vertical="center" wrapText="1"/>
      <protection/>
    </xf>
    <xf numFmtId="0" fontId="12" fillId="0" borderId="41" xfId="76" applyFont="1" applyBorder="1" applyAlignment="1">
      <alignment vertical="center" wrapText="1"/>
      <protection/>
    </xf>
    <xf numFmtId="3" fontId="14" fillId="0" borderId="76" xfId="76" applyNumberFormat="1" applyFont="1" applyFill="1" applyBorder="1" applyAlignment="1">
      <alignment vertical="center" wrapText="1"/>
      <protection/>
    </xf>
    <xf numFmtId="3" fontId="14" fillId="0" borderId="77" xfId="76" applyNumberFormat="1" applyFont="1" applyBorder="1" applyAlignment="1">
      <alignment vertical="center" wrapText="1"/>
      <protection/>
    </xf>
    <xf numFmtId="0" fontId="12" fillId="0" borderId="40" xfId="76" applyFont="1" applyBorder="1" applyAlignment="1">
      <alignment wrapText="1"/>
      <protection/>
    </xf>
    <xf numFmtId="0" fontId="12" fillId="0" borderId="41" xfId="76" applyFont="1" applyBorder="1" applyAlignment="1">
      <alignment wrapText="1"/>
      <protection/>
    </xf>
    <xf numFmtId="0" fontId="12" fillId="0" borderId="77" xfId="76" applyFont="1" applyBorder="1" applyAlignment="1">
      <alignment wrapText="1"/>
      <protection/>
    </xf>
    <xf numFmtId="3" fontId="12" fillId="0" borderId="76" xfId="76" applyNumberFormat="1" applyFont="1" applyFill="1" applyBorder="1" applyAlignment="1">
      <alignment wrapText="1"/>
      <protection/>
    </xf>
    <xf numFmtId="3" fontId="12" fillId="0" borderId="77" xfId="76" applyNumberFormat="1" applyFont="1" applyBorder="1" applyAlignment="1">
      <alignment wrapText="1"/>
      <protection/>
    </xf>
    <xf numFmtId="3" fontId="52" fillId="0" borderId="67" xfId="76" applyNumberFormat="1" applyFont="1" applyFill="1" applyBorder="1" applyAlignment="1">
      <alignment wrapText="1"/>
      <protection/>
    </xf>
    <xf numFmtId="3" fontId="52" fillId="0" borderId="43" xfId="76" applyNumberFormat="1" applyFont="1" applyBorder="1" applyAlignment="1">
      <alignment wrapText="1"/>
      <protection/>
    </xf>
    <xf numFmtId="3" fontId="12" fillId="0" borderId="67" xfId="76" applyNumberFormat="1" applyFont="1" applyFill="1" applyBorder="1" applyAlignment="1">
      <alignment wrapText="1"/>
      <protection/>
    </xf>
    <xf numFmtId="3" fontId="12" fillId="0" borderId="43" xfId="76" applyNumberFormat="1" applyFont="1" applyBorder="1" applyAlignment="1">
      <alignment wrapText="1"/>
      <protection/>
    </xf>
    <xf numFmtId="0" fontId="52" fillId="0" borderId="48" xfId="76" applyFont="1" applyBorder="1" applyAlignment="1">
      <alignment wrapText="1"/>
      <protection/>
    </xf>
    <xf numFmtId="0" fontId="52" fillId="0" borderId="58" xfId="76" applyFont="1" applyBorder="1" applyAlignment="1">
      <alignment wrapText="1"/>
      <protection/>
    </xf>
    <xf numFmtId="0" fontId="52" fillId="0" borderId="78" xfId="76" applyFont="1" applyBorder="1" applyAlignment="1">
      <alignment wrapText="1"/>
      <protection/>
    </xf>
    <xf numFmtId="3" fontId="52" fillId="0" borderId="73" xfId="76" applyNumberFormat="1" applyFont="1" applyFill="1" applyBorder="1" applyAlignment="1">
      <alignment wrapText="1"/>
      <protection/>
    </xf>
    <xf numFmtId="3" fontId="52" fillId="0" borderId="78" xfId="76" applyNumberFormat="1" applyFont="1" applyBorder="1" applyAlignment="1">
      <alignment wrapText="1"/>
      <protection/>
    </xf>
    <xf numFmtId="0" fontId="13" fillId="0" borderId="51" xfId="76" applyFont="1" applyBorder="1" applyAlignment="1">
      <alignment wrapText="1"/>
      <protection/>
    </xf>
    <xf numFmtId="0" fontId="13" fillId="0" borderId="0" xfId="76" applyFont="1" applyBorder="1" applyAlignment="1">
      <alignment wrapText="1"/>
      <protection/>
    </xf>
    <xf numFmtId="0" fontId="13" fillId="0" borderId="43" xfId="76" applyFont="1" applyBorder="1" applyAlignment="1">
      <alignment wrapText="1"/>
      <protection/>
    </xf>
    <xf numFmtId="3" fontId="13" fillId="0" borderId="67" xfId="76" applyNumberFormat="1" applyFont="1" applyFill="1" applyBorder="1" applyAlignment="1">
      <alignment wrapText="1"/>
      <protection/>
    </xf>
    <xf numFmtId="3" fontId="13" fillId="0" borderId="43" xfId="76" applyNumberFormat="1" applyFont="1" applyBorder="1" applyAlignment="1">
      <alignment wrapText="1"/>
      <protection/>
    </xf>
    <xf numFmtId="3" fontId="12" fillId="0" borderId="73" xfId="76" applyNumberFormat="1" applyFont="1" applyFill="1" applyBorder="1" applyAlignment="1">
      <alignment wrapText="1"/>
      <protection/>
    </xf>
    <xf numFmtId="3" fontId="12" fillId="0" borderId="78" xfId="76" applyNumberFormat="1" applyFont="1" applyBorder="1" applyAlignment="1">
      <alignment wrapText="1"/>
      <protection/>
    </xf>
    <xf numFmtId="0" fontId="12" fillId="0" borderId="48" xfId="76" applyFont="1" applyBorder="1" applyAlignment="1">
      <alignment wrapText="1"/>
      <protection/>
    </xf>
    <xf numFmtId="0" fontId="12" fillId="0" borderId="58" xfId="76" applyFont="1" applyBorder="1" applyAlignment="1">
      <alignment wrapText="1"/>
      <protection/>
    </xf>
    <xf numFmtId="0" fontId="12" fillId="0" borderId="78" xfId="76" applyFont="1" applyBorder="1" applyAlignment="1">
      <alignment wrapText="1"/>
      <protection/>
    </xf>
    <xf numFmtId="0" fontId="12" fillId="0" borderId="73" xfId="76" applyFont="1" applyFill="1" applyBorder="1" applyAlignment="1">
      <alignment wrapText="1"/>
      <protection/>
    </xf>
    <xf numFmtId="0" fontId="12" fillId="0" borderId="0" xfId="76" applyFont="1" applyFill="1" applyAlignment="1">
      <alignment wrapText="1"/>
      <protection/>
    </xf>
    <xf numFmtId="49" fontId="8" fillId="0" borderId="62" xfId="72" applyNumberFormat="1" applyFont="1" applyFill="1" applyBorder="1" applyAlignment="1">
      <alignment horizontal="center" vertical="center"/>
      <protection/>
    </xf>
    <xf numFmtId="49" fontId="8" fillId="0" borderId="79" xfId="72" applyNumberFormat="1" applyFont="1" applyFill="1" applyBorder="1" applyAlignment="1">
      <alignment horizontal="center" vertical="center"/>
      <protection/>
    </xf>
    <xf numFmtId="49" fontId="8" fillId="0" borderId="65" xfId="72" applyNumberFormat="1" applyFont="1" applyFill="1" applyBorder="1" applyAlignment="1">
      <alignment horizontal="center" vertical="center"/>
      <protection/>
    </xf>
    <xf numFmtId="49" fontId="8" fillId="0" borderId="12" xfId="72" applyNumberFormat="1" applyFont="1" applyFill="1" applyBorder="1" applyAlignment="1">
      <alignment horizontal="left" vertical="center" wrapText="1"/>
      <protection/>
    </xf>
    <xf numFmtId="49" fontId="8" fillId="0" borderId="17" xfId="72" applyNumberFormat="1" applyFont="1" applyFill="1" applyBorder="1" applyAlignment="1">
      <alignment horizontal="left" vertical="center" wrapText="1"/>
      <protection/>
    </xf>
    <xf numFmtId="49" fontId="8" fillId="0" borderId="14" xfId="72" applyNumberFormat="1" applyFont="1" applyFill="1" applyBorder="1" applyAlignment="1">
      <alignment horizontal="left" vertical="center" wrapText="1"/>
      <protection/>
    </xf>
    <xf numFmtId="49" fontId="37" fillId="34" borderId="40" xfId="72" applyNumberFormat="1" applyFont="1" applyFill="1" applyBorder="1" applyAlignment="1">
      <alignment horizontal="center" vertical="center"/>
      <protection/>
    </xf>
    <xf numFmtId="49" fontId="37" fillId="34" borderId="39" xfId="72" applyNumberFormat="1" applyFont="1" applyFill="1" applyBorder="1" applyAlignment="1">
      <alignment horizontal="center" vertical="center"/>
      <protection/>
    </xf>
    <xf numFmtId="49" fontId="37" fillId="34" borderId="51" xfId="72" applyNumberFormat="1" applyFont="1" applyFill="1" applyBorder="1" applyAlignment="1">
      <alignment horizontal="center" vertical="center"/>
      <protection/>
    </xf>
    <xf numFmtId="49" fontId="37" fillId="34" borderId="42" xfId="72" applyNumberFormat="1" applyFont="1" applyFill="1" applyBorder="1" applyAlignment="1">
      <alignment horizontal="center" vertical="center"/>
      <protection/>
    </xf>
    <xf numFmtId="49" fontId="37" fillId="34" borderId="48" xfId="72" applyNumberFormat="1" applyFont="1" applyFill="1" applyBorder="1" applyAlignment="1">
      <alignment horizontal="center" vertical="center"/>
      <protection/>
    </xf>
    <xf numFmtId="49" fontId="37" fillId="34" borderId="59" xfId="72" applyNumberFormat="1" applyFont="1" applyFill="1" applyBorder="1" applyAlignment="1">
      <alignment horizontal="center" vertical="center"/>
      <protection/>
    </xf>
    <xf numFmtId="49" fontId="8" fillId="0" borderId="36" xfId="72" applyNumberFormat="1" applyFont="1" applyFill="1" applyBorder="1" applyAlignment="1">
      <alignment horizontal="center" vertical="center" wrapText="1"/>
      <protection/>
    </xf>
    <xf numFmtId="3" fontId="8" fillId="0" borderId="10" xfId="72" applyNumberFormat="1" applyFont="1" applyFill="1" applyBorder="1" applyAlignment="1">
      <alignment horizontal="left" vertical="center" wrapText="1"/>
      <protection/>
    </xf>
    <xf numFmtId="49" fontId="8" fillId="0" borderId="12" xfId="72" applyNumberFormat="1" applyFont="1" applyFill="1" applyBorder="1" applyAlignment="1">
      <alignment horizontal="center" vertical="center" wrapText="1"/>
      <protection/>
    </xf>
    <xf numFmtId="49" fontId="8" fillId="0" borderId="17" xfId="72" applyNumberFormat="1" applyFont="1" applyFill="1" applyBorder="1" applyAlignment="1">
      <alignment horizontal="center" vertical="center" wrapText="1"/>
      <protection/>
    </xf>
    <xf numFmtId="49" fontId="8" fillId="0" borderId="14" xfId="72" applyNumberFormat="1" applyFont="1" applyFill="1" applyBorder="1" applyAlignment="1">
      <alignment horizontal="center" vertical="center" wrapText="1"/>
      <protection/>
    </xf>
    <xf numFmtId="49" fontId="9" fillId="34" borderId="40" xfId="72" applyNumberFormat="1" applyFont="1" applyFill="1" applyBorder="1" applyAlignment="1">
      <alignment horizontal="center" vertical="center" wrapText="1"/>
      <protection/>
    </xf>
    <xf numFmtId="49" fontId="9" fillId="34" borderId="51" xfId="72" applyNumberFormat="1" applyFont="1" applyFill="1" applyBorder="1" applyAlignment="1">
      <alignment horizontal="center" vertical="center" wrapText="1"/>
      <protection/>
    </xf>
    <xf numFmtId="49" fontId="9" fillId="34" borderId="48" xfId="72" applyNumberFormat="1" applyFont="1" applyFill="1" applyBorder="1" applyAlignment="1">
      <alignment horizontal="center" vertical="center" wrapText="1"/>
      <protection/>
    </xf>
    <xf numFmtId="3" fontId="11" fillId="34" borderId="39" xfId="72" applyNumberFormat="1" applyFont="1" applyFill="1" applyBorder="1" applyAlignment="1">
      <alignment horizontal="left" vertical="center" wrapText="1"/>
      <protection/>
    </xf>
    <xf numFmtId="3" fontId="11" fillId="34" borderId="42" xfId="72" applyNumberFormat="1" applyFont="1" applyFill="1" applyBorder="1" applyAlignment="1">
      <alignment horizontal="left" vertical="center" wrapText="1"/>
      <protection/>
    </xf>
    <xf numFmtId="3" fontId="11" fillId="34" borderId="59" xfId="72" applyNumberFormat="1" applyFont="1" applyFill="1" applyBorder="1" applyAlignment="1">
      <alignment horizontal="left" vertical="center" wrapText="1"/>
      <protection/>
    </xf>
    <xf numFmtId="49" fontId="8" fillId="0" borderId="47" xfId="72" applyNumberFormat="1" applyFont="1" applyFill="1" applyBorder="1" applyAlignment="1">
      <alignment horizontal="center" vertical="center"/>
      <protection/>
    </xf>
    <xf numFmtId="49" fontId="8" fillId="0" borderId="11" xfId="72" applyNumberFormat="1" applyFont="1" applyFill="1" applyBorder="1" applyAlignment="1">
      <alignment horizontal="center" vertical="center"/>
      <protection/>
    </xf>
    <xf numFmtId="49" fontId="8" fillId="0" borderId="44" xfId="72" applyNumberFormat="1" applyFont="1" applyFill="1" applyBorder="1" applyAlignment="1">
      <alignment horizontal="center" vertical="center"/>
      <protection/>
    </xf>
    <xf numFmtId="49" fontId="8" fillId="0" borderId="62" xfId="72" applyNumberFormat="1" applyFont="1" applyFill="1" applyBorder="1" applyAlignment="1">
      <alignment horizontal="center" vertical="center" wrapText="1"/>
      <protection/>
    </xf>
    <xf numFmtId="49" fontId="8" fillId="0" borderId="79" xfId="72" applyNumberFormat="1" applyFont="1" applyFill="1" applyBorder="1" applyAlignment="1">
      <alignment horizontal="center" vertical="center" wrapText="1"/>
      <protection/>
    </xf>
    <xf numFmtId="49" fontId="8" fillId="0" borderId="65" xfId="72" applyNumberFormat="1" applyFont="1" applyFill="1" applyBorder="1" applyAlignment="1">
      <alignment horizontal="center" vertical="center" wrapText="1"/>
      <protection/>
    </xf>
    <xf numFmtId="3" fontId="8" fillId="0" borderId="12" xfId="72" applyNumberFormat="1" applyFont="1" applyFill="1" applyBorder="1" applyAlignment="1">
      <alignment horizontal="left" vertical="center" wrapText="1"/>
      <protection/>
    </xf>
    <xf numFmtId="3" fontId="8" fillId="0" borderId="17" xfId="72" applyNumberFormat="1" applyFont="1" applyFill="1" applyBorder="1" applyAlignment="1">
      <alignment horizontal="left" vertical="center" wrapText="1"/>
      <protection/>
    </xf>
    <xf numFmtId="3" fontId="8" fillId="0" borderId="14" xfId="72" applyNumberFormat="1" applyFont="1" applyFill="1" applyBorder="1" applyAlignment="1">
      <alignment horizontal="left" vertical="center" wrapText="1"/>
      <protection/>
    </xf>
    <xf numFmtId="2" fontId="9" fillId="0" borderId="64" xfId="72" applyNumberFormat="1" applyFont="1" applyFill="1" applyBorder="1" applyAlignment="1">
      <alignment horizontal="center" vertical="center" wrapText="1"/>
      <protection/>
    </xf>
    <xf numFmtId="2" fontId="9" fillId="0" borderId="46" xfId="72" applyNumberFormat="1" applyFont="1" applyFill="1" applyBorder="1" applyAlignment="1">
      <alignment horizontal="center" vertical="center" wrapText="1"/>
      <protection/>
    </xf>
    <xf numFmtId="3" fontId="11" fillId="34" borderId="41" xfId="72" applyNumberFormat="1" applyFont="1" applyFill="1" applyBorder="1" applyAlignment="1">
      <alignment horizontal="center" vertical="center" wrapText="1"/>
      <protection/>
    </xf>
    <xf numFmtId="3" fontId="11" fillId="34" borderId="0" xfId="72" applyNumberFormat="1" applyFont="1" applyFill="1" applyBorder="1" applyAlignment="1">
      <alignment horizontal="center" vertical="center" wrapText="1"/>
      <protection/>
    </xf>
    <xf numFmtId="3" fontId="11" fillId="34" borderId="58" xfId="72" applyNumberFormat="1" applyFont="1" applyFill="1" applyBorder="1" applyAlignment="1">
      <alignment horizontal="center" vertical="center" wrapText="1"/>
      <protection/>
    </xf>
    <xf numFmtId="2" fontId="9" fillId="0" borderId="70" xfId="72" applyNumberFormat="1" applyFont="1" applyFill="1" applyBorder="1" applyAlignment="1">
      <alignment horizontal="center" vertical="center" wrapText="1"/>
      <protection/>
    </xf>
    <xf numFmtId="2" fontId="9" fillId="0" borderId="80" xfId="72" applyNumberFormat="1" applyFont="1" applyFill="1" applyBorder="1" applyAlignment="1">
      <alignment horizontal="center" vertical="center" wrapText="1"/>
      <protection/>
    </xf>
    <xf numFmtId="2" fontId="9" fillId="0" borderId="81" xfId="72" applyNumberFormat="1" applyFont="1" applyFill="1" applyBorder="1" applyAlignment="1">
      <alignment horizontal="center" vertical="center" wrapText="1"/>
      <protection/>
    </xf>
    <xf numFmtId="2" fontId="9" fillId="0" borderId="31" xfId="72" applyNumberFormat="1" applyFont="1" applyFill="1" applyBorder="1" applyAlignment="1">
      <alignment horizontal="center" vertical="center" wrapText="1"/>
      <protection/>
    </xf>
    <xf numFmtId="2" fontId="9" fillId="0" borderId="11" xfId="72" applyNumberFormat="1" applyFont="1" applyFill="1" applyBorder="1" applyAlignment="1">
      <alignment horizontal="center" vertical="center" wrapText="1"/>
      <protection/>
    </xf>
    <xf numFmtId="2" fontId="9" fillId="0" borderId="16" xfId="72" applyNumberFormat="1" applyFont="1" applyFill="1" applyBorder="1" applyAlignment="1">
      <alignment horizontal="center" vertical="center" wrapText="1"/>
      <protection/>
    </xf>
    <xf numFmtId="2" fontId="9" fillId="0" borderId="44" xfId="72" applyNumberFormat="1" applyFont="1" applyFill="1" applyBorder="1" applyAlignment="1">
      <alignment horizontal="center" vertical="center" wrapText="1"/>
      <protection/>
    </xf>
    <xf numFmtId="2" fontId="9" fillId="0" borderId="12" xfId="72" applyNumberFormat="1" applyFont="1" applyFill="1" applyBorder="1" applyAlignment="1">
      <alignment horizontal="center" vertical="center" wrapText="1"/>
      <protection/>
    </xf>
    <xf numFmtId="2" fontId="9" fillId="0" borderId="27" xfId="72" applyNumberFormat="1" applyFont="1" applyFill="1" applyBorder="1" applyAlignment="1">
      <alignment horizontal="center" vertical="center" wrapText="1"/>
      <protection/>
    </xf>
    <xf numFmtId="2" fontId="9" fillId="0" borderId="28" xfId="72" applyNumberFormat="1" applyFont="1" applyFill="1" applyBorder="1" applyAlignment="1">
      <alignment horizontal="center" vertical="center" wrapText="1"/>
      <protection/>
    </xf>
    <xf numFmtId="2" fontId="9" fillId="0" borderId="21" xfId="72" applyNumberFormat="1" applyFont="1" applyFill="1" applyBorder="1" applyAlignment="1">
      <alignment horizontal="center" vertical="center" wrapText="1"/>
      <protection/>
    </xf>
    <xf numFmtId="2" fontId="9" fillId="0" borderId="12" xfId="72" applyNumberFormat="1" applyFont="1" applyFill="1" applyBorder="1" applyAlignment="1">
      <alignment horizontal="center" vertical="center" wrapText="1"/>
      <protection/>
    </xf>
    <xf numFmtId="2" fontId="9" fillId="0" borderId="14" xfId="72" applyNumberFormat="1" applyFont="1" applyFill="1" applyBorder="1" applyAlignment="1">
      <alignment horizontal="center" vertical="center" wrapText="1"/>
      <protection/>
    </xf>
    <xf numFmtId="0" fontId="8" fillId="0" borderId="0" xfId="72" applyNumberFormat="1" applyFont="1" applyFill="1" applyAlignment="1">
      <alignment horizontal="left" vertical="center" wrapText="1"/>
      <protection/>
    </xf>
    <xf numFmtId="49" fontId="9" fillId="0" borderId="82" xfId="72" applyNumberFormat="1" applyFont="1" applyFill="1" applyBorder="1" applyAlignment="1">
      <alignment horizontal="center" vertical="center" wrapText="1"/>
      <protection/>
    </xf>
    <xf numFmtId="49" fontId="9" fillId="0" borderId="79" xfId="72" applyNumberFormat="1" applyFont="1" applyFill="1" applyBorder="1" applyAlignment="1">
      <alignment horizontal="center" vertical="center" wrapText="1"/>
      <protection/>
    </xf>
    <xf numFmtId="49" fontId="9" fillId="0" borderId="65" xfId="72" applyNumberFormat="1" applyFont="1" applyFill="1" applyBorder="1" applyAlignment="1">
      <alignment horizontal="center" vertical="center" wrapText="1"/>
      <protection/>
    </xf>
    <xf numFmtId="49" fontId="9" fillId="0" borderId="34" xfId="72" applyNumberFormat="1" applyFont="1" applyFill="1" applyBorder="1" applyAlignment="1">
      <alignment horizontal="center" vertical="center" wrapText="1"/>
      <protection/>
    </xf>
    <xf numFmtId="49" fontId="9" fillId="0" borderId="35" xfId="72" applyNumberFormat="1" applyFont="1" applyFill="1" applyBorder="1" applyAlignment="1">
      <alignment horizontal="center" vertical="center" wrapText="1"/>
      <protection/>
    </xf>
    <xf numFmtId="49" fontId="9" fillId="0" borderId="27" xfId="72" applyNumberFormat="1" applyFont="1" applyFill="1" applyBorder="1" applyAlignment="1">
      <alignment horizontal="center" vertical="center" wrapText="1"/>
      <protection/>
    </xf>
    <xf numFmtId="2" fontId="9" fillId="0" borderId="22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2" fontId="9" fillId="0" borderId="14" xfId="72" applyNumberFormat="1" applyFont="1" applyFill="1" applyBorder="1" applyAlignment="1">
      <alignment horizontal="center" vertical="center" wrapText="1"/>
      <protection/>
    </xf>
    <xf numFmtId="2" fontId="9" fillId="0" borderId="34" xfId="72" applyNumberFormat="1" applyFont="1" applyFill="1" applyBorder="1" applyAlignment="1">
      <alignment horizontal="center" vertical="center" wrapText="1"/>
      <protection/>
    </xf>
    <xf numFmtId="2" fontId="9" fillId="0" borderId="35" xfId="72" applyNumberFormat="1" applyFont="1" applyFill="1" applyBorder="1" applyAlignment="1">
      <alignment horizontal="center" vertical="center" wrapText="1"/>
      <protection/>
    </xf>
    <xf numFmtId="2" fontId="9" fillId="0" borderId="22" xfId="72" applyNumberFormat="1" applyFont="1" applyFill="1" applyBorder="1" applyAlignment="1">
      <alignment horizontal="center" vertical="center" wrapText="1"/>
      <protection/>
    </xf>
    <xf numFmtId="2" fontId="9" fillId="0" borderId="17" xfId="72" applyNumberFormat="1" applyFont="1" applyFill="1" applyBorder="1" applyAlignment="1">
      <alignment horizontal="center" vertical="center" wrapText="1"/>
      <protection/>
    </xf>
    <xf numFmtId="49" fontId="33" fillId="0" borderId="0" xfId="72" applyNumberFormat="1" applyFont="1" applyFill="1" applyAlignment="1">
      <alignment horizontal="center" vertical="center"/>
      <protection/>
    </xf>
    <xf numFmtId="0" fontId="4" fillId="0" borderId="0" xfId="0" applyFont="1" applyAlignment="1">
      <alignment horizontal="justify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44" xfId="0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8" fillId="0" borderId="6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70" xfId="0" applyFont="1" applyBorder="1" applyAlignment="1">
      <alignment horizontal="center" wrapText="1"/>
    </xf>
    <xf numFmtId="0" fontId="18" fillId="0" borderId="80" xfId="0" applyFont="1" applyBorder="1" applyAlignment="1">
      <alignment horizontal="center" wrapText="1"/>
    </xf>
    <xf numFmtId="0" fontId="18" fillId="0" borderId="81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0" fontId="18" fillId="0" borderId="64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49" fontId="20" fillId="33" borderId="69" xfId="0" applyNumberFormat="1" applyFont="1" applyFill="1" applyBorder="1" applyAlignment="1">
      <alignment horizontal="center" vertical="top"/>
    </xf>
    <xf numFmtId="49" fontId="20" fillId="33" borderId="36" xfId="0" applyNumberFormat="1" applyFont="1" applyFill="1" applyBorder="1" applyAlignment="1">
      <alignment horizontal="center" vertical="top"/>
    </xf>
    <xf numFmtId="49" fontId="20" fillId="33" borderId="75" xfId="0" applyNumberFormat="1" applyFont="1" applyFill="1" applyBorder="1" applyAlignment="1">
      <alignment horizontal="center" vertical="top"/>
    </xf>
    <xf numFmtId="0" fontId="20" fillId="33" borderId="18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 wrapText="1"/>
    </xf>
    <xf numFmtId="49" fontId="21" fillId="0" borderId="69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75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21" fillId="0" borderId="18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1" fillId="0" borderId="69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0" fillId="33" borderId="69" xfId="0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center" vertical="top" wrapText="1"/>
    </xf>
    <xf numFmtId="3" fontId="9" fillId="0" borderId="21" xfId="0" applyNumberFormat="1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 wrapText="1"/>
    </xf>
    <xf numFmtId="0" fontId="12" fillId="0" borderId="67" xfId="76" applyFont="1" applyBorder="1" applyAlignment="1">
      <alignment horizontal="center" wrapText="1"/>
      <protection/>
    </xf>
    <xf numFmtId="0" fontId="12" fillId="0" borderId="43" xfId="76" applyFont="1" applyBorder="1" applyAlignment="1">
      <alignment horizontal="center" wrapText="1"/>
      <protection/>
    </xf>
    <xf numFmtId="0" fontId="13" fillId="0" borderId="73" xfId="76" applyFont="1" applyBorder="1" applyAlignment="1">
      <alignment horizontal="center" wrapText="1"/>
      <protection/>
    </xf>
    <xf numFmtId="0" fontId="13" fillId="0" borderId="78" xfId="76" applyFont="1" applyBorder="1" applyAlignment="1">
      <alignment horizontal="center" wrapText="1"/>
      <protection/>
    </xf>
    <xf numFmtId="0" fontId="13" fillId="0" borderId="67" xfId="76" applyFont="1" applyBorder="1" applyAlignment="1">
      <alignment horizontal="center" wrapText="1"/>
      <protection/>
    </xf>
    <xf numFmtId="0" fontId="13" fillId="0" borderId="43" xfId="76" applyFont="1" applyBorder="1" applyAlignment="1">
      <alignment horizontal="center" wrapText="1"/>
      <protection/>
    </xf>
    <xf numFmtId="0" fontId="63" fillId="0" borderId="51" xfId="76" applyFont="1" applyBorder="1" applyAlignment="1">
      <alignment horizontal="left" wrapText="1"/>
      <protection/>
    </xf>
    <xf numFmtId="0" fontId="63" fillId="0" borderId="0" xfId="76" applyFont="1" applyBorder="1" applyAlignment="1">
      <alignment horizontal="left" wrapText="1"/>
      <protection/>
    </xf>
    <xf numFmtId="0" fontId="63" fillId="0" borderId="43" xfId="76" applyFont="1" applyBorder="1" applyAlignment="1">
      <alignment horizontal="left" wrapText="1"/>
      <protection/>
    </xf>
    <xf numFmtId="0" fontId="52" fillId="0" borderId="67" xfId="76" applyFont="1" applyBorder="1" applyAlignment="1">
      <alignment horizontal="center" wrapText="1"/>
      <protection/>
    </xf>
    <xf numFmtId="0" fontId="52" fillId="0" borderId="43" xfId="76" applyFont="1" applyBorder="1" applyAlignment="1">
      <alignment horizontal="center" wrapText="1"/>
      <protection/>
    </xf>
    <xf numFmtId="0" fontId="12" fillId="0" borderId="0" xfId="74" applyFont="1" applyAlignment="1">
      <alignment horizontal="left" vertical="center" wrapText="1"/>
      <protection/>
    </xf>
    <xf numFmtId="0" fontId="12" fillId="0" borderId="0" xfId="73" applyFont="1" applyAlignment="1">
      <alignment horizontal="left" wrapText="1"/>
      <protection/>
    </xf>
    <xf numFmtId="0" fontId="13" fillId="0" borderId="76" xfId="76" applyFont="1" applyBorder="1" applyAlignment="1">
      <alignment horizontal="center" vertical="center" wrapText="1"/>
      <protection/>
    </xf>
    <xf numFmtId="0" fontId="13" fillId="0" borderId="73" xfId="76" applyFont="1" applyBorder="1" applyAlignment="1">
      <alignment horizontal="center" vertical="center" wrapText="1"/>
      <protection/>
    </xf>
    <xf numFmtId="0" fontId="13" fillId="0" borderId="40" xfId="76" applyFont="1" applyBorder="1" applyAlignment="1">
      <alignment horizontal="center" vertical="center" wrapText="1"/>
      <protection/>
    </xf>
    <xf numFmtId="0" fontId="13" fillId="0" borderId="48" xfId="76" applyFont="1" applyBorder="1" applyAlignment="1">
      <alignment horizontal="center" vertical="center" wrapText="1"/>
      <protection/>
    </xf>
    <xf numFmtId="0" fontId="13" fillId="0" borderId="76" xfId="76" applyFont="1" applyFill="1" applyBorder="1" applyAlignment="1">
      <alignment horizontal="center" vertical="center" wrapText="1"/>
      <protection/>
    </xf>
    <xf numFmtId="0" fontId="13" fillId="0" borderId="73" xfId="76" applyFont="1" applyFill="1" applyBorder="1" applyAlignment="1">
      <alignment horizontal="center" vertical="center" wrapText="1"/>
      <protection/>
    </xf>
    <xf numFmtId="3" fontId="21" fillId="33" borderId="10" xfId="70" applyNumberFormat="1" applyFont="1" applyFill="1" applyBorder="1" applyAlignment="1">
      <alignment horizontal="right" vertical="center"/>
      <protection/>
    </xf>
    <xf numFmtId="3" fontId="13" fillId="0" borderId="12" xfId="71" applyNumberFormat="1" applyFont="1" applyFill="1" applyBorder="1" applyAlignment="1">
      <alignment horizontal="center" vertical="center" wrapText="1"/>
      <protection/>
    </xf>
    <xf numFmtId="3" fontId="13" fillId="0" borderId="14" xfId="71" applyNumberFormat="1" applyFont="1" applyFill="1" applyBorder="1" applyAlignment="1">
      <alignment horizontal="center" vertical="center" wrapText="1"/>
      <protection/>
    </xf>
    <xf numFmtId="0" fontId="38" fillId="0" borderId="10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3" fontId="24" fillId="33" borderId="10" xfId="70" applyNumberFormat="1" applyFont="1" applyFill="1" applyBorder="1" applyAlignment="1">
      <alignment horizontal="right" vertical="center"/>
      <protection/>
    </xf>
    <xf numFmtId="3" fontId="34" fillId="0" borderId="10" xfId="70" applyNumberFormat="1" applyFont="1" applyBorder="1" applyAlignment="1">
      <alignment horizontal="right" vertical="center"/>
      <protection/>
    </xf>
    <xf numFmtId="3" fontId="12" fillId="0" borderId="12" xfId="71" applyNumberFormat="1" applyFont="1" applyFill="1" applyBorder="1" applyAlignment="1">
      <alignment horizontal="center" vertical="center" wrapText="1"/>
      <protection/>
    </xf>
    <xf numFmtId="3" fontId="12" fillId="0" borderId="14" xfId="71" applyNumberFormat="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>
      <alignment horizontal="center" vertical="center"/>
      <protection/>
    </xf>
    <xf numFmtId="0" fontId="35" fillId="0" borderId="10" xfId="71" applyFont="1" applyFill="1" applyBorder="1" applyAlignment="1">
      <alignment horizontal="center" vertical="center"/>
      <protection/>
    </xf>
    <xf numFmtId="49" fontId="12" fillId="0" borderId="10" xfId="71" applyNumberFormat="1" applyFont="1" applyFill="1" applyBorder="1" applyAlignment="1">
      <alignment horizontal="center" vertical="center"/>
      <protection/>
    </xf>
    <xf numFmtId="0" fontId="35" fillId="0" borderId="10" xfId="71" applyFont="1" applyFill="1" applyBorder="1" applyAlignment="1">
      <alignment horizontal="left" vertical="center" wrapText="1"/>
      <protection/>
    </xf>
    <xf numFmtId="0" fontId="12" fillId="0" borderId="10" xfId="71" applyFont="1" applyFill="1" applyBorder="1" applyAlignment="1">
      <alignment horizontal="center" vertical="center" wrapText="1"/>
      <protection/>
    </xf>
    <xf numFmtId="0" fontId="12" fillId="0" borderId="12" xfId="71" applyFont="1" applyFill="1" applyBorder="1" applyAlignment="1">
      <alignment horizontal="center" vertical="center" wrapText="1"/>
      <protection/>
    </xf>
    <xf numFmtId="0" fontId="12" fillId="0" borderId="17" xfId="71" applyFont="1" applyFill="1" applyBorder="1" applyAlignment="1">
      <alignment horizontal="center" vertical="center" wrapText="1"/>
      <protection/>
    </xf>
    <xf numFmtId="0" fontId="12" fillId="0" borderId="14" xfId="71" applyFont="1" applyFill="1" applyBorder="1" applyAlignment="1">
      <alignment horizontal="center" vertical="center" wrapText="1"/>
      <protection/>
    </xf>
    <xf numFmtId="0" fontId="33" fillId="37" borderId="10" xfId="71" applyFont="1" applyFill="1" applyBorder="1" applyAlignment="1">
      <alignment horizontal="center"/>
      <protection/>
    </xf>
    <xf numFmtId="0" fontId="37" fillId="0" borderId="10" xfId="71" applyFont="1" applyFill="1" applyBorder="1" applyAlignment="1">
      <alignment horizontal="center" vertical="center" wrapText="1"/>
      <protection/>
    </xf>
    <xf numFmtId="0" fontId="12" fillId="0" borderId="12" xfId="71" applyFont="1" applyFill="1" applyBorder="1" applyAlignment="1">
      <alignment horizontal="center" vertical="center"/>
      <protection/>
    </xf>
    <xf numFmtId="0" fontId="12" fillId="0" borderId="17" xfId="71" applyFont="1" applyFill="1" applyBorder="1" applyAlignment="1">
      <alignment horizontal="center" vertical="center"/>
      <protection/>
    </xf>
    <xf numFmtId="0" fontId="12" fillId="0" borderId="14" xfId="71" applyFont="1" applyFill="1" applyBorder="1" applyAlignment="1">
      <alignment horizontal="center" vertical="center"/>
      <protection/>
    </xf>
    <xf numFmtId="0" fontId="35" fillId="0" borderId="12" xfId="71" applyFont="1" applyFill="1" applyBorder="1" applyAlignment="1">
      <alignment horizontal="center" vertical="center"/>
      <protection/>
    </xf>
    <xf numFmtId="0" fontId="35" fillId="0" borderId="17" xfId="71" applyFont="1" applyFill="1" applyBorder="1" applyAlignment="1">
      <alignment horizontal="center" vertical="center"/>
      <protection/>
    </xf>
    <xf numFmtId="0" fontId="35" fillId="0" borderId="14" xfId="71" applyFont="1" applyFill="1" applyBorder="1" applyAlignment="1">
      <alignment horizontal="center" vertical="center"/>
      <protection/>
    </xf>
    <xf numFmtId="0" fontId="35" fillId="0" borderId="12" xfId="71" applyFont="1" applyFill="1" applyBorder="1" applyAlignment="1">
      <alignment horizontal="left" vertical="center" wrapText="1"/>
      <protection/>
    </xf>
    <xf numFmtId="0" fontId="35" fillId="0" borderId="17" xfId="71" applyFont="1" applyFill="1" applyBorder="1" applyAlignment="1">
      <alignment horizontal="left" vertical="center" wrapText="1"/>
      <protection/>
    </xf>
    <xf numFmtId="0" fontId="35" fillId="0" borderId="14" xfId="71" applyFont="1" applyFill="1" applyBorder="1" applyAlignment="1">
      <alignment horizontal="left" vertical="center" wrapText="1"/>
      <protection/>
    </xf>
    <xf numFmtId="0" fontId="23" fillId="0" borderId="10" xfId="70" applyBorder="1" applyAlignment="1">
      <alignment horizontal="center"/>
      <protection/>
    </xf>
    <xf numFmtId="0" fontId="12" fillId="0" borderId="12" xfId="71" applyFont="1" applyFill="1" applyBorder="1" applyAlignment="1">
      <alignment horizontal="left" vertical="center" wrapText="1"/>
      <protection/>
    </xf>
    <xf numFmtId="0" fontId="12" fillId="0" borderId="17" xfId="71" applyFont="1" applyFill="1" applyBorder="1" applyAlignment="1">
      <alignment horizontal="left" vertical="center" wrapText="1"/>
      <protection/>
    </xf>
    <xf numFmtId="0" fontId="12" fillId="0" borderId="14" xfId="71" applyFont="1" applyFill="1" applyBorder="1" applyAlignment="1">
      <alignment horizontal="left" vertical="center" wrapText="1"/>
      <protection/>
    </xf>
    <xf numFmtId="0" fontId="12" fillId="0" borderId="10" xfId="71" applyFont="1" applyFill="1" applyBorder="1" applyAlignment="1">
      <alignment horizontal="left" vertical="center" wrapText="1"/>
      <protection/>
    </xf>
    <xf numFmtId="49" fontId="12" fillId="0" borderId="12" xfId="71" applyNumberFormat="1" applyFont="1" applyFill="1" applyBorder="1" applyAlignment="1">
      <alignment horizontal="center" vertical="center"/>
      <protection/>
    </xf>
    <xf numFmtId="49" fontId="12" fillId="0" borderId="17" xfId="71" applyNumberFormat="1" applyFont="1" applyFill="1" applyBorder="1" applyAlignment="1">
      <alignment horizontal="center" vertical="center"/>
      <protection/>
    </xf>
    <xf numFmtId="49" fontId="12" fillId="0" borderId="14" xfId="71" applyNumberFormat="1" applyFont="1" applyFill="1" applyBorder="1" applyAlignment="1">
      <alignment horizontal="center" vertical="center"/>
      <protection/>
    </xf>
    <xf numFmtId="0" fontId="30" fillId="0" borderId="10" xfId="71" applyFont="1" applyFill="1" applyBorder="1" applyAlignment="1">
      <alignment horizontal="center" vertical="center"/>
      <protection/>
    </xf>
    <xf numFmtId="0" fontId="32" fillId="0" borderId="10" xfId="71" applyFont="1" applyFill="1" applyBorder="1" applyAlignment="1">
      <alignment horizontal="center"/>
      <protection/>
    </xf>
    <xf numFmtId="0" fontId="33" fillId="0" borderId="10" xfId="71" applyFont="1" applyFill="1" applyBorder="1" applyAlignment="1">
      <alignment horizontal="center"/>
      <protection/>
    </xf>
    <xf numFmtId="0" fontId="30" fillId="0" borderId="10" xfId="71" applyFont="1" applyFill="1" applyBorder="1" applyAlignment="1">
      <alignment horizontal="center" vertical="center"/>
      <protection/>
    </xf>
    <xf numFmtId="0" fontId="13" fillId="0" borderId="10" xfId="71" applyFont="1" applyFill="1" applyBorder="1" applyAlignment="1">
      <alignment horizontal="center" vertical="center"/>
      <protection/>
    </xf>
    <xf numFmtId="0" fontId="13" fillId="0" borderId="10" xfId="71" applyFont="1" applyFill="1" applyBorder="1" applyAlignment="1">
      <alignment horizontal="center" vertical="center" wrapText="1"/>
      <protection/>
    </xf>
    <xf numFmtId="0" fontId="31" fillId="0" borderId="12" xfId="71" applyFont="1" applyFill="1" applyBorder="1" applyAlignment="1">
      <alignment horizontal="center" vertical="center" wrapText="1"/>
      <protection/>
    </xf>
    <xf numFmtId="0" fontId="31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26" fillId="0" borderId="0" xfId="71" applyNumberFormat="1" applyFont="1" applyFill="1" applyAlignment="1">
      <alignment horizontal="left" vertical="center" wrapText="1"/>
      <protection/>
    </xf>
    <xf numFmtId="0" fontId="13" fillId="0" borderId="12" xfId="71" applyFont="1" applyFill="1" applyBorder="1" applyAlignment="1">
      <alignment horizontal="center" vertical="center"/>
      <protection/>
    </xf>
    <xf numFmtId="0" fontId="13" fillId="0" borderId="17" xfId="71" applyFont="1" applyFill="1" applyBorder="1" applyAlignment="1">
      <alignment horizontal="center" vertical="center"/>
      <protection/>
    </xf>
    <xf numFmtId="0" fontId="13" fillId="0" borderId="14" xfId="71" applyFont="1" applyFill="1" applyBorder="1" applyAlignment="1">
      <alignment horizontal="center" vertical="center"/>
      <protection/>
    </xf>
    <xf numFmtId="0" fontId="29" fillId="0" borderId="12" xfId="71" applyFont="1" applyFill="1" applyBorder="1" applyAlignment="1">
      <alignment horizontal="center" vertical="center" wrapText="1"/>
      <protection/>
    </xf>
    <xf numFmtId="0" fontId="29" fillId="0" borderId="17" xfId="71" applyFont="1" applyFill="1" applyBorder="1" applyAlignment="1">
      <alignment horizontal="center" vertical="center" wrapText="1"/>
      <protection/>
    </xf>
    <xf numFmtId="0" fontId="29" fillId="0" borderId="14" xfId="71" applyFont="1" applyFill="1" applyBorder="1" applyAlignment="1">
      <alignment horizontal="center" vertical="center" wrapText="1"/>
      <protection/>
    </xf>
    <xf numFmtId="0" fontId="30" fillId="0" borderId="12" xfId="71" applyFont="1" applyFill="1" applyBorder="1" applyAlignment="1">
      <alignment horizontal="center" vertical="center" wrapText="1"/>
      <protection/>
    </xf>
    <xf numFmtId="0" fontId="30" fillId="0" borderId="17" xfId="71" applyFont="1" applyFill="1" applyBorder="1" applyAlignment="1">
      <alignment horizontal="center" vertical="center" wrapText="1"/>
      <protection/>
    </xf>
    <xf numFmtId="0" fontId="30" fillId="0" borderId="14" xfId="71" applyFont="1" applyFill="1" applyBorder="1" applyAlignment="1">
      <alignment horizontal="center" vertical="center" wrapText="1"/>
      <protection/>
    </xf>
    <xf numFmtId="0" fontId="30" fillId="0" borderId="10" xfId="71" applyFont="1" applyFill="1" applyBorder="1" applyAlignment="1">
      <alignment horizontal="center" vertical="center" wrapText="1"/>
      <protection/>
    </xf>
    <xf numFmtId="0" fontId="29" fillId="0" borderId="10" xfId="7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49" fontId="12" fillId="0" borderId="14" xfId="0" applyNumberFormat="1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wrapText="1"/>
    </xf>
    <xf numFmtId="3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3" fontId="13" fillId="0" borderId="53" xfId="0" applyNumberFormat="1" applyFont="1" applyFill="1" applyBorder="1" applyAlignment="1">
      <alignment horizontal="center" vertical="center"/>
    </xf>
    <xf numFmtId="3" fontId="13" fillId="0" borderId="58" xfId="0" applyNumberFormat="1" applyFont="1" applyFill="1" applyBorder="1" applyAlignment="1">
      <alignment horizontal="center" vertical="center"/>
    </xf>
    <xf numFmtId="3" fontId="13" fillId="0" borderId="59" xfId="0" applyNumberFormat="1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/>
    </xf>
    <xf numFmtId="0" fontId="16" fillId="0" borderId="83" xfId="0" applyFont="1" applyFill="1" applyBorder="1" applyAlignment="1">
      <alignment horizontal="left" vertical="center"/>
    </xf>
    <xf numFmtId="0" fontId="13" fillId="0" borderId="70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6" fillId="0" borderId="6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3" fontId="12" fillId="0" borderId="53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5" fillId="0" borderId="34" xfId="75" applyFont="1" applyFill="1" applyBorder="1" applyAlignment="1">
      <alignment horizontal="center" vertical="center" wrapText="1"/>
      <protection/>
    </xf>
    <xf numFmtId="0" fontId="15" fillId="0" borderId="41" xfId="75" applyFont="1" applyFill="1" applyBorder="1" applyAlignment="1">
      <alignment horizontal="center" vertical="center" wrapText="1"/>
      <protection/>
    </xf>
    <xf numFmtId="0" fontId="15" fillId="0" borderId="39" xfId="75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49" fontId="50" fillId="0" borderId="28" xfId="75" applyNumberFormat="1" applyFont="1" applyFill="1" applyBorder="1" applyAlignment="1">
      <alignment horizontal="center" vertical="center"/>
      <protection/>
    </xf>
    <xf numFmtId="49" fontId="50" fillId="0" borderId="21" xfId="75" applyNumberFormat="1" applyFont="1" applyFill="1" applyBorder="1" applyAlignment="1">
      <alignment horizontal="center" vertical="center"/>
      <protection/>
    </xf>
    <xf numFmtId="49" fontId="50" fillId="0" borderId="28" xfId="75" applyNumberFormat="1" applyFont="1" applyFill="1" applyBorder="1" applyAlignment="1">
      <alignment horizontal="center" vertical="center"/>
      <protection/>
    </xf>
    <xf numFmtId="49" fontId="50" fillId="0" borderId="21" xfId="75" applyNumberFormat="1" applyFont="1" applyFill="1" applyBorder="1" applyAlignment="1">
      <alignment horizontal="center" vertical="center"/>
      <protection/>
    </xf>
    <xf numFmtId="0" fontId="50" fillId="0" borderId="28" xfId="75" applyFont="1" applyFill="1" applyBorder="1" applyAlignment="1">
      <alignment horizontal="left" vertical="top" wrapText="1"/>
      <protection/>
    </xf>
    <xf numFmtId="0" fontId="50" fillId="0" borderId="21" xfId="75" applyFont="1" applyFill="1" applyBorder="1" applyAlignment="1">
      <alignment horizontal="left" vertical="top" wrapText="1"/>
      <protection/>
    </xf>
    <xf numFmtId="0" fontId="0" fillId="0" borderId="35" xfId="0" applyFill="1" applyBorder="1" applyAlignment="1">
      <alignment horizontal="left" vertical="top" wrapText="1"/>
    </xf>
    <xf numFmtId="0" fontId="0" fillId="0" borderId="42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49" fontId="50" fillId="0" borderId="35" xfId="75" applyNumberFormat="1" applyFont="1" applyFill="1" applyBorder="1" applyAlignment="1">
      <alignment horizontal="center" vertical="center"/>
      <protection/>
    </xf>
    <xf numFmtId="49" fontId="50" fillId="0" borderId="42" xfId="75" applyNumberFormat="1" applyFont="1" applyFill="1" applyBorder="1" applyAlignment="1">
      <alignment horizontal="center" vertical="center"/>
      <protection/>
    </xf>
    <xf numFmtId="49" fontId="50" fillId="0" borderId="35" xfId="75" applyNumberFormat="1" applyFont="1" applyFill="1" applyBorder="1" applyAlignment="1">
      <alignment horizontal="center" vertical="center"/>
      <protection/>
    </xf>
    <xf numFmtId="49" fontId="50" fillId="0" borderId="42" xfId="75" applyNumberFormat="1" applyFont="1" applyFill="1" applyBorder="1" applyAlignment="1">
      <alignment horizontal="center" vertical="center"/>
      <protection/>
    </xf>
    <xf numFmtId="49" fontId="50" fillId="0" borderId="27" xfId="75" applyNumberFormat="1" applyFont="1" applyFill="1" applyBorder="1" applyAlignment="1">
      <alignment horizontal="center" vertical="center"/>
      <protection/>
    </xf>
    <xf numFmtId="49" fontId="50" fillId="0" borderId="26" xfId="75" applyNumberFormat="1" applyFont="1" applyFill="1" applyBorder="1" applyAlignment="1">
      <alignment horizontal="center" vertical="center"/>
      <protection/>
    </xf>
    <xf numFmtId="49" fontId="50" fillId="0" borderId="27" xfId="75" applyNumberFormat="1" applyFont="1" applyFill="1" applyBorder="1" applyAlignment="1">
      <alignment horizontal="center" vertical="center"/>
      <protection/>
    </xf>
    <xf numFmtId="49" fontId="50" fillId="0" borderId="26" xfId="75" applyNumberFormat="1" applyFont="1" applyFill="1" applyBorder="1" applyAlignment="1">
      <alignment horizontal="center" vertical="center"/>
      <protection/>
    </xf>
    <xf numFmtId="49" fontId="50" fillId="0" borderId="35" xfId="75" applyNumberFormat="1" applyFont="1" applyFill="1" applyBorder="1" applyAlignment="1">
      <alignment horizontal="center" vertical="top"/>
      <protection/>
    </xf>
    <xf numFmtId="49" fontId="50" fillId="0" borderId="42" xfId="75" applyNumberFormat="1" applyFont="1" applyFill="1" applyBorder="1" applyAlignment="1">
      <alignment horizontal="center" vertical="top"/>
      <protection/>
    </xf>
    <xf numFmtId="49" fontId="50" fillId="0" borderId="35" xfId="75" applyNumberFormat="1" applyFont="1" applyFill="1" applyBorder="1" applyAlignment="1">
      <alignment horizontal="center" vertical="top"/>
      <protection/>
    </xf>
    <xf numFmtId="49" fontId="50" fillId="0" borderId="42" xfId="75" applyNumberFormat="1" applyFont="1" applyFill="1" applyBorder="1" applyAlignment="1">
      <alignment horizontal="center" vertical="top"/>
      <protection/>
    </xf>
    <xf numFmtId="49" fontId="50" fillId="0" borderId="28" xfId="75" applyNumberFormat="1" applyFont="1" applyFill="1" applyBorder="1" applyAlignment="1">
      <alignment horizontal="center" vertical="top"/>
      <protection/>
    </xf>
    <xf numFmtId="49" fontId="50" fillId="0" borderId="21" xfId="75" applyNumberFormat="1" applyFont="1" applyFill="1" applyBorder="1" applyAlignment="1">
      <alignment horizontal="center" vertical="top"/>
      <protection/>
    </xf>
    <xf numFmtId="49" fontId="50" fillId="0" borderId="28" xfId="75" applyNumberFormat="1" applyFont="1" applyFill="1" applyBorder="1" applyAlignment="1">
      <alignment horizontal="center" vertical="top"/>
      <protection/>
    </xf>
    <xf numFmtId="49" fontId="50" fillId="0" borderId="21" xfId="75" applyNumberFormat="1" applyFont="1" applyFill="1" applyBorder="1" applyAlignment="1">
      <alignment horizontal="center" vertical="top"/>
      <protection/>
    </xf>
    <xf numFmtId="0" fontId="50" fillId="0" borderId="28" xfId="75" applyFont="1" applyFill="1" applyBorder="1" applyAlignment="1">
      <alignment horizontal="left" vertical="top" wrapText="1"/>
      <protection/>
    </xf>
    <xf numFmtId="0" fontId="50" fillId="0" borderId="35" xfId="75" applyFont="1" applyFill="1" applyBorder="1" applyAlignment="1">
      <alignment horizontal="left" vertical="top" wrapText="1"/>
      <protection/>
    </xf>
    <xf numFmtId="0" fontId="50" fillId="0" borderId="42" xfId="75" applyFont="1" applyFill="1" applyBorder="1" applyAlignment="1">
      <alignment horizontal="left" vertical="top" wrapText="1"/>
      <protection/>
    </xf>
    <xf numFmtId="49" fontId="51" fillId="0" borderId="28" xfId="75" applyNumberFormat="1" applyFont="1" applyFill="1" applyBorder="1" applyAlignment="1">
      <alignment horizontal="left" vertical="center"/>
      <protection/>
    </xf>
    <xf numFmtId="49" fontId="51" fillId="0" borderId="13" xfId="75" applyNumberFormat="1" applyFont="1" applyFill="1" applyBorder="1" applyAlignment="1">
      <alignment horizontal="left" vertical="center"/>
      <protection/>
    </xf>
    <xf numFmtId="49" fontId="51" fillId="0" borderId="21" xfId="75" applyNumberFormat="1" applyFont="1" applyFill="1" applyBorder="1" applyAlignment="1">
      <alignment horizontal="left" vertical="center"/>
      <protection/>
    </xf>
    <xf numFmtId="0" fontId="0" fillId="0" borderId="35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49" fontId="55" fillId="0" borderId="28" xfId="75" applyNumberFormat="1" applyFont="1" applyFill="1" applyBorder="1" applyAlignment="1">
      <alignment horizontal="left" vertical="center"/>
      <protection/>
    </xf>
    <xf numFmtId="49" fontId="55" fillId="0" borderId="13" xfId="75" applyNumberFormat="1" applyFont="1" applyFill="1" applyBorder="1" applyAlignment="1">
      <alignment horizontal="left" vertical="center"/>
      <protection/>
    </xf>
    <xf numFmtId="49" fontId="55" fillId="0" borderId="21" xfId="75" applyNumberFormat="1" applyFont="1" applyFill="1" applyBorder="1" applyAlignment="1">
      <alignment horizontal="left" vertical="center"/>
      <protection/>
    </xf>
    <xf numFmtId="0" fontId="50" fillId="0" borderId="12" xfId="75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0" fillId="0" borderId="12" xfId="75" applyFont="1" applyFill="1" applyBorder="1" applyAlignment="1">
      <alignment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50" fillId="0" borderId="12" xfId="75" applyFont="1" applyFill="1" applyBorder="1" applyAlignment="1">
      <alignment vertical="top" wrapText="1"/>
      <protection/>
    </xf>
    <xf numFmtId="0" fontId="15" fillId="0" borderId="34" xfId="75" applyFont="1" applyFill="1" applyBorder="1" applyAlignment="1">
      <alignment horizontal="left" vertical="center"/>
      <protection/>
    </xf>
    <xf numFmtId="0" fontId="15" fillId="0" borderId="41" xfId="75" applyFont="1" applyFill="1" applyBorder="1" applyAlignment="1">
      <alignment horizontal="left" vertical="center"/>
      <protection/>
    </xf>
    <xf numFmtId="0" fontId="0" fillId="0" borderId="53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53" fillId="0" borderId="28" xfId="75" applyFont="1" applyFill="1" applyBorder="1" applyAlignment="1">
      <alignment horizontal="left" vertical="center" wrapText="1"/>
      <protection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49" fontId="54" fillId="0" borderId="35" xfId="75" applyNumberFormat="1" applyFont="1" applyFill="1" applyBorder="1" applyAlignment="1">
      <alignment horizontal="center" vertical="center"/>
      <protection/>
    </xf>
    <xf numFmtId="49" fontId="54" fillId="0" borderId="42" xfId="75" applyNumberFormat="1" applyFont="1" applyFill="1" applyBorder="1" applyAlignment="1">
      <alignment horizontal="center" vertical="center"/>
      <protection/>
    </xf>
    <xf numFmtId="49" fontId="54" fillId="0" borderId="35" xfId="75" applyNumberFormat="1" applyFont="1" applyFill="1" applyBorder="1" applyAlignment="1">
      <alignment horizontal="center" vertical="center"/>
      <protection/>
    </xf>
    <xf numFmtId="49" fontId="54" fillId="0" borderId="42" xfId="75" applyNumberFormat="1" applyFont="1" applyFill="1" applyBorder="1" applyAlignment="1">
      <alignment horizontal="center" vertical="center"/>
      <protection/>
    </xf>
    <xf numFmtId="0" fontId="54" fillId="0" borderId="28" xfId="75" applyFont="1" applyFill="1" applyBorder="1" applyAlignment="1">
      <alignment horizontal="left" vertical="top" wrapText="1"/>
      <protection/>
    </xf>
    <xf numFmtId="0" fontId="54" fillId="0" borderId="21" xfId="75" applyFont="1" applyFill="1" applyBorder="1" applyAlignment="1">
      <alignment horizontal="left" vertical="top" wrapText="1"/>
      <protection/>
    </xf>
    <xf numFmtId="49" fontId="54" fillId="0" borderId="28" xfId="75" applyNumberFormat="1" applyFont="1" applyFill="1" applyBorder="1" applyAlignment="1">
      <alignment horizontal="center" vertical="center"/>
      <protection/>
    </xf>
    <xf numFmtId="49" fontId="54" fillId="0" borderId="21" xfId="75" applyNumberFormat="1" applyFont="1" applyFill="1" applyBorder="1" applyAlignment="1">
      <alignment horizontal="center" vertical="center"/>
      <protection/>
    </xf>
    <xf numFmtId="49" fontId="54" fillId="0" borderId="28" xfId="75" applyNumberFormat="1" applyFont="1" applyFill="1" applyBorder="1" applyAlignment="1">
      <alignment horizontal="center" vertical="center"/>
      <protection/>
    </xf>
    <xf numFmtId="49" fontId="54" fillId="0" borderId="21" xfId="7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0" fillId="0" borderId="13" xfId="75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49" fontId="50" fillId="0" borderId="27" xfId="75" applyNumberFormat="1" applyFont="1" applyFill="1" applyBorder="1" applyAlignment="1">
      <alignment horizontal="center" vertical="top"/>
      <protection/>
    </xf>
    <xf numFmtId="49" fontId="50" fillId="0" borderId="26" xfId="75" applyNumberFormat="1" applyFont="1" applyFill="1" applyBorder="1" applyAlignment="1">
      <alignment horizontal="center" vertical="top"/>
      <protection/>
    </xf>
    <xf numFmtId="3" fontId="31" fillId="0" borderId="12" xfId="75" applyNumberFormat="1" applyFont="1" applyFill="1" applyBorder="1" applyAlignment="1">
      <alignment horizontal="center" vertical="top" wrapText="1"/>
      <protection/>
    </xf>
    <xf numFmtId="3" fontId="31" fillId="0" borderId="14" xfId="75" applyNumberFormat="1" applyFont="1" applyFill="1" applyBorder="1" applyAlignment="1">
      <alignment horizontal="center" vertical="top" wrapText="1"/>
      <protection/>
    </xf>
    <xf numFmtId="0" fontId="40" fillId="0" borderId="31" xfId="75" applyFont="1" applyFill="1" applyBorder="1" applyAlignment="1">
      <alignment horizontal="center" vertical="center"/>
      <protection/>
    </xf>
    <xf numFmtId="0" fontId="40" fillId="0" borderId="16" xfId="77" applyFont="1" applyFill="1" applyBorder="1" applyAlignment="1">
      <alignment horizontal="center" vertical="center"/>
      <protection/>
    </xf>
    <xf numFmtId="0" fontId="49" fillId="0" borderId="34" xfId="75" applyFont="1" applyFill="1" applyBorder="1" applyAlignment="1">
      <alignment horizontal="center" vertical="center" wrapText="1"/>
      <protection/>
    </xf>
    <xf numFmtId="0" fontId="49" fillId="0" borderId="41" xfId="75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3" fontId="12" fillId="0" borderId="0" xfId="75" applyNumberFormat="1" applyFont="1" applyFill="1" applyAlignment="1">
      <alignment horizontal="left" vertical="center"/>
      <protection/>
    </xf>
    <xf numFmtId="0" fontId="17" fillId="0" borderId="0" xfId="75" applyNumberFormat="1" applyFont="1" applyFill="1" applyAlignment="1">
      <alignment horizontal="left" vertical="center" wrapText="1"/>
      <protection/>
    </xf>
    <xf numFmtId="0" fontId="16" fillId="0" borderId="0" xfId="75" applyNumberFormat="1" applyFont="1" applyFill="1" applyAlignment="1">
      <alignment horizontal="left" vertical="center" wrapText="1"/>
      <protection/>
    </xf>
    <xf numFmtId="0" fontId="31" fillId="0" borderId="28" xfId="75" applyFont="1" applyFill="1" applyBorder="1" applyAlignment="1">
      <alignment horizontal="center" vertical="top" wrapText="1"/>
      <protection/>
    </xf>
    <xf numFmtId="0" fontId="31" fillId="0" borderId="21" xfId="75" applyFont="1" applyFill="1" applyBorder="1" applyAlignment="1">
      <alignment horizontal="center" vertical="top" wrapText="1"/>
      <protection/>
    </xf>
    <xf numFmtId="0" fontId="31" fillId="0" borderId="35" xfId="75" applyFont="1" applyFill="1" applyBorder="1" applyAlignment="1">
      <alignment horizontal="center" vertical="top" wrapText="1"/>
      <protection/>
    </xf>
    <xf numFmtId="0" fontId="31" fillId="0" borderId="42" xfId="75" applyFont="1" applyFill="1" applyBorder="1" applyAlignment="1">
      <alignment horizontal="center" vertical="top" wrapText="1"/>
      <protection/>
    </xf>
    <xf numFmtId="0" fontId="31" fillId="0" borderId="27" xfId="75" applyFont="1" applyFill="1" applyBorder="1" applyAlignment="1">
      <alignment horizontal="center" vertical="top" wrapText="1"/>
      <protection/>
    </xf>
    <xf numFmtId="0" fontId="31" fillId="0" borderId="26" xfId="75" applyFont="1" applyFill="1" applyBorder="1" applyAlignment="1">
      <alignment horizontal="center" vertical="top" wrapText="1"/>
      <protection/>
    </xf>
    <xf numFmtId="0" fontId="2" fillId="0" borderId="21" xfId="77" applyFill="1" applyBorder="1" applyAlignment="1">
      <alignment vertical="top"/>
      <protection/>
    </xf>
    <xf numFmtId="0" fontId="2" fillId="0" borderId="35" xfId="77" applyFill="1" applyBorder="1" applyAlignment="1">
      <alignment vertical="top"/>
      <protection/>
    </xf>
    <xf numFmtId="0" fontId="2" fillId="0" borderId="42" xfId="77" applyFill="1" applyBorder="1" applyAlignment="1">
      <alignment vertical="top"/>
      <protection/>
    </xf>
    <xf numFmtId="0" fontId="46" fillId="0" borderId="12" xfId="77" applyFont="1" applyFill="1" applyBorder="1" applyAlignment="1">
      <alignment horizontal="center" vertical="top"/>
      <protection/>
    </xf>
    <xf numFmtId="0" fontId="96" fillId="0" borderId="17" xfId="0" applyFont="1" applyFill="1" applyBorder="1" applyAlignment="1">
      <alignment horizontal="center" vertical="top"/>
    </xf>
    <xf numFmtId="0" fontId="96" fillId="0" borderId="14" xfId="0" applyFont="1" applyFill="1" applyBorder="1" applyAlignment="1">
      <alignment horizontal="center" vertical="top"/>
    </xf>
    <xf numFmtId="0" fontId="11" fillId="0" borderId="12" xfId="77" applyFont="1" applyFill="1" applyBorder="1" applyAlignment="1">
      <alignment horizontal="center" vertical="top"/>
      <protection/>
    </xf>
    <xf numFmtId="0" fontId="11" fillId="0" borderId="17" xfId="77" applyFont="1" applyFill="1" applyBorder="1" applyAlignment="1">
      <alignment horizontal="center" vertical="top"/>
      <protection/>
    </xf>
    <xf numFmtId="0" fontId="11" fillId="0" borderId="14" xfId="77" applyFont="1" applyFill="1" applyBorder="1" applyAlignment="1">
      <alignment horizontal="center" vertical="top"/>
      <protection/>
    </xf>
    <xf numFmtId="3" fontId="31" fillId="0" borderId="31" xfId="75" applyNumberFormat="1" applyFont="1" applyFill="1" applyBorder="1" applyAlignment="1">
      <alignment horizontal="center" vertical="top" wrapText="1"/>
      <protection/>
    </xf>
    <xf numFmtId="3" fontId="31" fillId="0" borderId="11" xfId="75" applyNumberFormat="1" applyFont="1" applyFill="1" applyBorder="1" applyAlignment="1">
      <alignment horizontal="center" vertical="top" wrapText="1"/>
      <protection/>
    </xf>
    <xf numFmtId="3" fontId="31" fillId="0" borderId="16" xfId="75" applyNumberFormat="1" applyFont="1" applyFill="1" applyBorder="1" applyAlignment="1">
      <alignment horizontal="center" vertical="top" wrapText="1"/>
      <protection/>
    </xf>
    <xf numFmtId="0" fontId="4" fillId="0" borderId="12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20" fillId="0" borderId="69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49" fontId="22" fillId="0" borderId="35" xfId="0" applyNumberFormat="1" applyFont="1" applyFill="1" applyBorder="1" applyAlignment="1">
      <alignment horizontal="left" vertical="center" wrapText="1"/>
    </xf>
    <xf numFmtId="49" fontId="22" fillId="0" borderId="42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21" fillId="0" borderId="69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49" fontId="12" fillId="0" borderId="17" xfId="75" applyNumberFormat="1" applyFont="1" applyFill="1" applyBorder="1" applyAlignment="1">
      <alignment horizontal="center" vertical="top"/>
      <protection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2" fillId="0" borderId="12" xfId="75" applyFont="1" applyFill="1" applyBorder="1" applyAlignment="1">
      <alignment vertical="top" wrapText="1"/>
      <protection/>
    </xf>
    <xf numFmtId="0" fontId="12" fillId="0" borderId="12" xfId="75" applyFont="1" applyFill="1" applyBorder="1" applyAlignment="1">
      <alignment horizontal="justify" vertical="top" wrapText="1"/>
      <protection/>
    </xf>
    <xf numFmtId="0" fontId="0" fillId="0" borderId="17" xfId="0" applyFill="1" applyBorder="1" applyAlignment="1">
      <alignment horizontal="justify" vertical="top" wrapText="1"/>
    </xf>
    <xf numFmtId="0" fontId="0" fillId="0" borderId="14" xfId="0" applyFill="1" applyBorder="1" applyAlignment="1">
      <alignment horizontal="justify" vertical="top" wrapText="1"/>
    </xf>
    <xf numFmtId="49" fontId="12" fillId="0" borderId="12" xfId="75" applyNumberFormat="1" applyFont="1" applyFill="1" applyBorder="1" applyAlignment="1">
      <alignment horizontal="center" vertical="top"/>
      <protection/>
    </xf>
    <xf numFmtId="49" fontId="12" fillId="0" borderId="17" xfId="75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6" fillId="0" borderId="28" xfId="75" applyFont="1" applyFill="1" applyBorder="1" applyAlignment="1">
      <alignment horizontal="center" vertical="center" wrapText="1"/>
      <protection/>
    </xf>
    <xf numFmtId="0" fontId="16" fillId="0" borderId="13" xfId="75" applyFont="1" applyFill="1" applyBorder="1" applyAlignment="1">
      <alignment horizontal="center" vertical="center" wrapText="1"/>
      <protection/>
    </xf>
    <xf numFmtId="0" fontId="16" fillId="0" borderId="21" xfId="75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6" fillId="0" borderId="31" xfId="75" applyFont="1" applyFill="1" applyBorder="1" applyAlignment="1">
      <alignment horizontal="center" vertical="center" wrapText="1"/>
      <protection/>
    </xf>
    <xf numFmtId="0" fontId="16" fillId="0" borderId="11" xfId="75" applyFont="1" applyFill="1" applyBorder="1" applyAlignment="1">
      <alignment horizontal="center" vertical="center" wrapText="1"/>
      <protection/>
    </xf>
    <xf numFmtId="0" fontId="16" fillId="0" borderId="16" xfId="75" applyFont="1" applyFill="1" applyBorder="1" applyAlignment="1">
      <alignment horizontal="center" vertical="center" wrapText="1"/>
      <protection/>
    </xf>
    <xf numFmtId="3" fontId="12" fillId="0" borderId="0" xfId="75" applyNumberFormat="1" applyFont="1" applyFill="1" applyAlignment="1">
      <alignment horizontal="left"/>
      <protection/>
    </xf>
    <xf numFmtId="3" fontId="12" fillId="0" borderId="0" xfId="75" applyNumberFormat="1" applyFont="1" applyFill="1" applyAlignment="1">
      <alignment horizontal="left" wrapText="1"/>
      <protection/>
    </xf>
    <xf numFmtId="0" fontId="12" fillId="0" borderId="0" xfId="75" applyNumberFormat="1" applyFont="1" applyFill="1" applyAlignment="1">
      <alignment horizontal="justify" wrapText="1"/>
      <protection/>
    </xf>
    <xf numFmtId="0" fontId="13" fillId="0" borderId="12" xfId="75" applyFont="1" applyFill="1" applyBorder="1" applyAlignment="1">
      <alignment horizontal="center" vertical="top"/>
      <protection/>
    </xf>
    <xf numFmtId="0" fontId="13" fillId="0" borderId="14" xfId="75" applyFont="1" applyFill="1" applyBorder="1" applyAlignment="1">
      <alignment horizontal="center" vertical="top"/>
      <protection/>
    </xf>
    <xf numFmtId="0" fontId="13" fillId="0" borderId="31" xfId="75" applyFont="1" applyFill="1" applyBorder="1" applyAlignment="1">
      <alignment horizontal="center" vertical="top" wrapText="1"/>
      <protection/>
    </xf>
    <xf numFmtId="0" fontId="13" fillId="0" borderId="16" xfId="75" applyFont="1" applyFill="1" applyBorder="1" applyAlignment="1">
      <alignment horizontal="center" vertical="top" wrapText="1"/>
      <protection/>
    </xf>
    <xf numFmtId="0" fontId="9" fillId="0" borderId="12" xfId="75" applyFont="1" applyFill="1" applyBorder="1" applyAlignment="1">
      <alignment horizontal="center" vertical="top" wrapText="1"/>
      <protection/>
    </xf>
    <xf numFmtId="0" fontId="103" fillId="0" borderId="14" xfId="0" applyFont="1" applyFill="1" applyBorder="1" applyAlignment="1">
      <alignment horizontal="center" vertical="top" wrapText="1"/>
    </xf>
    <xf numFmtId="3" fontId="13" fillId="0" borderId="12" xfId="75" applyNumberFormat="1" applyFont="1" applyFill="1" applyBorder="1" applyAlignment="1">
      <alignment horizontal="center" vertical="top" wrapText="1"/>
      <protection/>
    </xf>
    <xf numFmtId="3" fontId="13" fillId="0" borderId="14" xfId="75" applyNumberFormat="1" applyFont="1" applyFill="1" applyBorder="1" applyAlignment="1">
      <alignment horizontal="center" vertical="top" wrapText="1"/>
      <protection/>
    </xf>
    <xf numFmtId="0" fontId="13" fillId="0" borderId="12" xfId="75" applyFont="1" applyFill="1" applyBorder="1" applyAlignment="1">
      <alignment horizontal="center" vertical="top" wrapText="1"/>
      <protection/>
    </xf>
    <xf numFmtId="0" fontId="13" fillId="0" borderId="14" xfId="75" applyFont="1" applyFill="1" applyBorder="1" applyAlignment="1">
      <alignment horizontal="center" vertical="top" wrapText="1"/>
      <protection/>
    </xf>
    <xf numFmtId="0" fontId="8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/>
      <protection/>
    </xf>
    <xf numFmtId="0" fontId="2" fillId="0" borderId="0" xfId="57" applyFill="1">
      <alignment/>
      <protection/>
    </xf>
    <xf numFmtId="0" fontId="8" fillId="0" borderId="0" xfId="57" applyFont="1" applyFill="1" applyAlignment="1">
      <alignment horizontal="left"/>
      <protection/>
    </xf>
    <xf numFmtId="0" fontId="8" fillId="0" borderId="0" xfId="57" applyFont="1" applyFill="1">
      <alignment/>
      <protection/>
    </xf>
    <xf numFmtId="0" fontId="8" fillId="0" borderId="0" xfId="57" applyFont="1" applyFill="1" applyAlignment="1">
      <alignment horizontal="justify" vertical="center" wrapText="1"/>
      <protection/>
    </xf>
    <xf numFmtId="0" fontId="8" fillId="0" borderId="0" xfId="69" applyFont="1" applyFill="1" applyAlignment="1">
      <alignment horizontal="center"/>
      <protection/>
    </xf>
    <xf numFmtId="0" fontId="8" fillId="0" borderId="0" xfId="69" applyFont="1" applyFill="1" applyAlignment="1">
      <alignment horizontal="center" wrapText="1"/>
      <protection/>
    </xf>
    <xf numFmtId="0" fontId="8" fillId="0" borderId="0" xfId="69" applyFont="1" applyFill="1" applyAlignment="1">
      <alignment horizontal="center" vertical="center" wrapText="1"/>
      <protection/>
    </xf>
    <xf numFmtId="0" fontId="8" fillId="0" borderId="0" xfId="69" applyFont="1" applyFill="1">
      <alignment/>
      <protection/>
    </xf>
    <xf numFmtId="0" fontId="6" fillId="0" borderId="0" xfId="69" applyFill="1">
      <alignment/>
      <protection/>
    </xf>
    <xf numFmtId="0" fontId="9" fillId="0" borderId="10" xfId="69" applyFont="1" applyFill="1" applyBorder="1" applyAlignment="1">
      <alignment horizontal="center" vertical="top" wrapText="1"/>
      <protection/>
    </xf>
    <xf numFmtId="0" fontId="6" fillId="0" borderId="0" xfId="69" applyFill="1" applyAlignment="1">
      <alignment horizontal="center" vertical="top" wrapText="1"/>
      <protection/>
    </xf>
    <xf numFmtId="0" fontId="41" fillId="0" borderId="10" xfId="69" applyFont="1" applyFill="1" applyBorder="1" applyAlignment="1">
      <alignment horizontal="center" wrapText="1"/>
      <protection/>
    </xf>
    <xf numFmtId="0" fontId="80" fillId="0" borderId="0" xfId="69" applyFont="1" applyFill="1" applyAlignment="1">
      <alignment horizontal="center"/>
      <protection/>
    </xf>
    <xf numFmtId="0" fontId="45" fillId="0" borderId="12" xfId="69" applyFont="1" applyFill="1" applyBorder="1" applyAlignment="1">
      <alignment horizontal="center" vertical="top"/>
      <protection/>
    </xf>
    <xf numFmtId="0" fontId="45" fillId="0" borderId="28" xfId="69" applyFont="1" applyFill="1" applyBorder="1" applyAlignment="1">
      <alignment horizontal="left" vertical="top" wrapText="1"/>
      <protection/>
    </xf>
    <xf numFmtId="0" fontId="81" fillId="0" borderId="12" xfId="69" applyFont="1" applyFill="1" applyBorder="1" applyAlignment="1">
      <alignment horizontal="center" vertical="center" wrapText="1"/>
      <protection/>
    </xf>
    <xf numFmtId="0" fontId="81" fillId="0" borderId="16" xfId="69" applyFont="1" applyFill="1" applyBorder="1" applyAlignment="1">
      <alignment horizontal="center" vertical="center" wrapText="1"/>
      <protection/>
    </xf>
    <xf numFmtId="3" fontId="45" fillId="0" borderId="10" xfId="69" applyNumberFormat="1" applyFont="1" applyFill="1" applyBorder="1" applyAlignment="1">
      <alignment vertical="center"/>
      <protection/>
    </xf>
    <xf numFmtId="3" fontId="45" fillId="0" borderId="10" xfId="69" applyNumberFormat="1" applyFont="1" applyBorder="1" applyAlignment="1">
      <alignment vertical="center"/>
      <protection/>
    </xf>
    <xf numFmtId="0" fontId="82" fillId="0" borderId="0" xfId="69" applyFont="1" applyFill="1" applyAlignment="1">
      <alignment vertical="center"/>
      <protection/>
    </xf>
    <xf numFmtId="0" fontId="45" fillId="0" borderId="17" xfId="69" applyFont="1" applyFill="1" applyBorder="1" applyAlignment="1">
      <alignment horizontal="center" vertical="top"/>
      <protection/>
    </xf>
    <xf numFmtId="0" fontId="45" fillId="0" borderId="35" xfId="69" applyFont="1" applyFill="1" applyBorder="1" applyAlignment="1">
      <alignment horizontal="left" vertical="top" wrapText="1"/>
      <protection/>
    </xf>
    <xf numFmtId="0" fontId="81" fillId="0" borderId="17" xfId="69" applyFont="1" applyFill="1" applyBorder="1" applyAlignment="1">
      <alignment horizontal="center" vertical="center" wrapText="1"/>
      <protection/>
    </xf>
    <xf numFmtId="0" fontId="45" fillId="0" borderId="14" xfId="69" applyFont="1" applyFill="1" applyBorder="1" applyAlignment="1">
      <alignment horizontal="center" vertical="top"/>
      <protection/>
    </xf>
    <xf numFmtId="0" fontId="45" fillId="0" borderId="27" xfId="69" applyFont="1" applyFill="1" applyBorder="1" applyAlignment="1">
      <alignment horizontal="left" vertical="top" wrapText="1"/>
      <protection/>
    </xf>
    <xf numFmtId="0" fontId="81" fillId="0" borderId="14" xfId="69" applyFont="1" applyFill="1" applyBorder="1" applyAlignment="1">
      <alignment horizontal="center" vertical="center" wrapText="1"/>
      <protection/>
    </xf>
    <xf numFmtId="0" fontId="8" fillId="0" borderId="12" xfId="69" applyFont="1" applyFill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center" vertical="center" wrapText="1"/>
      <protection/>
    </xf>
    <xf numFmtId="0" fontId="8" fillId="0" borderId="14" xfId="69" applyFont="1" applyFill="1" applyBorder="1" applyAlignment="1">
      <alignment horizontal="center" vertical="center" wrapText="1"/>
      <protection/>
    </xf>
    <xf numFmtId="0" fontId="8" fillId="0" borderId="17" xfId="69" applyFont="1" applyFill="1" applyBorder="1" applyAlignment="1">
      <alignment horizontal="left" vertical="top" wrapText="1"/>
      <protection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6" xfId="69" applyFont="1" applyFill="1" applyBorder="1" applyAlignment="1">
      <alignment horizontal="center" vertical="center" wrapText="1"/>
      <protection/>
    </xf>
    <xf numFmtId="3" fontId="41" fillId="0" borderId="10" xfId="69" applyNumberFormat="1" applyFont="1" applyFill="1" applyBorder="1" applyAlignment="1">
      <alignment vertical="center"/>
      <protection/>
    </xf>
    <xf numFmtId="0" fontId="8" fillId="0" borderId="35" xfId="69" applyFont="1" applyFill="1" applyBorder="1" applyAlignment="1">
      <alignment horizontal="left" vertical="top" wrapText="1"/>
      <protection/>
    </xf>
    <xf numFmtId="0" fontId="41" fillId="0" borderId="17" xfId="69" applyFont="1" applyFill="1" applyBorder="1" applyAlignment="1">
      <alignment horizontal="center" vertical="center" wrapText="1"/>
      <protection/>
    </xf>
    <xf numFmtId="0" fontId="41" fillId="0" borderId="14" xfId="69" applyFont="1" applyFill="1" applyBorder="1" applyAlignment="1">
      <alignment horizontal="center" vertical="center" wrapText="1"/>
      <protection/>
    </xf>
    <xf numFmtId="0" fontId="45" fillId="0" borderId="35" xfId="69" applyFont="1" applyFill="1" applyBorder="1" applyAlignment="1">
      <alignment horizontal="left" vertical="top" wrapText="1"/>
      <protection/>
    </xf>
    <xf numFmtId="0" fontId="10" fillId="0" borderId="12" xfId="69" applyFont="1" applyFill="1" applyBorder="1" applyAlignment="1">
      <alignment horizontal="center" vertical="center" wrapText="1"/>
      <protection/>
    </xf>
    <xf numFmtId="0" fontId="10" fillId="0" borderId="16" xfId="69" applyFont="1" applyFill="1" applyBorder="1" applyAlignment="1">
      <alignment horizontal="center" vertical="center" wrapText="1"/>
      <protection/>
    </xf>
    <xf numFmtId="3" fontId="10" fillId="0" borderId="10" xfId="69" applyNumberFormat="1" applyFont="1" applyFill="1" applyBorder="1" applyAlignment="1">
      <alignment vertical="center"/>
      <protection/>
    </xf>
    <xf numFmtId="0" fontId="10" fillId="0" borderId="17" xfId="69" applyFont="1" applyFill="1" applyBorder="1" applyAlignment="1">
      <alignment horizontal="center" vertical="center" wrapText="1"/>
      <protection/>
    </xf>
    <xf numFmtId="0" fontId="10" fillId="0" borderId="14" xfId="69" applyFont="1" applyFill="1" applyBorder="1" applyAlignment="1">
      <alignment horizontal="center" vertical="center" wrapText="1"/>
      <protection/>
    </xf>
    <xf numFmtId="0" fontId="82" fillId="0" borderId="0" xfId="69" applyFont="1" applyFill="1" applyAlignment="1">
      <alignment/>
      <protection/>
    </xf>
    <xf numFmtId="0" fontId="82" fillId="0" borderId="0" xfId="69" applyFont="1" applyFill="1">
      <alignment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left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3" fontId="11" fillId="0" borderId="10" xfId="57" applyNumberFormat="1" applyFont="1" applyFill="1" applyBorder="1" applyAlignment="1">
      <alignment vertical="center"/>
      <protection/>
    </xf>
    <xf numFmtId="0" fontId="83" fillId="0" borderId="0" xfId="57" applyFont="1" applyFill="1" applyAlignment="1">
      <alignment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0" xfId="68" applyFont="1" applyFill="1" applyAlignment="1">
      <alignment horizontal="left" vertical="center"/>
      <protection/>
    </xf>
    <xf numFmtId="0" fontId="8" fillId="0" borderId="0" xfId="58" applyFont="1" applyFill="1" applyBorder="1" applyAlignment="1">
      <alignment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6" fillId="0" borderId="0" xfId="57" applyFont="1" applyFill="1">
      <alignment/>
      <protection/>
    </xf>
  </cellXfs>
  <cellStyles count="7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 7" xfId="64"/>
    <cellStyle name="Normalny 8" xfId="65"/>
    <cellStyle name="Normalny 9" xfId="66"/>
    <cellStyle name="Normalny_POKL 2011" xfId="67"/>
    <cellStyle name="Normalny_rachunek doch wł 2006" xfId="68"/>
    <cellStyle name="Normalny_RDW 2014" xfId="69"/>
    <cellStyle name="Normalny_RPO 2011" xfId="70"/>
    <cellStyle name="Normalny_Załącznik  nr 7  RPO na 2010" xfId="71"/>
    <cellStyle name="Normalny_załącznik nr 1" xfId="72"/>
    <cellStyle name="Normalny_Załącznik nr 3  do proj. budżetu na 2006r._Zał. Nr 3 i Nr 21 do proj.budż.po Autopoprawce" xfId="73"/>
    <cellStyle name="Normalny_Załącznik nr 3  do proj. budżetu na 2006r._Załączniki Nr 3 do US z dnia 22.12.2008 r." xfId="74"/>
    <cellStyle name="Normalny_Załączniki do  budżetu na 2005 r" xfId="75"/>
    <cellStyle name="Normalny_Załączniki do budżetu na 2006 r._Zał. Nr 3 i Nr 21 do proj.budż.po Autopoprawce" xfId="76"/>
    <cellStyle name="Normalny_Załączniki do projektu budżetu na 2009 r." xfId="77"/>
    <cellStyle name="Obliczenia" xfId="78"/>
    <cellStyle name="Followed Hyperlink" xfId="79"/>
    <cellStyle name="Percent" xfId="80"/>
    <cellStyle name="Styl 1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Zły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03"/>
  <sheetViews>
    <sheetView view="pageBreakPreview" zoomScaleSheetLayoutView="100" zoomScalePageLayoutView="0" workbookViewId="0" topLeftCell="A130">
      <selection activeCell="A1" sqref="A1:P151"/>
    </sheetView>
  </sheetViews>
  <sheetFormatPr defaultColWidth="8" defaultRowHeight="14.25"/>
  <cols>
    <col min="1" max="1" width="5" style="588" customWidth="1"/>
    <col min="2" max="2" width="27.59765625" style="589" customWidth="1"/>
    <col min="3" max="3" width="3.09765625" style="589" customWidth="1"/>
    <col min="4" max="4" width="12.8984375" style="590" customWidth="1"/>
    <col min="5" max="7" width="11.3984375" style="467" customWidth="1"/>
    <col min="8" max="9" width="11.09765625" style="467" customWidth="1"/>
    <col min="10" max="11" width="10.8984375" style="467" customWidth="1"/>
    <col min="12" max="13" width="11.3984375" style="467" customWidth="1"/>
    <col min="14" max="14" width="11.09765625" style="467" customWidth="1"/>
    <col min="15" max="15" width="11.3984375" style="467" customWidth="1"/>
    <col min="16" max="16" width="12.59765625" style="466" hidden="1" customWidth="1"/>
    <col min="17" max="17" width="8.3984375" style="466" hidden="1" customWidth="1"/>
    <col min="18" max="18" width="10.8984375" style="467" hidden="1" customWidth="1"/>
    <col min="19" max="20" width="0" style="467" hidden="1" customWidth="1"/>
    <col min="21" max="22" width="0" style="466" hidden="1" customWidth="1"/>
    <col min="23" max="24" width="0" style="467" hidden="1" customWidth="1"/>
    <col min="25" max="16384" width="8" style="467" customWidth="1"/>
  </cols>
  <sheetData>
    <row r="1" spans="1:15" ht="12.75">
      <c r="A1" s="462"/>
      <c r="B1" s="463"/>
      <c r="C1" s="463"/>
      <c r="D1" s="464"/>
      <c r="E1" s="465"/>
      <c r="F1" s="465"/>
      <c r="G1" s="465"/>
      <c r="H1" s="465"/>
      <c r="I1" s="465"/>
      <c r="J1" s="465"/>
      <c r="K1" s="465"/>
      <c r="L1" s="465"/>
      <c r="M1" s="465" t="s">
        <v>693</v>
      </c>
      <c r="N1" s="465"/>
      <c r="O1" s="465"/>
    </row>
    <row r="2" spans="1:15" ht="12.75">
      <c r="A2" s="462"/>
      <c r="B2" s="463"/>
      <c r="C2" s="463"/>
      <c r="D2" s="464"/>
      <c r="E2" s="465"/>
      <c r="F2" s="465"/>
      <c r="G2" s="465"/>
      <c r="H2" s="465"/>
      <c r="I2" s="465"/>
      <c r="J2" s="465"/>
      <c r="K2" s="465"/>
      <c r="L2" s="465"/>
      <c r="M2" s="465" t="s">
        <v>652</v>
      </c>
      <c r="N2" s="465"/>
      <c r="O2" s="465"/>
    </row>
    <row r="3" spans="1:15" ht="12.75">
      <c r="A3" s="462"/>
      <c r="B3" s="463"/>
      <c r="C3" s="463"/>
      <c r="D3" s="464"/>
      <c r="E3" s="465"/>
      <c r="F3" s="465"/>
      <c r="G3" s="465"/>
      <c r="H3" s="465"/>
      <c r="I3" s="465"/>
      <c r="J3" s="465"/>
      <c r="K3" s="465"/>
      <c r="L3" s="465"/>
      <c r="M3" s="465" t="s">
        <v>441</v>
      </c>
      <c r="N3" s="465"/>
      <c r="O3" s="465"/>
    </row>
    <row r="4" spans="1:15" ht="8.25" customHeight="1">
      <c r="A4" s="979"/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  <c r="M4" s="979"/>
      <c r="N4" s="979"/>
      <c r="O4" s="979"/>
    </row>
    <row r="5" spans="1:256" ht="42.75" customHeight="1">
      <c r="A5" s="965" t="s">
        <v>653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965"/>
      <c r="M5" s="965"/>
      <c r="N5" s="965"/>
      <c r="O5" s="965"/>
      <c r="P5" s="965"/>
      <c r="Q5" s="965"/>
      <c r="R5" s="965"/>
      <c r="S5" s="965"/>
      <c r="T5" s="965"/>
      <c r="U5" s="965"/>
      <c r="V5" s="965"/>
      <c r="W5" s="965"/>
      <c r="X5" s="965"/>
      <c r="Y5" s="965"/>
      <c r="Z5" s="965"/>
      <c r="AA5" s="965"/>
      <c r="AB5" s="965"/>
      <c r="AC5" s="965"/>
      <c r="AD5" s="965"/>
      <c r="AE5" s="965"/>
      <c r="AF5" s="965"/>
      <c r="AG5" s="965"/>
      <c r="AH5" s="965"/>
      <c r="AI5" s="965"/>
      <c r="AJ5" s="965"/>
      <c r="AK5" s="965"/>
      <c r="AL5" s="965"/>
      <c r="AM5" s="965"/>
      <c r="AN5" s="965"/>
      <c r="AO5" s="965"/>
      <c r="AP5" s="965"/>
      <c r="AQ5" s="965"/>
      <c r="AR5" s="965"/>
      <c r="AS5" s="965"/>
      <c r="AT5" s="965"/>
      <c r="AU5" s="965"/>
      <c r="AV5" s="965"/>
      <c r="AW5" s="965"/>
      <c r="AX5" s="965"/>
      <c r="AY5" s="965"/>
      <c r="AZ5" s="965"/>
      <c r="BA5" s="965"/>
      <c r="BB5" s="965"/>
      <c r="BC5" s="965"/>
      <c r="BD5" s="965"/>
      <c r="BE5" s="965"/>
      <c r="BF5" s="965"/>
      <c r="BG5" s="965"/>
      <c r="BH5" s="965"/>
      <c r="BI5" s="965"/>
      <c r="BJ5" s="965"/>
      <c r="BK5" s="965"/>
      <c r="BL5" s="965"/>
      <c r="BM5" s="965"/>
      <c r="BN5" s="965"/>
      <c r="BO5" s="965"/>
      <c r="BP5" s="965"/>
      <c r="BQ5" s="965"/>
      <c r="BR5" s="965"/>
      <c r="BS5" s="965"/>
      <c r="BT5" s="965"/>
      <c r="BU5" s="965"/>
      <c r="BV5" s="965"/>
      <c r="BW5" s="965"/>
      <c r="BX5" s="965"/>
      <c r="BY5" s="965"/>
      <c r="BZ5" s="965"/>
      <c r="CA5" s="965"/>
      <c r="CB5" s="965"/>
      <c r="CC5" s="965"/>
      <c r="CD5" s="965"/>
      <c r="CE5" s="965"/>
      <c r="CF5" s="965"/>
      <c r="CG5" s="965"/>
      <c r="CH5" s="965"/>
      <c r="CI5" s="965"/>
      <c r="CJ5" s="965"/>
      <c r="CK5" s="965"/>
      <c r="CL5" s="965"/>
      <c r="CM5" s="965"/>
      <c r="CN5" s="965"/>
      <c r="CO5" s="965"/>
      <c r="CP5" s="965"/>
      <c r="CQ5" s="965"/>
      <c r="CR5" s="965"/>
      <c r="CS5" s="965"/>
      <c r="CT5" s="965"/>
      <c r="CU5" s="965"/>
      <c r="CV5" s="965"/>
      <c r="CW5" s="965"/>
      <c r="CX5" s="965"/>
      <c r="CY5" s="965"/>
      <c r="CZ5" s="965"/>
      <c r="DA5" s="965"/>
      <c r="DB5" s="965"/>
      <c r="DC5" s="965"/>
      <c r="DD5" s="965"/>
      <c r="DE5" s="965"/>
      <c r="DF5" s="965"/>
      <c r="DG5" s="965"/>
      <c r="DH5" s="965"/>
      <c r="DI5" s="965"/>
      <c r="DJ5" s="965"/>
      <c r="DK5" s="965"/>
      <c r="DL5" s="965"/>
      <c r="DM5" s="965"/>
      <c r="DN5" s="965"/>
      <c r="DO5" s="965"/>
      <c r="DP5" s="965"/>
      <c r="DQ5" s="965"/>
      <c r="DR5" s="965"/>
      <c r="DS5" s="965"/>
      <c r="DT5" s="965"/>
      <c r="DU5" s="965"/>
      <c r="DV5" s="965"/>
      <c r="DW5" s="965"/>
      <c r="DX5" s="965"/>
      <c r="DY5" s="965"/>
      <c r="DZ5" s="965"/>
      <c r="EA5" s="965"/>
      <c r="EB5" s="965"/>
      <c r="EC5" s="965"/>
      <c r="ED5" s="965"/>
      <c r="EE5" s="965"/>
      <c r="EF5" s="965"/>
      <c r="EG5" s="965"/>
      <c r="EH5" s="965"/>
      <c r="EI5" s="965"/>
      <c r="EJ5" s="965"/>
      <c r="EK5" s="965"/>
      <c r="EL5" s="965"/>
      <c r="EM5" s="965"/>
      <c r="EN5" s="965"/>
      <c r="EO5" s="965"/>
      <c r="EP5" s="965"/>
      <c r="EQ5" s="965"/>
      <c r="ER5" s="965"/>
      <c r="ES5" s="965"/>
      <c r="ET5" s="965"/>
      <c r="EU5" s="965"/>
      <c r="EV5" s="965"/>
      <c r="EW5" s="965"/>
      <c r="EX5" s="965"/>
      <c r="EY5" s="965"/>
      <c r="EZ5" s="965"/>
      <c r="FA5" s="965"/>
      <c r="FB5" s="965"/>
      <c r="FC5" s="965"/>
      <c r="FD5" s="965"/>
      <c r="FE5" s="965"/>
      <c r="FF5" s="965"/>
      <c r="FG5" s="965"/>
      <c r="FH5" s="965"/>
      <c r="FI5" s="965"/>
      <c r="FJ5" s="965"/>
      <c r="FK5" s="965"/>
      <c r="FL5" s="965"/>
      <c r="FM5" s="965"/>
      <c r="FN5" s="965"/>
      <c r="FO5" s="965"/>
      <c r="FP5" s="965"/>
      <c r="FQ5" s="965"/>
      <c r="FR5" s="965"/>
      <c r="FS5" s="965"/>
      <c r="FT5" s="965"/>
      <c r="FU5" s="965"/>
      <c r="FV5" s="965"/>
      <c r="FW5" s="965"/>
      <c r="FX5" s="965"/>
      <c r="FY5" s="965"/>
      <c r="FZ5" s="965"/>
      <c r="GA5" s="965"/>
      <c r="GB5" s="965"/>
      <c r="GC5" s="965"/>
      <c r="GD5" s="965"/>
      <c r="GE5" s="965"/>
      <c r="GF5" s="965"/>
      <c r="GG5" s="965"/>
      <c r="GH5" s="965"/>
      <c r="GI5" s="965"/>
      <c r="GJ5" s="965"/>
      <c r="GK5" s="965"/>
      <c r="GL5" s="965"/>
      <c r="GM5" s="965"/>
      <c r="GN5" s="965"/>
      <c r="GO5" s="965"/>
      <c r="GP5" s="965"/>
      <c r="GQ5" s="965"/>
      <c r="GR5" s="965"/>
      <c r="GS5" s="965"/>
      <c r="GT5" s="965"/>
      <c r="GU5" s="965"/>
      <c r="GV5" s="965"/>
      <c r="GW5" s="965"/>
      <c r="GX5" s="965"/>
      <c r="GY5" s="965"/>
      <c r="GZ5" s="965"/>
      <c r="HA5" s="965"/>
      <c r="HB5" s="965"/>
      <c r="HC5" s="965"/>
      <c r="HD5" s="965"/>
      <c r="HE5" s="965"/>
      <c r="HF5" s="965"/>
      <c r="HG5" s="965"/>
      <c r="HH5" s="965"/>
      <c r="HI5" s="965"/>
      <c r="HJ5" s="965"/>
      <c r="HK5" s="965"/>
      <c r="HL5" s="965"/>
      <c r="HM5" s="965"/>
      <c r="HN5" s="965"/>
      <c r="HO5" s="965"/>
      <c r="HP5" s="965"/>
      <c r="HQ5" s="965"/>
      <c r="HR5" s="965"/>
      <c r="HS5" s="965"/>
      <c r="HT5" s="965"/>
      <c r="HU5" s="965"/>
      <c r="HV5" s="965"/>
      <c r="HW5" s="965"/>
      <c r="HX5" s="965"/>
      <c r="HY5" s="965"/>
      <c r="HZ5" s="965"/>
      <c r="IA5" s="965"/>
      <c r="IB5" s="965"/>
      <c r="IC5" s="965"/>
      <c r="ID5" s="965"/>
      <c r="IE5" s="965"/>
      <c r="IF5" s="965"/>
      <c r="IG5" s="965"/>
      <c r="IH5" s="965"/>
      <c r="II5" s="965"/>
      <c r="IJ5" s="965"/>
      <c r="IK5" s="965"/>
      <c r="IL5" s="965"/>
      <c r="IM5" s="965"/>
      <c r="IN5" s="965"/>
      <c r="IO5" s="965"/>
      <c r="IP5" s="965"/>
      <c r="IQ5" s="965"/>
      <c r="IR5" s="965"/>
      <c r="IS5" s="965"/>
      <c r="IT5" s="965"/>
      <c r="IU5" s="965"/>
      <c r="IV5" s="965"/>
    </row>
    <row r="6" spans="1:15" ht="13.5" thickBot="1">
      <c r="A6" s="462"/>
      <c r="B6" s="463"/>
      <c r="C6" s="463"/>
      <c r="D6" s="464"/>
      <c r="E6" s="465"/>
      <c r="F6" s="465"/>
      <c r="G6" s="468"/>
      <c r="H6" s="468"/>
      <c r="I6" s="468"/>
      <c r="J6" s="468"/>
      <c r="K6" s="468"/>
      <c r="L6" s="468"/>
      <c r="M6" s="465"/>
      <c r="N6" s="465"/>
      <c r="O6" s="469" t="s">
        <v>0</v>
      </c>
    </row>
    <row r="7" spans="1:22" s="472" customFormat="1" ht="18.75" customHeight="1">
      <c r="A7" s="966" t="s">
        <v>1</v>
      </c>
      <c r="B7" s="969" t="s">
        <v>267</v>
      </c>
      <c r="C7" s="470"/>
      <c r="D7" s="972" t="s">
        <v>186</v>
      </c>
      <c r="E7" s="975" t="s">
        <v>654</v>
      </c>
      <c r="F7" s="977" t="s">
        <v>655</v>
      </c>
      <c r="G7" s="952" t="s">
        <v>656</v>
      </c>
      <c r="H7" s="953"/>
      <c r="I7" s="953"/>
      <c r="J7" s="953"/>
      <c r="K7" s="953"/>
      <c r="L7" s="953"/>
      <c r="M7" s="953"/>
      <c r="N7" s="953"/>
      <c r="O7" s="954"/>
      <c r="P7" s="471"/>
      <c r="Q7" s="471"/>
      <c r="U7" s="471"/>
      <c r="V7" s="471"/>
    </row>
    <row r="8" spans="1:22" s="472" customFormat="1" ht="33.75" customHeight="1">
      <c r="A8" s="967"/>
      <c r="B8" s="970"/>
      <c r="C8" s="473"/>
      <c r="D8" s="973"/>
      <c r="E8" s="976"/>
      <c r="F8" s="978"/>
      <c r="G8" s="955" t="s">
        <v>657</v>
      </c>
      <c r="H8" s="956"/>
      <c r="I8" s="956"/>
      <c r="J8" s="956"/>
      <c r="K8" s="956"/>
      <c r="L8" s="957"/>
      <c r="M8" s="955" t="s">
        <v>658</v>
      </c>
      <c r="N8" s="956"/>
      <c r="O8" s="958"/>
      <c r="P8" s="471"/>
      <c r="Q8" s="471"/>
      <c r="U8" s="471"/>
      <c r="V8" s="471"/>
    </row>
    <row r="9" spans="1:22" s="472" customFormat="1" ht="29.25" customHeight="1">
      <c r="A9" s="967"/>
      <c r="B9" s="970"/>
      <c r="C9" s="473"/>
      <c r="D9" s="973"/>
      <c r="E9" s="976"/>
      <c r="F9" s="978"/>
      <c r="G9" s="959" t="s">
        <v>659</v>
      </c>
      <c r="H9" s="961" t="s">
        <v>660</v>
      </c>
      <c r="I9" s="962"/>
      <c r="J9" s="963" t="s">
        <v>661</v>
      </c>
      <c r="K9" s="963" t="s">
        <v>662</v>
      </c>
      <c r="L9" s="963" t="s">
        <v>663</v>
      </c>
      <c r="M9" s="963" t="s">
        <v>664</v>
      </c>
      <c r="N9" s="963" t="s">
        <v>661</v>
      </c>
      <c r="O9" s="947" t="s">
        <v>662</v>
      </c>
      <c r="P9" s="471"/>
      <c r="Q9" s="471"/>
      <c r="U9" s="471"/>
      <c r="V9" s="471"/>
    </row>
    <row r="10" spans="1:22" s="472" customFormat="1" ht="42" customHeight="1">
      <c r="A10" s="968"/>
      <c r="B10" s="971"/>
      <c r="C10" s="474"/>
      <c r="D10" s="974"/>
      <c r="E10" s="960"/>
      <c r="F10" s="964"/>
      <c r="G10" s="960"/>
      <c r="H10" s="475" t="s">
        <v>665</v>
      </c>
      <c r="I10" s="476" t="s">
        <v>666</v>
      </c>
      <c r="J10" s="964"/>
      <c r="K10" s="964"/>
      <c r="L10" s="964"/>
      <c r="M10" s="964"/>
      <c r="N10" s="964"/>
      <c r="O10" s="948"/>
      <c r="P10" s="471"/>
      <c r="Q10" s="471"/>
      <c r="U10" s="471"/>
      <c r="V10" s="471"/>
    </row>
    <row r="11" spans="1:22" s="484" customFormat="1" ht="12" customHeight="1">
      <c r="A11" s="477" t="s">
        <v>667</v>
      </c>
      <c r="B11" s="478" t="s">
        <v>668</v>
      </c>
      <c r="C11" s="478"/>
      <c r="D11" s="479" t="s">
        <v>669</v>
      </c>
      <c r="E11" s="479" t="s">
        <v>670</v>
      </c>
      <c r="F11" s="479" t="s">
        <v>671</v>
      </c>
      <c r="G11" s="480" t="s">
        <v>672</v>
      </c>
      <c r="H11" s="479" t="s">
        <v>673</v>
      </c>
      <c r="I11" s="481" t="s">
        <v>674</v>
      </c>
      <c r="J11" s="479" t="s">
        <v>675</v>
      </c>
      <c r="K11" s="479" t="s">
        <v>676</v>
      </c>
      <c r="L11" s="479" t="s">
        <v>677</v>
      </c>
      <c r="M11" s="479" t="s">
        <v>678</v>
      </c>
      <c r="N11" s="479" t="s">
        <v>679</v>
      </c>
      <c r="O11" s="482" t="s">
        <v>680</v>
      </c>
      <c r="P11" s="483" t="e">
        <f>#REF!+#REF!</f>
        <v>#REF!</v>
      </c>
      <c r="Q11" s="483"/>
      <c r="U11" s="483" t="e">
        <f>SUM(#REF!)</f>
        <v>#REF!</v>
      </c>
      <c r="V11" s="483"/>
    </row>
    <row r="12" spans="1:22" s="492" customFormat="1" ht="6" customHeight="1" thickBot="1">
      <c r="A12" s="485"/>
      <c r="B12" s="486"/>
      <c r="C12" s="486"/>
      <c r="D12" s="487"/>
      <c r="E12" s="488"/>
      <c r="F12" s="488"/>
      <c r="G12" s="488"/>
      <c r="H12" s="489"/>
      <c r="I12" s="488"/>
      <c r="J12" s="488"/>
      <c r="K12" s="488"/>
      <c r="L12" s="488"/>
      <c r="M12" s="488"/>
      <c r="N12" s="488"/>
      <c r="O12" s="490"/>
      <c r="P12" s="491"/>
      <c r="Q12" s="491"/>
      <c r="U12" s="491"/>
      <c r="V12" s="491"/>
    </row>
    <row r="13" spans="1:25" s="498" customFormat="1" ht="18" customHeight="1">
      <c r="A13" s="932"/>
      <c r="B13" s="949" t="s">
        <v>681</v>
      </c>
      <c r="C13" s="493" t="s">
        <v>20</v>
      </c>
      <c r="D13" s="494">
        <f>SUM(E13:O13)</f>
        <v>652551439</v>
      </c>
      <c r="E13" s="495">
        <f>E17+E21+E29+E33+E37+E41+E45+E49+E53+E57+E61+E65+E69+E73+E77+E81+E89+E93+E97+E25+E85</f>
        <v>450525654</v>
      </c>
      <c r="F13" s="495">
        <f aca="true" t="shared" si="0" ref="F13:O15">F17+F21+F29+F33+F37+F41+F45+F49+F53+F57+F61+F65+F69+F73+F77+F81+F89+F93+F97+F25+F85</f>
        <v>22169669</v>
      </c>
      <c r="G13" s="495">
        <f t="shared" si="0"/>
        <v>51634630</v>
      </c>
      <c r="H13" s="495">
        <f t="shared" si="0"/>
        <v>42099895</v>
      </c>
      <c r="I13" s="495">
        <f t="shared" si="0"/>
        <v>12178500</v>
      </c>
      <c r="J13" s="495">
        <f t="shared" si="0"/>
        <v>1071980</v>
      </c>
      <c r="K13" s="495">
        <f t="shared" si="0"/>
        <v>734138</v>
      </c>
      <c r="L13" s="495">
        <f t="shared" si="0"/>
        <v>194638</v>
      </c>
      <c r="M13" s="495">
        <f t="shared" si="0"/>
        <v>58313852</v>
      </c>
      <c r="N13" s="495">
        <f t="shared" si="0"/>
        <v>7210456</v>
      </c>
      <c r="O13" s="496">
        <f t="shared" si="0"/>
        <v>6418027</v>
      </c>
      <c r="P13" s="497">
        <f>SUM(P17:P97)</f>
        <v>100.00000000000001</v>
      </c>
      <c r="Q13" s="497" t="e">
        <f>#REF!+#REF!</f>
        <v>#REF!</v>
      </c>
      <c r="U13" s="499">
        <f>SUM(U17:U97)</f>
        <v>100.05</v>
      </c>
      <c r="V13" s="499"/>
      <c r="Y13" s="499"/>
    </row>
    <row r="14" spans="1:25" s="498" customFormat="1" ht="18" customHeight="1">
      <c r="A14" s="933"/>
      <c r="B14" s="950"/>
      <c r="C14" s="500" t="s">
        <v>21</v>
      </c>
      <c r="D14" s="501">
        <f>SUM(E14:O14)</f>
        <v>2914766</v>
      </c>
      <c r="E14" s="501">
        <f>E18+E22+E30+E34+E38+E42+E46+E50+E54+E58+E62+E66+E70+E74+E78+E82+E90+E94+E98+E26+E86</f>
        <v>-1016150</v>
      </c>
      <c r="F14" s="501">
        <f t="shared" si="0"/>
        <v>748685</v>
      </c>
      <c r="G14" s="501">
        <f t="shared" si="0"/>
        <v>2030840</v>
      </c>
      <c r="H14" s="501">
        <f t="shared" si="0"/>
        <v>0</v>
      </c>
      <c r="I14" s="501">
        <f t="shared" si="0"/>
        <v>0</v>
      </c>
      <c r="J14" s="501">
        <f t="shared" si="0"/>
        <v>0</v>
      </c>
      <c r="K14" s="501">
        <f t="shared" si="0"/>
        <v>-8398</v>
      </c>
      <c r="L14" s="501">
        <f t="shared" si="0"/>
        <v>0</v>
      </c>
      <c r="M14" s="501">
        <f t="shared" si="0"/>
        <v>2101000</v>
      </c>
      <c r="N14" s="501">
        <f t="shared" si="0"/>
        <v>94789</v>
      </c>
      <c r="O14" s="502">
        <f t="shared" si="0"/>
        <v>-1036000</v>
      </c>
      <c r="P14" s="497"/>
      <c r="Q14" s="497"/>
      <c r="U14" s="499"/>
      <c r="V14" s="499"/>
      <c r="Y14" s="499"/>
    </row>
    <row r="15" spans="1:25" s="498" customFormat="1" ht="18" customHeight="1" thickBot="1">
      <c r="A15" s="934"/>
      <c r="B15" s="951"/>
      <c r="C15" s="503" t="s">
        <v>22</v>
      </c>
      <c r="D15" s="504">
        <f>SUM(E15:O15)</f>
        <v>655466205</v>
      </c>
      <c r="E15" s="504">
        <f>E19+E23+E31+E35+E39+E43+E47+E51+E55+E59+E63+E67+E71+E75+E79+E83+E91+E95+E99+E27+E87</f>
        <v>449509504</v>
      </c>
      <c r="F15" s="504">
        <f t="shared" si="0"/>
        <v>22918354</v>
      </c>
      <c r="G15" s="504">
        <f t="shared" si="0"/>
        <v>53665470</v>
      </c>
      <c r="H15" s="504">
        <f t="shared" si="0"/>
        <v>42099895</v>
      </c>
      <c r="I15" s="504">
        <f t="shared" si="0"/>
        <v>12178500</v>
      </c>
      <c r="J15" s="504">
        <f t="shared" si="0"/>
        <v>1071980</v>
      </c>
      <c r="K15" s="504">
        <f t="shared" si="0"/>
        <v>725740</v>
      </c>
      <c r="L15" s="504">
        <f t="shared" si="0"/>
        <v>194638</v>
      </c>
      <c r="M15" s="504">
        <f t="shared" si="0"/>
        <v>60414852</v>
      </c>
      <c r="N15" s="504">
        <f t="shared" si="0"/>
        <v>7305245</v>
      </c>
      <c r="O15" s="505">
        <f t="shared" si="0"/>
        <v>5382027</v>
      </c>
      <c r="P15" s="497"/>
      <c r="Q15" s="497"/>
      <c r="U15" s="499"/>
      <c r="V15" s="499"/>
      <c r="Y15" s="499"/>
    </row>
    <row r="16" spans="1:25" s="514" customFormat="1" ht="5.25" customHeight="1">
      <c r="A16" s="506"/>
      <c r="B16" s="507"/>
      <c r="C16" s="507"/>
      <c r="D16" s="508"/>
      <c r="E16" s="509"/>
      <c r="F16" s="510"/>
      <c r="G16" s="510"/>
      <c r="H16" s="511"/>
      <c r="I16" s="510"/>
      <c r="J16" s="510"/>
      <c r="K16" s="512"/>
      <c r="L16" s="510"/>
      <c r="M16" s="510"/>
      <c r="N16" s="510"/>
      <c r="O16" s="513"/>
      <c r="P16" s="497"/>
      <c r="Q16" s="497"/>
      <c r="U16" s="515"/>
      <c r="V16" s="515"/>
      <c r="Y16" s="515"/>
    </row>
    <row r="17" spans="1:25" s="524" customFormat="1" ht="20.25" customHeight="1" hidden="1">
      <c r="A17" s="941" t="s">
        <v>23</v>
      </c>
      <c r="B17" s="944" t="s">
        <v>682</v>
      </c>
      <c r="C17" s="516" t="s">
        <v>20</v>
      </c>
      <c r="D17" s="517">
        <f>SUM(E17:O17)</f>
        <v>19701250</v>
      </c>
      <c r="E17" s="518">
        <v>0</v>
      </c>
      <c r="F17" s="518">
        <v>8144250</v>
      </c>
      <c r="G17" s="519">
        <v>0</v>
      </c>
      <c r="H17" s="518">
        <v>3261000</v>
      </c>
      <c r="I17" s="520">
        <v>1864000</v>
      </c>
      <c r="J17" s="518">
        <v>0</v>
      </c>
      <c r="K17" s="521">
        <v>0</v>
      </c>
      <c r="L17" s="519">
        <v>0</v>
      </c>
      <c r="M17" s="518">
        <v>5032000</v>
      </c>
      <c r="N17" s="518">
        <v>0</v>
      </c>
      <c r="O17" s="522">
        <v>1400000</v>
      </c>
      <c r="P17" s="523">
        <v>3.28</v>
      </c>
      <c r="Q17" s="523"/>
      <c r="U17" s="525">
        <v>3.51</v>
      </c>
      <c r="V17" s="525" t="e">
        <f>U17-#REF!</f>
        <v>#REF!</v>
      </c>
      <c r="Y17" s="525"/>
    </row>
    <row r="18" spans="1:25" s="524" customFormat="1" ht="20.25" customHeight="1" hidden="1">
      <c r="A18" s="942"/>
      <c r="B18" s="945"/>
      <c r="C18" s="516" t="s">
        <v>21</v>
      </c>
      <c r="D18" s="517">
        <f>SUM(E18:O18)</f>
        <v>0</v>
      </c>
      <c r="E18" s="526">
        <v>0</v>
      </c>
      <c r="F18" s="526">
        <v>0</v>
      </c>
      <c r="G18" s="527">
        <v>0</v>
      </c>
      <c r="H18" s="526">
        <v>0</v>
      </c>
      <c r="I18" s="527">
        <v>0</v>
      </c>
      <c r="J18" s="526">
        <v>0</v>
      </c>
      <c r="K18" s="528">
        <v>0</v>
      </c>
      <c r="L18" s="529">
        <v>0</v>
      </c>
      <c r="M18" s="526">
        <v>0</v>
      </c>
      <c r="N18" s="526">
        <v>0</v>
      </c>
      <c r="O18" s="530">
        <v>0</v>
      </c>
      <c r="P18" s="523"/>
      <c r="Q18" s="523"/>
      <c r="U18" s="525"/>
      <c r="V18" s="525"/>
      <c r="Y18" s="525"/>
    </row>
    <row r="19" spans="1:25" s="524" customFormat="1" ht="20.25" customHeight="1" hidden="1">
      <c r="A19" s="943"/>
      <c r="B19" s="946"/>
      <c r="C19" s="516" t="s">
        <v>22</v>
      </c>
      <c r="D19" s="517">
        <f>SUM(E19:O19)</f>
        <v>19701250</v>
      </c>
      <c r="E19" s="526">
        <f>E17+E18</f>
        <v>0</v>
      </c>
      <c r="F19" s="526">
        <f aca="true" t="shared" si="1" ref="F19:O19">F17+F18</f>
        <v>8144250</v>
      </c>
      <c r="G19" s="526">
        <f t="shared" si="1"/>
        <v>0</v>
      </c>
      <c r="H19" s="526">
        <f t="shared" si="1"/>
        <v>3261000</v>
      </c>
      <c r="I19" s="526">
        <f t="shared" si="1"/>
        <v>1864000</v>
      </c>
      <c r="J19" s="526">
        <f t="shared" si="1"/>
        <v>0</v>
      </c>
      <c r="K19" s="526">
        <f t="shared" si="1"/>
        <v>0</v>
      </c>
      <c r="L19" s="526">
        <f t="shared" si="1"/>
        <v>0</v>
      </c>
      <c r="M19" s="526">
        <f t="shared" si="1"/>
        <v>5032000</v>
      </c>
      <c r="N19" s="526">
        <f t="shared" si="1"/>
        <v>0</v>
      </c>
      <c r="O19" s="531">
        <f t="shared" si="1"/>
        <v>1400000</v>
      </c>
      <c r="P19" s="523"/>
      <c r="Q19" s="523"/>
      <c r="U19" s="525"/>
      <c r="V19" s="525"/>
      <c r="Y19" s="525"/>
    </row>
    <row r="20" spans="1:25" s="524" customFormat="1" ht="12" customHeight="1" hidden="1">
      <c r="A20" s="532"/>
      <c r="B20" s="533"/>
      <c r="C20" s="534"/>
      <c r="D20" s="535"/>
      <c r="E20" s="520"/>
      <c r="F20" s="520"/>
      <c r="G20" s="520"/>
      <c r="H20" s="520"/>
      <c r="I20" s="520"/>
      <c r="J20" s="520"/>
      <c r="K20" s="520"/>
      <c r="L20" s="520"/>
      <c r="M20" s="520"/>
      <c r="N20" s="520"/>
      <c r="O20" s="522"/>
      <c r="P20" s="523"/>
      <c r="Q20" s="523"/>
      <c r="U20" s="525"/>
      <c r="V20" s="525"/>
      <c r="Y20" s="525"/>
    </row>
    <row r="21" spans="1:25" s="524" customFormat="1" ht="20.25" customHeight="1" hidden="1">
      <c r="A21" s="941" t="s">
        <v>286</v>
      </c>
      <c r="B21" s="944" t="s">
        <v>287</v>
      </c>
      <c r="C21" s="516" t="s">
        <v>20</v>
      </c>
      <c r="D21" s="517">
        <f>SUM(E21:O21)</f>
        <v>780000</v>
      </c>
      <c r="E21" s="526">
        <v>0</v>
      </c>
      <c r="F21" s="526">
        <v>0</v>
      </c>
      <c r="G21" s="527">
        <v>0</v>
      </c>
      <c r="H21" s="526">
        <v>585000</v>
      </c>
      <c r="I21" s="527">
        <v>195000</v>
      </c>
      <c r="J21" s="526">
        <v>0</v>
      </c>
      <c r="K21" s="528">
        <v>0</v>
      </c>
      <c r="L21" s="529">
        <v>0</v>
      </c>
      <c r="M21" s="526">
        <v>0</v>
      </c>
      <c r="N21" s="526">
        <v>0</v>
      </c>
      <c r="O21" s="530">
        <v>0</v>
      </c>
      <c r="P21" s="523">
        <v>0.11</v>
      </c>
      <c r="Q21" s="523"/>
      <c r="U21" s="525">
        <v>0.13</v>
      </c>
      <c r="V21" s="525" t="e">
        <f>U21-#REF!</f>
        <v>#REF!</v>
      </c>
      <c r="Y21" s="525"/>
    </row>
    <row r="22" spans="1:25" s="524" customFormat="1" ht="20.25" customHeight="1" hidden="1">
      <c r="A22" s="942"/>
      <c r="B22" s="945"/>
      <c r="C22" s="516" t="s">
        <v>21</v>
      </c>
      <c r="D22" s="517">
        <f>SUM(E22:O22)</f>
        <v>0</v>
      </c>
      <c r="E22" s="526">
        <v>0</v>
      </c>
      <c r="F22" s="526">
        <v>0</v>
      </c>
      <c r="G22" s="527">
        <v>0</v>
      </c>
      <c r="H22" s="526">
        <v>0</v>
      </c>
      <c r="I22" s="527">
        <v>0</v>
      </c>
      <c r="J22" s="526">
        <v>0</v>
      </c>
      <c r="K22" s="528">
        <v>0</v>
      </c>
      <c r="L22" s="529">
        <v>0</v>
      </c>
      <c r="M22" s="526">
        <v>0</v>
      </c>
      <c r="N22" s="526">
        <v>0</v>
      </c>
      <c r="O22" s="530">
        <v>0</v>
      </c>
      <c r="P22" s="523"/>
      <c r="Q22" s="523"/>
      <c r="U22" s="525"/>
      <c r="V22" s="525"/>
      <c r="Y22" s="525"/>
    </row>
    <row r="23" spans="1:25" s="524" customFormat="1" ht="20.25" customHeight="1" hidden="1">
      <c r="A23" s="943"/>
      <c r="B23" s="946"/>
      <c r="C23" s="516" t="s">
        <v>22</v>
      </c>
      <c r="D23" s="517">
        <f>SUM(E23:O23)</f>
        <v>780000</v>
      </c>
      <c r="E23" s="526">
        <f aca="true" t="shared" si="2" ref="E23:O23">E21+E22</f>
        <v>0</v>
      </c>
      <c r="F23" s="526">
        <f t="shared" si="2"/>
        <v>0</v>
      </c>
      <c r="G23" s="526">
        <f t="shared" si="2"/>
        <v>0</v>
      </c>
      <c r="H23" s="526">
        <f t="shared" si="2"/>
        <v>585000</v>
      </c>
      <c r="I23" s="526">
        <f t="shared" si="2"/>
        <v>195000</v>
      </c>
      <c r="J23" s="526">
        <f t="shared" si="2"/>
        <v>0</v>
      </c>
      <c r="K23" s="526">
        <f t="shared" si="2"/>
        <v>0</v>
      </c>
      <c r="L23" s="526">
        <f t="shared" si="2"/>
        <v>0</v>
      </c>
      <c r="M23" s="526">
        <f t="shared" si="2"/>
        <v>0</v>
      </c>
      <c r="N23" s="526">
        <f t="shared" si="2"/>
        <v>0</v>
      </c>
      <c r="O23" s="531">
        <f t="shared" si="2"/>
        <v>0</v>
      </c>
      <c r="P23" s="523"/>
      <c r="Q23" s="523"/>
      <c r="U23" s="525"/>
      <c r="V23" s="525"/>
      <c r="Y23" s="525"/>
    </row>
    <row r="24" spans="1:25" s="524" customFormat="1" ht="20.25" customHeight="1" hidden="1">
      <c r="A24" s="532"/>
      <c r="B24" s="533"/>
      <c r="C24" s="533"/>
      <c r="D24" s="535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2"/>
      <c r="P24" s="523"/>
      <c r="Q24" s="523"/>
      <c r="U24" s="525"/>
      <c r="V24" s="525"/>
      <c r="Y24" s="525"/>
    </row>
    <row r="25" spans="1:25" s="524" customFormat="1" ht="15.75" customHeight="1" hidden="1">
      <c r="A25" s="941" t="s">
        <v>290</v>
      </c>
      <c r="B25" s="944" t="s">
        <v>291</v>
      </c>
      <c r="C25" s="516" t="s">
        <v>20</v>
      </c>
      <c r="D25" s="517">
        <f>SUM(E25:O25)</f>
        <v>106076</v>
      </c>
      <c r="E25" s="518">
        <v>0</v>
      </c>
      <c r="F25" s="518">
        <v>1011</v>
      </c>
      <c r="G25" s="520">
        <v>0</v>
      </c>
      <c r="H25" s="518">
        <v>0</v>
      </c>
      <c r="I25" s="520">
        <v>0</v>
      </c>
      <c r="J25" s="518">
        <v>0</v>
      </c>
      <c r="K25" s="521">
        <v>0</v>
      </c>
      <c r="L25" s="519">
        <v>105065</v>
      </c>
      <c r="M25" s="518">
        <v>0</v>
      </c>
      <c r="N25" s="518">
        <v>0</v>
      </c>
      <c r="O25" s="522">
        <v>0</v>
      </c>
      <c r="P25" s="523">
        <v>0.11</v>
      </c>
      <c r="Q25" s="523"/>
      <c r="U25" s="525">
        <v>0.13</v>
      </c>
      <c r="V25" s="525" t="e">
        <f>U25-#REF!</f>
        <v>#REF!</v>
      </c>
      <c r="Y25" s="525"/>
    </row>
    <row r="26" spans="1:25" s="524" customFormat="1" ht="15.75" customHeight="1" hidden="1">
      <c r="A26" s="942"/>
      <c r="B26" s="945"/>
      <c r="C26" s="516" t="s">
        <v>21</v>
      </c>
      <c r="D26" s="517">
        <f>SUM(E26:O26)</f>
        <v>0</v>
      </c>
      <c r="E26" s="526">
        <v>0</v>
      </c>
      <c r="F26" s="526">
        <v>0</v>
      </c>
      <c r="G26" s="527">
        <v>0</v>
      </c>
      <c r="H26" s="526">
        <v>0</v>
      </c>
      <c r="I26" s="527">
        <v>0</v>
      </c>
      <c r="J26" s="526">
        <v>0</v>
      </c>
      <c r="K26" s="528">
        <v>0</v>
      </c>
      <c r="L26" s="529">
        <v>0</v>
      </c>
      <c r="M26" s="526">
        <v>0</v>
      </c>
      <c r="N26" s="526">
        <v>0</v>
      </c>
      <c r="O26" s="530">
        <v>0</v>
      </c>
      <c r="P26" s="523"/>
      <c r="Q26" s="523"/>
      <c r="U26" s="525"/>
      <c r="V26" s="525"/>
      <c r="Y26" s="525"/>
    </row>
    <row r="27" spans="1:25" s="524" customFormat="1" ht="15.75" customHeight="1" hidden="1">
      <c r="A27" s="943"/>
      <c r="B27" s="946"/>
      <c r="C27" s="516" t="s">
        <v>22</v>
      </c>
      <c r="D27" s="517">
        <f>SUM(E27:O27)</f>
        <v>106076</v>
      </c>
      <c r="E27" s="526">
        <f aca="true" t="shared" si="3" ref="E27:O27">E25+E26</f>
        <v>0</v>
      </c>
      <c r="F27" s="526">
        <f t="shared" si="3"/>
        <v>1011</v>
      </c>
      <c r="G27" s="526">
        <f t="shared" si="3"/>
        <v>0</v>
      </c>
      <c r="H27" s="526">
        <f t="shared" si="3"/>
        <v>0</v>
      </c>
      <c r="I27" s="526">
        <f t="shared" si="3"/>
        <v>0</v>
      </c>
      <c r="J27" s="526">
        <f t="shared" si="3"/>
        <v>0</v>
      </c>
      <c r="K27" s="526">
        <f t="shared" si="3"/>
        <v>0</v>
      </c>
      <c r="L27" s="526">
        <f t="shared" si="3"/>
        <v>105065</v>
      </c>
      <c r="M27" s="526">
        <f t="shared" si="3"/>
        <v>0</v>
      </c>
      <c r="N27" s="526">
        <f t="shared" si="3"/>
        <v>0</v>
      </c>
      <c r="O27" s="531">
        <f t="shared" si="3"/>
        <v>0</v>
      </c>
      <c r="P27" s="523"/>
      <c r="Q27" s="523"/>
      <c r="U27" s="525"/>
      <c r="V27" s="525"/>
      <c r="Y27" s="525"/>
    </row>
    <row r="28" spans="1:25" s="524" customFormat="1" ht="5.25" customHeight="1" hidden="1">
      <c r="A28" s="536"/>
      <c r="B28" s="534"/>
      <c r="C28" s="533"/>
      <c r="D28" s="535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2"/>
      <c r="P28" s="523"/>
      <c r="Q28" s="523"/>
      <c r="U28" s="525"/>
      <c r="V28" s="525"/>
      <c r="Y28" s="525"/>
    </row>
    <row r="29" spans="1:25" s="541" customFormat="1" ht="18" customHeight="1" hidden="1">
      <c r="A29" s="915" t="s">
        <v>300</v>
      </c>
      <c r="B29" s="918" t="s">
        <v>301</v>
      </c>
      <c r="C29" s="516" t="s">
        <v>20</v>
      </c>
      <c r="D29" s="517">
        <f>SUM(E29:O29)</f>
        <v>0</v>
      </c>
      <c r="E29" s="537">
        <v>0</v>
      </c>
      <c r="F29" s="537">
        <v>0</v>
      </c>
      <c r="G29" s="538">
        <v>0</v>
      </c>
      <c r="H29" s="537">
        <v>0</v>
      </c>
      <c r="I29" s="539">
        <v>0</v>
      </c>
      <c r="J29" s="537">
        <v>0</v>
      </c>
      <c r="K29" s="539">
        <v>0</v>
      </c>
      <c r="L29" s="537">
        <v>0</v>
      </c>
      <c r="M29" s="537">
        <v>0</v>
      </c>
      <c r="N29" s="537">
        <v>0</v>
      </c>
      <c r="O29" s="540">
        <v>0</v>
      </c>
      <c r="P29" s="523">
        <v>0.04</v>
      </c>
      <c r="Q29" s="523"/>
      <c r="U29" s="542">
        <v>0.05</v>
      </c>
      <c r="V29" s="525" t="e">
        <f>U29-#REF!</f>
        <v>#REF!</v>
      </c>
      <c r="Y29" s="542"/>
    </row>
    <row r="30" spans="1:25" s="541" customFormat="1" ht="18" customHeight="1" hidden="1">
      <c r="A30" s="916"/>
      <c r="B30" s="919"/>
      <c r="C30" s="516" t="s">
        <v>21</v>
      </c>
      <c r="D30" s="517">
        <f>SUM(E30:O30)</f>
        <v>0</v>
      </c>
      <c r="E30" s="526">
        <v>0</v>
      </c>
      <c r="F30" s="526">
        <v>0</v>
      </c>
      <c r="G30" s="527">
        <v>0</v>
      </c>
      <c r="H30" s="526">
        <v>0</v>
      </c>
      <c r="I30" s="527">
        <v>0</v>
      </c>
      <c r="J30" s="526">
        <v>0</v>
      </c>
      <c r="K30" s="528">
        <v>0</v>
      </c>
      <c r="L30" s="529">
        <v>0</v>
      </c>
      <c r="M30" s="526">
        <v>0</v>
      </c>
      <c r="N30" s="526">
        <v>0</v>
      </c>
      <c r="O30" s="530">
        <v>0</v>
      </c>
      <c r="P30" s="523"/>
      <c r="Q30" s="523"/>
      <c r="U30" s="542"/>
      <c r="V30" s="525"/>
      <c r="Y30" s="542"/>
    </row>
    <row r="31" spans="1:25" s="541" customFormat="1" ht="18" customHeight="1" hidden="1">
      <c r="A31" s="917"/>
      <c r="B31" s="920"/>
      <c r="C31" s="516" t="s">
        <v>22</v>
      </c>
      <c r="D31" s="517">
        <f>SUM(E31:O31)</f>
        <v>0</v>
      </c>
      <c r="E31" s="526">
        <f aca="true" t="shared" si="4" ref="E31:O31">E29+E30</f>
        <v>0</v>
      </c>
      <c r="F31" s="526">
        <f t="shared" si="4"/>
        <v>0</v>
      </c>
      <c r="G31" s="526">
        <f t="shared" si="4"/>
        <v>0</v>
      </c>
      <c r="H31" s="526">
        <f t="shared" si="4"/>
        <v>0</v>
      </c>
      <c r="I31" s="526">
        <f t="shared" si="4"/>
        <v>0</v>
      </c>
      <c r="J31" s="526">
        <f t="shared" si="4"/>
        <v>0</v>
      </c>
      <c r="K31" s="526">
        <f t="shared" si="4"/>
        <v>0</v>
      </c>
      <c r="L31" s="526">
        <f t="shared" si="4"/>
        <v>0</v>
      </c>
      <c r="M31" s="526">
        <f t="shared" si="4"/>
        <v>0</v>
      </c>
      <c r="N31" s="526">
        <f t="shared" si="4"/>
        <v>0</v>
      </c>
      <c r="O31" s="531">
        <f t="shared" si="4"/>
        <v>0</v>
      </c>
      <c r="P31" s="523"/>
      <c r="Q31" s="523"/>
      <c r="U31" s="542"/>
      <c r="V31" s="525"/>
      <c r="Y31" s="542"/>
    </row>
    <row r="32" spans="1:25" s="541" customFormat="1" ht="6" customHeight="1" hidden="1">
      <c r="A32" s="543"/>
      <c r="B32" s="544"/>
      <c r="C32" s="544"/>
      <c r="D32" s="535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40"/>
      <c r="P32" s="523"/>
      <c r="Q32" s="523"/>
      <c r="U32" s="542"/>
      <c r="V32" s="525"/>
      <c r="Y32" s="542"/>
    </row>
    <row r="33" spans="1:25" s="541" customFormat="1" ht="18" customHeight="1" hidden="1">
      <c r="A33" s="915" t="s">
        <v>27</v>
      </c>
      <c r="B33" s="918" t="s">
        <v>28</v>
      </c>
      <c r="C33" s="516" t="s">
        <v>20</v>
      </c>
      <c r="D33" s="517">
        <f>SUM(E33:O33)</f>
        <v>57702425</v>
      </c>
      <c r="E33" s="537">
        <v>0</v>
      </c>
      <c r="F33" s="537">
        <v>6633414</v>
      </c>
      <c r="G33" s="538">
        <v>0</v>
      </c>
      <c r="H33" s="537">
        <v>0</v>
      </c>
      <c r="I33" s="539">
        <v>0</v>
      </c>
      <c r="J33" s="537">
        <v>0</v>
      </c>
      <c r="K33" s="539">
        <v>0</v>
      </c>
      <c r="L33" s="537">
        <v>89573</v>
      </c>
      <c r="M33" s="537">
        <v>48325852</v>
      </c>
      <c r="N33" s="537">
        <v>2653586</v>
      </c>
      <c r="O33" s="540">
        <v>0</v>
      </c>
      <c r="P33" s="523">
        <v>5.87</v>
      </c>
      <c r="Q33" s="523"/>
      <c r="U33" s="542">
        <v>7.1</v>
      </c>
      <c r="V33" s="525" t="e">
        <f>U33-#REF!</f>
        <v>#REF!</v>
      </c>
      <c r="Y33" s="542"/>
    </row>
    <row r="34" spans="1:25" s="541" customFormat="1" ht="18" customHeight="1" hidden="1">
      <c r="A34" s="916"/>
      <c r="B34" s="919"/>
      <c r="C34" s="516" t="s">
        <v>21</v>
      </c>
      <c r="D34" s="517">
        <f>SUM(E34:O34)</f>
        <v>0</v>
      </c>
      <c r="E34" s="526">
        <v>0</v>
      </c>
      <c r="F34" s="526">
        <v>0</v>
      </c>
      <c r="G34" s="527">
        <v>0</v>
      </c>
      <c r="H34" s="526">
        <v>0</v>
      </c>
      <c r="I34" s="527">
        <v>0</v>
      </c>
      <c r="J34" s="526">
        <v>0</v>
      </c>
      <c r="K34" s="528">
        <v>0</v>
      </c>
      <c r="L34" s="529">
        <v>0</v>
      </c>
      <c r="M34" s="526">
        <v>0</v>
      </c>
      <c r="N34" s="526">
        <v>0</v>
      </c>
      <c r="O34" s="530">
        <v>0</v>
      </c>
      <c r="P34" s="523"/>
      <c r="Q34" s="523"/>
      <c r="U34" s="542"/>
      <c r="V34" s="525"/>
      <c r="Y34" s="542"/>
    </row>
    <row r="35" spans="1:25" s="541" customFormat="1" ht="18" customHeight="1" hidden="1">
      <c r="A35" s="917"/>
      <c r="B35" s="920"/>
      <c r="C35" s="516" t="s">
        <v>22</v>
      </c>
      <c r="D35" s="517">
        <f>SUM(E35:O35)</f>
        <v>57702425</v>
      </c>
      <c r="E35" s="526">
        <f aca="true" t="shared" si="5" ref="E35:O35">E33+E34</f>
        <v>0</v>
      </c>
      <c r="F35" s="526">
        <f t="shared" si="5"/>
        <v>6633414</v>
      </c>
      <c r="G35" s="526">
        <f t="shared" si="5"/>
        <v>0</v>
      </c>
      <c r="H35" s="526">
        <f t="shared" si="5"/>
        <v>0</v>
      </c>
      <c r="I35" s="526">
        <f t="shared" si="5"/>
        <v>0</v>
      </c>
      <c r="J35" s="526">
        <f t="shared" si="5"/>
        <v>0</v>
      </c>
      <c r="K35" s="526">
        <f t="shared" si="5"/>
        <v>0</v>
      </c>
      <c r="L35" s="526">
        <f t="shared" si="5"/>
        <v>89573</v>
      </c>
      <c r="M35" s="526">
        <f t="shared" si="5"/>
        <v>48325852</v>
      </c>
      <c r="N35" s="526">
        <f t="shared" si="5"/>
        <v>2653586</v>
      </c>
      <c r="O35" s="531">
        <f t="shared" si="5"/>
        <v>0</v>
      </c>
      <c r="P35" s="523"/>
      <c r="Q35" s="523"/>
      <c r="U35" s="542"/>
      <c r="V35" s="525"/>
      <c r="Y35" s="542"/>
    </row>
    <row r="36" spans="1:25" s="541" customFormat="1" ht="6.75" customHeight="1" hidden="1">
      <c r="A36" s="938"/>
      <c r="B36" s="939"/>
      <c r="C36" s="939"/>
      <c r="D36" s="939"/>
      <c r="E36" s="939"/>
      <c r="F36" s="939"/>
      <c r="G36" s="939"/>
      <c r="H36" s="939"/>
      <c r="I36" s="939"/>
      <c r="J36" s="939"/>
      <c r="K36" s="939"/>
      <c r="L36" s="939"/>
      <c r="M36" s="939"/>
      <c r="N36" s="939"/>
      <c r="O36" s="940"/>
      <c r="P36" s="523"/>
      <c r="Q36" s="523"/>
      <c r="U36" s="542"/>
      <c r="V36" s="525"/>
      <c r="Y36" s="542"/>
    </row>
    <row r="37" spans="1:25" s="464" customFormat="1" ht="20.25" customHeight="1" hidden="1">
      <c r="A37" s="915" t="s">
        <v>32</v>
      </c>
      <c r="B37" s="918" t="s">
        <v>33</v>
      </c>
      <c r="C37" s="516" t="s">
        <v>20</v>
      </c>
      <c r="D37" s="517">
        <f>SUM(E37:O37)</f>
        <v>862095</v>
      </c>
      <c r="E37" s="537">
        <v>0</v>
      </c>
      <c r="F37" s="537">
        <v>862095</v>
      </c>
      <c r="G37" s="538">
        <v>0</v>
      </c>
      <c r="H37" s="537">
        <v>0</v>
      </c>
      <c r="I37" s="539">
        <v>0</v>
      </c>
      <c r="J37" s="537">
        <v>0</v>
      </c>
      <c r="K37" s="539">
        <v>0</v>
      </c>
      <c r="L37" s="537">
        <v>0</v>
      </c>
      <c r="M37" s="537">
        <v>0</v>
      </c>
      <c r="N37" s="537">
        <v>0</v>
      </c>
      <c r="O37" s="540">
        <v>0</v>
      </c>
      <c r="P37" s="523">
        <v>0.04</v>
      </c>
      <c r="Q37" s="523"/>
      <c r="U37" s="545">
        <v>0.06</v>
      </c>
      <c r="V37" s="525" t="e">
        <f>U37-#REF!</f>
        <v>#REF!</v>
      </c>
      <c r="Y37" s="545"/>
    </row>
    <row r="38" spans="1:25" s="464" customFormat="1" ht="20.25" customHeight="1" hidden="1">
      <c r="A38" s="916"/>
      <c r="B38" s="919"/>
      <c r="C38" s="516" t="s">
        <v>21</v>
      </c>
      <c r="D38" s="517">
        <f>SUM(E38:O38)</f>
        <v>0</v>
      </c>
      <c r="E38" s="526">
        <v>0</v>
      </c>
      <c r="F38" s="526">
        <v>0</v>
      </c>
      <c r="G38" s="527">
        <v>0</v>
      </c>
      <c r="H38" s="526">
        <v>0</v>
      </c>
      <c r="I38" s="527">
        <v>0</v>
      </c>
      <c r="J38" s="526">
        <v>0</v>
      </c>
      <c r="K38" s="528">
        <v>0</v>
      </c>
      <c r="L38" s="529">
        <v>0</v>
      </c>
      <c r="M38" s="526">
        <v>0</v>
      </c>
      <c r="N38" s="526">
        <v>0</v>
      </c>
      <c r="O38" s="530">
        <v>0</v>
      </c>
      <c r="P38" s="523"/>
      <c r="Q38" s="523"/>
      <c r="U38" s="545"/>
      <c r="V38" s="525"/>
      <c r="Y38" s="545"/>
    </row>
    <row r="39" spans="1:25" s="464" customFormat="1" ht="20.25" customHeight="1" hidden="1">
      <c r="A39" s="917"/>
      <c r="B39" s="920"/>
      <c r="C39" s="516" t="s">
        <v>22</v>
      </c>
      <c r="D39" s="517">
        <f>SUM(E39:O39)</f>
        <v>862095</v>
      </c>
      <c r="E39" s="526">
        <f aca="true" t="shared" si="6" ref="E39:O39">E37+E38</f>
        <v>0</v>
      </c>
      <c r="F39" s="526">
        <f t="shared" si="6"/>
        <v>862095</v>
      </c>
      <c r="G39" s="526">
        <f t="shared" si="6"/>
        <v>0</v>
      </c>
      <c r="H39" s="526">
        <f t="shared" si="6"/>
        <v>0</v>
      </c>
      <c r="I39" s="526">
        <f t="shared" si="6"/>
        <v>0</v>
      </c>
      <c r="J39" s="526">
        <f t="shared" si="6"/>
        <v>0</v>
      </c>
      <c r="K39" s="526">
        <f t="shared" si="6"/>
        <v>0</v>
      </c>
      <c r="L39" s="526">
        <f t="shared" si="6"/>
        <v>0</v>
      </c>
      <c r="M39" s="526">
        <f t="shared" si="6"/>
        <v>0</v>
      </c>
      <c r="N39" s="526">
        <f t="shared" si="6"/>
        <v>0</v>
      </c>
      <c r="O39" s="531">
        <f t="shared" si="6"/>
        <v>0</v>
      </c>
      <c r="P39" s="523"/>
      <c r="Q39" s="523"/>
      <c r="U39" s="545"/>
      <c r="V39" s="525"/>
      <c r="Y39" s="545"/>
    </row>
    <row r="40" spans="1:25" s="464" customFormat="1" ht="20.25" customHeight="1" hidden="1">
      <c r="A40" s="938"/>
      <c r="B40" s="939"/>
      <c r="C40" s="939"/>
      <c r="D40" s="939"/>
      <c r="E40" s="939"/>
      <c r="F40" s="939"/>
      <c r="G40" s="939"/>
      <c r="H40" s="939"/>
      <c r="I40" s="939"/>
      <c r="J40" s="939"/>
      <c r="K40" s="939"/>
      <c r="L40" s="939"/>
      <c r="M40" s="939"/>
      <c r="N40" s="939"/>
      <c r="O40" s="940"/>
      <c r="P40" s="523"/>
      <c r="Q40" s="523"/>
      <c r="U40" s="545"/>
      <c r="V40" s="525"/>
      <c r="Y40" s="545"/>
    </row>
    <row r="41" spans="1:25" s="464" customFormat="1" ht="20.25" customHeight="1" hidden="1">
      <c r="A41" s="915" t="s">
        <v>35</v>
      </c>
      <c r="B41" s="918" t="s">
        <v>36</v>
      </c>
      <c r="C41" s="516" t="s">
        <v>20</v>
      </c>
      <c r="D41" s="517">
        <f>SUM(E41:O41)</f>
        <v>162000</v>
      </c>
      <c r="E41" s="537">
        <v>0</v>
      </c>
      <c r="F41" s="537">
        <v>32000</v>
      </c>
      <c r="G41" s="538">
        <v>0</v>
      </c>
      <c r="H41" s="537">
        <v>0</v>
      </c>
      <c r="I41" s="539">
        <v>0</v>
      </c>
      <c r="J41" s="537">
        <v>0</v>
      </c>
      <c r="K41" s="539">
        <v>0</v>
      </c>
      <c r="L41" s="537">
        <v>0</v>
      </c>
      <c r="M41" s="537">
        <v>130000</v>
      </c>
      <c r="N41" s="537">
        <v>0</v>
      </c>
      <c r="O41" s="540">
        <v>0</v>
      </c>
      <c r="P41" s="523">
        <v>0.02</v>
      </c>
      <c r="Q41" s="523"/>
      <c r="U41" s="545">
        <v>0.02</v>
      </c>
      <c r="V41" s="525" t="e">
        <f>U41-#REF!</f>
        <v>#REF!</v>
      </c>
      <c r="Y41" s="545"/>
    </row>
    <row r="42" spans="1:25" s="464" customFormat="1" ht="20.25" customHeight="1" hidden="1">
      <c r="A42" s="916"/>
      <c r="B42" s="919"/>
      <c r="C42" s="516" t="s">
        <v>21</v>
      </c>
      <c r="D42" s="517">
        <f>SUM(E42:O42)</f>
        <v>0</v>
      </c>
      <c r="E42" s="526">
        <v>0</v>
      </c>
      <c r="F42" s="526">
        <v>0</v>
      </c>
      <c r="G42" s="527">
        <v>0</v>
      </c>
      <c r="H42" s="526">
        <v>0</v>
      </c>
      <c r="I42" s="527">
        <v>0</v>
      </c>
      <c r="J42" s="526">
        <v>0</v>
      </c>
      <c r="K42" s="528">
        <v>0</v>
      </c>
      <c r="L42" s="529">
        <v>0</v>
      </c>
      <c r="M42" s="526">
        <v>0</v>
      </c>
      <c r="N42" s="526">
        <v>0</v>
      </c>
      <c r="O42" s="530">
        <v>0</v>
      </c>
      <c r="P42" s="523"/>
      <c r="Q42" s="523"/>
      <c r="U42" s="545"/>
      <c r="V42" s="525"/>
      <c r="Y42" s="545"/>
    </row>
    <row r="43" spans="1:25" s="464" customFormat="1" ht="20.25" customHeight="1" hidden="1">
      <c r="A43" s="917"/>
      <c r="B43" s="920"/>
      <c r="C43" s="516" t="s">
        <v>22</v>
      </c>
      <c r="D43" s="517">
        <f>SUM(E43:O43)</f>
        <v>162000</v>
      </c>
      <c r="E43" s="526">
        <f aca="true" t="shared" si="7" ref="E43:O43">E41+E42</f>
        <v>0</v>
      </c>
      <c r="F43" s="526">
        <f t="shared" si="7"/>
        <v>32000</v>
      </c>
      <c r="G43" s="526">
        <f t="shared" si="7"/>
        <v>0</v>
      </c>
      <c r="H43" s="526">
        <f t="shared" si="7"/>
        <v>0</v>
      </c>
      <c r="I43" s="526">
        <f t="shared" si="7"/>
        <v>0</v>
      </c>
      <c r="J43" s="526">
        <f t="shared" si="7"/>
        <v>0</v>
      </c>
      <c r="K43" s="526">
        <f t="shared" si="7"/>
        <v>0</v>
      </c>
      <c r="L43" s="526">
        <f t="shared" si="7"/>
        <v>0</v>
      </c>
      <c r="M43" s="526">
        <f t="shared" si="7"/>
        <v>130000</v>
      </c>
      <c r="N43" s="526">
        <f t="shared" si="7"/>
        <v>0</v>
      </c>
      <c r="O43" s="531">
        <f t="shared" si="7"/>
        <v>0</v>
      </c>
      <c r="P43" s="523"/>
      <c r="Q43" s="523"/>
      <c r="U43" s="545"/>
      <c r="V43" s="525"/>
      <c r="Y43" s="545"/>
    </row>
    <row r="44" spans="1:25" s="464" customFormat="1" ht="20.25" customHeight="1" hidden="1">
      <c r="A44" s="938"/>
      <c r="B44" s="939"/>
      <c r="C44" s="939"/>
      <c r="D44" s="939"/>
      <c r="E44" s="939"/>
      <c r="F44" s="939"/>
      <c r="G44" s="939"/>
      <c r="H44" s="939"/>
      <c r="I44" s="939"/>
      <c r="J44" s="939"/>
      <c r="K44" s="939"/>
      <c r="L44" s="939"/>
      <c r="M44" s="939"/>
      <c r="N44" s="939"/>
      <c r="O44" s="940"/>
      <c r="P44" s="523"/>
      <c r="Q44" s="523"/>
      <c r="U44" s="545"/>
      <c r="V44" s="525"/>
      <c r="Y44" s="545"/>
    </row>
    <row r="45" spans="1:25" s="464" customFormat="1" ht="15.75" customHeight="1">
      <c r="A45" s="915" t="s">
        <v>317</v>
      </c>
      <c r="B45" s="918" t="s">
        <v>318</v>
      </c>
      <c r="C45" s="516" t="s">
        <v>20</v>
      </c>
      <c r="D45" s="517">
        <f>SUM(E45:O45)</f>
        <v>660740</v>
      </c>
      <c r="E45" s="537">
        <v>0</v>
      </c>
      <c r="F45" s="537">
        <v>0</v>
      </c>
      <c r="G45" s="538">
        <v>0</v>
      </c>
      <c r="H45" s="537">
        <v>0</v>
      </c>
      <c r="I45" s="539">
        <v>0</v>
      </c>
      <c r="J45" s="537">
        <v>0</v>
      </c>
      <c r="K45" s="539">
        <v>0</v>
      </c>
      <c r="L45" s="538">
        <v>0</v>
      </c>
      <c r="M45" s="537">
        <v>0</v>
      </c>
      <c r="N45" s="537">
        <v>660740</v>
      </c>
      <c r="O45" s="540">
        <v>0</v>
      </c>
      <c r="P45" s="523">
        <v>0.33</v>
      </c>
      <c r="Q45" s="523"/>
      <c r="U45" s="545">
        <v>0.2</v>
      </c>
      <c r="V45" s="525" t="e">
        <f>U45-#REF!</f>
        <v>#REF!</v>
      </c>
      <c r="Y45" s="545"/>
    </row>
    <row r="46" spans="1:25" s="464" customFormat="1" ht="15.75" customHeight="1">
      <c r="A46" s="916"/>
      <c r="B46" s="919"/>
      <c r="C46" s="516" t="s">
        <v>21</v>
      </c>
      <c r="D46" s="517">
        <f>SUM(E46:O46)</f>
        <v>94789</v>
      </c>
      <c r="E46" s="526">
        <v>0</v>
      </c>
      <c r="F46" s="526">
        <v>0</v>
      </c>
      <c r="G46" s="527">
        <v>0</v>
      </c>
      <c r="H46" s="526">
        <v>0</v>
      </c>
      <c r="I46" s="527">
        <v>0</v>
      </c>
      <c r="J46" s="526">
        <v>0</v>
      </c>
      <c r="K46" s="528">
        <v>0</v>
      </c>
      <c r="L46" s="529">
        <v>0</v>
      </c>
      <c r="M46" s="526">
        <v>0</v>
      </c>
      <c r="N46" s="526">
        <v>94789</v>
      </c>
      <c r="O46" s="530">
        <v>0</v>
      </c>
      <c r="P46" s="523"/>
      <c r="Q46" s="523"/>
      <c r="U46" s="545"/>
      <c r="V46" s="525"/>
      <c r="Y46" s="545"/>
    </row>
    <row r="47" spans="1:25" s="464" customFormat="1" ht="15.75" customHeight="1">
      <c r="A47" s="917"/>
      <c r="B47" s="920"/>
      <c r="C47" s="516" t="s">
        <v>22</v>
      </c>
      <c r="D47" s="517">
        <f>SUM(E47:O47)</f>
        <v>755529</v>
      </c>
      <c r="E47" s="526">
        <f aca="true" t="shared" si="8" ref="E47:O47">E45+E46</f>
        <v>0</v>
      </c>
      <c r="F47" s="526">
        <f t="shared" si="8"/>
        <v>0</v>
      </c>
      <c r="G47" s="526">
        <f t="shared" si="8"/>
        <v>0</v>
      </c>
      <c r="H47" s="526">
        <f t="shared" si="8"/>
        <v>0</v>
      </c>
      <c r="I47" s="526">
        <f t="shared" si="8"/>
        <v>0</v>
      </c>
      <c r="J47" s="526">
        <f t="shared" si="8"/>
        <v>0</v>
      </c>
      <c r="K47" s="526">
        <f t="shared" si="8"/>
        <v>0</v>
      </c>
      <c r="L47" s="526">
        <f t="shared" si="8"/>
        <v>0</v>
      </c>
      <c r="M47" s="526">
        <f t="shared" si="8"/>
        <v>0</v>
      </c>
      <c r="N47" s="526">
        <f t="shared" si="8"/>
        <v>755529</v>
      </c>
      <c r="O47" s="531">
        <f t="shared" si="8"/>
        <v>0</v>
      </c>
      <c r="P47" s="523"/>
      <c r="Q47" s="523"/>
      <c r="U47" s="545"/>
      <c r="V47" s="525"/>
      <c r="Y47" s="545"/>
    </row>
    <row r="48" spans="1:25" s="464" customFormat="1" ht="4.5" customHeight="1">
      <c r="A48" s="543"/>
      <c r="B48" s="544"/>
      <c r="C48" s="544"/>
      <c r="D48" s="535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40"/>
      <c r="P48" s="523"/>
      <c r="Q48" s="523"/>
      <c r="U48" s="545"/>
      <c r="V48" s="525"/>
      <c r="Y48" s="545"/>
    </row>
    <row r="49" spans="1:25" s="541" customFormat="1" ht="18" customHeight="1" hidden="1">
      <c r="A49" s="915" t="s">
        <v>38</v>
      </c>
      <c r="B49" s="918" t="s">
        <v>39</v>
      </c>
      <c r="C49" s="516" t="s">
        <v>20</v>
      </c>
      <c r="D49" s="517">
        <f>SUM(E49:O49)</f>
        <v>7386480</v>
      </c>
      <c r="E49" s="537">
        <v>0</v>
      </c>
      <c r="F49" s="537">
        <v>223500</v>
      </c>
      <c r="G49" s="546">
        <v>0</v>
      </c>
      <c r="H49" s="537">
        <v>4190500</v>
      </c>
      <c r="I49" s="539">
        <v>739500</v>
      </c>
      <c r="J49" s="537">
        <v>1071980</v>
      </c>
      <c r="K49" s="539">
        <v>0</v>
      </c>
      <c r="L49" s="537">
        <v>0</v>
      </c>
      <c r="M49" s="537">
        <v>1161000</v>
      </c>
      <c r="N49" s="537">
        <v>0</v>
      </c>
      <c r="O49" s="540">
        <v>0</v>
      </c>
      <c r="P49" s="523">
        <v>1.87</v>
      </c>
      <c r="Q49" s="523"/>
      <c r="U49" s="542">
        <v>1.47</v>
      </c>
      <c r="V49" s="525" t="e">
        <f>U49-#REF!</f>
        <v>#REF!</v>
      </c>
      <c r="Y49" s="542"/>
    </row>
    <row r="50" spans="1:25" s="541" customFormat="1" ht="18" customHeight="1" hidden="1">
      <c r="A50" s="916"/>
      <c r="B50" s="919"/>
      <c r="C50" s="516" t="s">
        <v>21</v>
      </c>
      <c r="D50" s="517">
        <f>SUM(E50:O50)</f>
        <v>0</v>
      </c>
      <c r="E50" s="526">
        <v>0</v>
      </c>
      <c r="F50" s="526">
        <v>0</v>
      </c>
      <c r="G50" s="527">
        <v>0</v>
      </c>
      <c r="H50" s="526">
        <v>0</v>
      </c>
      <c r="I50" s="527">
        <v>0</v>
      </c>
      <c r="J50" s="526">
        <v>0</v>
      </c>
      <c r="K50" s="528">
        <v>0</v>
      </c>
      <c r="L50" s="529">
        <v>0</v>
      </c>
      <c r="M50" s="526">
        <v>0</v>
      </c>
      <c r="N50" s="526">
        <v>0</v>
      </c>
      <c r="O50" s="530">
        <v>0</v>
      </c>
      <c r="P50" s="523"/>
      <c r="Q50" s="523"/>
      <c r="U50" s="542"/>
      <c r="V50" s="525"/>
      <c r="Y50" s="542"/>
    </row>
    <row r="51" spans="1:25" s="541" customFormat="1" ht="18" customHeight="1" hidden="1">
      <c r="A51" s="917"/>
      <c r="B51" s="920"/>
      <c r="C51" s="516" t="s">
        <v>22</v>
      </c>
      <c r="D51" s="517">
        <f>SUM(E51:O51)</f>
        <v>7386480</v>
      </c>
      <c r="E51" s="526">
        <f aca="true" t="shared" si="9" ref="E51:O51">E49+E50</f>
        <v>0</v>
      </c>
      <c r="F51" s="526">
        <f t="shared" si="9"/>
        <v>223500</v>
      </c>
      <c r="G51" s="526">
        <f t="shared" si="9"/>
        <v>0</v>
      </c>
      <c r="H51" s="526">
        <f t="shared" si="9"/>
        <v>4190500</v>
      </c>
      <c r="I51" s="526">
        <f t="shared" si="9"/>
        <v>739500</v>
      </c>
      <c r="J51" s="526">
        <f t="shared" si="9"/>
        <v>1071980</v>
      </c>
      <c r="K51" s="526">
        <f t="shared" si="9"/>
        <v>0</v>
      </c>
      <c r="L51" s="526">
        <f t="shared" si="9"/>
        <v>0</v>
      </c>
      <c r="M51" s="526">
        <f t="shared" si="9"/>
        <v>1161000</v>
      </c>
      <c r="N51" s="526">
        <f t="shared" si="9"/>
        <v>0</v>
      </c>
      <c r="O51" s="531">
        <f t="shared" si="9"/>
        <v>0</v>
      </c>
      <c r="P51" s="523"/>
      <c r="Q51" s="523"/>
      <c r="U51" s="542"/>
      <c r="V51" s="525"/>
      <c r="Y51" s="542"/>
    </row>
    <row r="52" spans="1:25" s="541" customFormat="1" ht="6.75" customHeight="1" hidden="1">
      <c r="A52" s="543"/>
      <c r="B52" s="544"/>
      <c r="C52" s="544"/>
      <c r="D52" s="535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40"/>
      <c r="P52" s="523"/>
      <c r="Q52" s="523"/>
      <c r="U52" s="542"/>
      <c r="V52" s="525"/>
      <c r="Y52" s="542"/>
    </row>
    <row r="53" spans="1:25" s="541" customFormat="1" ht="20.25" customHeight="1" hidden="1">
      <c r="A53" s="915" t="s">
        <v>223</v>
      </c>
      <c r="B53" s="918" t="s">
        <v>224</v>
      </c>
      <c r="C53" s="516" t="s">
        <v>20</v>
      </c>
      <c r="D53" s="517">
        <f>SUM(E53:O53)</f>
        <v>2000</v>
      </c>
      <c r="E53" s="537">
        <v>0</v>
      </c>
      <c r="F53" s="537">
        <v>0</v>
      </c>
      <c r="G53" s="546">
        <v>0</v>
      </c>
      <c r="H53" s="537">
        <v>0</v>
      </c>
      <c r="I53" s="539">
        <v>0</v>
      </c>
      <c r="J53" s="537">
        <v>0</v>
      </c>
      <c r="K53" s="539">
        <v>0</v>
      </c>
      <c r="L53" s="537">
        <v>0</v>
      </c>
      <c r="M53" s="537">
        <v>2000</v>
      </c>
      <c r="N53" s="537">
        <v>0</v>
      </c>
      <c r="O53" s="540">
        <v>0</v>
      </c>
      <c r="P53" s="523">
        <v>0</v>
      </c>
      <c r="Q53" s="523"/>
      <c r="U53" s="542">
        <v>0</v>
      </c>
      <c r="V53" s="525" t="e">
        <f>U53-#REF!</f>
        <v>#REF!</v>
      </c>
      <c r="Y53" s="542"/>
    </row>
    <row r="54" spans="1:25" s="541" customFormat="1" ht="20.25" customHeight="1" hidden="1">
      <c r="A54" s="916"/>
      <c r="B54" s="919"/>
      <c r="C54" s="516" t="s">
        <v>21</v>
      </c>
      <c r="D54" s="517">
        <f>SUM(E54:O54)</f>
        <v>0</v>
      </c>
      <c r="E54" s="526">
        <v>0</v>
      </c>
      <c r="F54" s="526">
        <v>0</v>
      </c>
      <c r="G54" s="527">
        <v>0</v>
      </c>
      <c r="H54" s="526">
        <v>0</v>
      </c>
      <c r="I54" s="527">
        <v>0</v>
      </c>
      <c r="J54" s="526">
        <v>0</v>
      </c>
      <c r="K54" s="528">
        <v>0</v>
      </c>
      <c r="L54" s="529">
        <v>0</v>
      </c>
      <c r="M54" s="526">
        <v>0</v>
      </c>
      <c r="N54" s="526">
        <v>0</v>
      </c>
      <c r="O54" s="530">
        <v>0</v>
      </c>
      <c r="P54" s="523"/>
      <c r="Q54" s="523"/>
      <c r="U54" s="542"/>
      <c r="V54" s="525"/>
      <c r="Y54" s="542"/>
    </row>
    <row r="55" spans="1:25" s="541" customFormat="1" ht="20.25" customHeight="1" hidden="1">
      <c r="A55" s="917"/>
      <c r="B55" s="920"/>
      <c r="C55" s="516" t="s">
        <v>22</v>
      </c>
      <c r="D55" s="517">
        <f>SUM(E55:O55)</f>
        <v>2000</v>
      </c>
      <c r="E55" s="526">
        <f aca="true" t="shared" si="10" ref="E55:O55">E53+E54</f>
        <v>0</v>
      </c>
      <c r="F55" s="526">
        <f t="shared" si="10"/>
        <v>0</v>
      </c>
      <c r="G55" s="526">
        <f t="shared" si="10"/>
        <v>0</v>
      </c>
      <c r="H55" s="526">
        <f t="shared" si="10"/>
        <v>0</v>
      </c>
      <c r="I55" s="526">
        <f t="shared" si="10"/>
        <v>0</v>
      </c>
      <c r="J55" s="526">
        <f t="shared" si="10"/>
        <v>0</v>
      </c>
      <c r="K55" s="526">
        <f t="shared" si="10"/>
        <v>0</v>
      </c>
      <c r="L55" s="526">
        <f t="shared" si="10"/>
        <v>0</v>
      </c>
      <c r="M55" s="526">
        <f t="shared" si="10"/>
        <v>2000</v>
      </c>
      <c r="N55" s="526">
        <f t="shared" si="10"/>
        <v>0</v>
      </c>
      <c r="O55" s="531">
        <f t="shared" si="10"/>
        <v>0</v>
      </c>
      <c r="P55" s="523"/>
      <c r="Q55" s="523"/>
      <c r="U55" s="542"/>
      <c r="V55" s="525"/>
      <c r="Y55" s="542"/>
    </row>
    <row r="56" spans="1:25" s="541" customFormat="1" ht="5.25" customHeight="1" hidden="1">
      <c r="A56" s="543"/>
      <c r="B56" s="544"/>
      <c r="C56" s="544"/>
      <c r="D56" s="535"/>
      <c r="E56" s="538"/>
      <c r="F56" s="538"/>
      <c r="G56" s="538"/>
      <c r="H56" s="538"/>
      <c r="I56" s="538"/>
      <c r="J56" s="538"/>
      <c r="K56" s="538"/>
      <c r="L56" s="538"/>
      <c r="M56" s="538"/>
      <c r="N56" s="538"/>
      <c r="O56" s="540"/>
      <c r="P56" s="523"/>
      <c r="Q56" s="523"/>
      <c r="U56" s="542"/>
      <c r="V56" s="525"/>
      <c r="Y56" s="542"/>
    </row>
    <row r="57" spans="1:25" s="541" customFormat="1" ht="26.25" customHeight="1" hidden="1">
      <c r="A57" s="915" t="s">
        <v>683</v>
      </c>
      <c r="B57" s="918" t="s">
        <v>684</v>
      </c>
      <c r="C57" s="516" t="s">
        <v>20</v>
      </c>
      <c r="D57" s="517">
        <f>SUM(E57:O57)</f>
        <v>264195909</v>
      </c>
      <c r="E57" s="537">
        <v>263451139</v>
      </c>
      <c r="F57" s="537">
        <v>744770</v>
      </c>
      <c r="G57" s="538">
        <v>0</v>
      </c>
      <c r="H57" s="537">
        <v>0</v>
      </c>
      <c r="I57" s="539">
        <v>0</v>
      </c>
      <c r="J57" s="537">
        <v>0</v>
      </c>
      <c r="K57" s="539">
        <v>0</v>
      </c>
      <c r="L57" s="537">
        <v>0</v>
      </c>
      <c r="M57" s="537">
        <v>0</v>
      </c>
      <c r="N57" s="537">
        <v>0</v>
      </c>
      <c r="O57" s="540">
        <v>0</v>
      </c>
      <c r="P57" s="523">
        <v>32.77</v>
      </c>
      <c r="Q57" s="523"/>
      <c r="U57" s="542">
        <v>33.02</v>
      </c>
      <c r="V57" s="525" t="e">
        <f>U57-#REF!</f>
        <v>#REF!</v>
      </c>
      <c r="Y57" s="542"/>
    </row>
    <row r="58" spans="1:25" s="541" customFormat="1" ht="26.25" customHeight="1" hidden="1">
      <c r="A58" s="916"/>
      <c r="B58" s="919"/>
      <c r="C58" s="516" t="s">
        <v>21</v>
      </c>
      <c r="D58" s="517">
        <f>SUM(E58:O58)</f>
        <v>0</v>
      </c>
      <c r="E58" s="526">
        <v>0</v>
      </c>
      <c r="F58" s="526">
        <v>0</v>
      </c>
      <c r="G58" s="527">
        <v>0</v>
      </c>
      <c r="H58" s="526">
        <v>0</v>
      </c>
      <c r="I58" s="527">
        <v>0</v>
      </c>
      <c r="J58" s="526">
        <v>0</v>
      </c>
      <c r="K58" s="528">
        <v>0</v>
      </c>
      <c r="L58" s="529">
        <v>0</v>
      </c>
      <c r="M58" s="526">
        <v>0</v>
      </c>
      <c r="N58" s="526">
        <v>0</v>
      </c>
      <c r="O58" s="530">
        <v>0</v>
      </c>
      <c r="P58" s="523"/>
      <c r="Q58" s="523"/>
      <c r="U58" s="542"/>
      <c r="V58" s="525"/>
      <c r="Y58" s="542"/>
    </row>
    <row r="59" spans="1:25" s="541" customFormat="1" ht="26.25" customHeight="1" hidden="1">
      <c r="A59" s="917"/>
      <c r="B59" s="920"/>
      <c r="C59" s="516" t="s">
        <v>22</v>
      </c>
      <c r="D59" s="517">
        <f>SUM(E59:O59)</f>
        <v>264195909</v>
      </c>
      <c r="E59" s="526">
        <f aca="true" t="shared" si="11" ref="E59:O59">E57+E58</f>
        <v>263451139</v>
      </c>
      <c r="F59" s="526">
        <f t="shared" si="11"/>
        <v>744770</v>
      </c>
      <c r="G59" s="526">
        <f t="shared" si="11"/>
        <v>0</v>
      </c>
      <c r="H59" s="526">
        <f t="shared" si="11"/>
        <v>0</v>
      </c>
      <c r="I59" s="526">
        <f t="shared" si="11"/>
        <v>0</v>
      </c>
      <c r="J59" s="526">
        <f t="shared" si="11"/>
        <v>0</v>
      </c>
      <c r="K59" s="526">
        <f t="shared" si="11"/>
        <v>0</v>
      </c>
      <c r="L59" s="526">
        <f t="shared" si="11"/>
        <v>0</v>
      </c>
      <c r="M59" s="526">
        <f t="shared" si="11"/>
        <v>0</v>
      </c>
      <c r="N59" s="526">
        <f t="shared" si="11"/>
        <v>0</v>
      </c>
      <c r="O59" s="531">
        <f t="shared" si="11"/>
        <v>0</v>
      </c>
      <c r="P59" s="523"/>
      <c r="Q59" s="523"/>
      <c r="U59" s="542"/>
      <c r="V59" s="525"/>
      <c r="Y59" s="542"/>
    </row>
    <row r="60" spans="1:25" s="541" customFormat="1" ht="9.75" customHeight="1" hidden="1">
      <c r="A60" s="543"/>
      <c r="B60" s="544"/>
      <c r="C60" s="544"/>
      <c r="D60" s="535"/>
      <c r="E60" s="538"/>
      <c r="F60" s="538"/>
      <c r="G60" s="538"/>
      <c r="H60" s="538"/>
      <c r="I60" s="538"/>
      <c r="J60" s="538"/>
      <c r="K60" s="538"/>
      <c r="L60" s="538"/>
      <c r="M60" s="538"/>
      <c r="N60" s="538"/>
      <c r="O60" s="540"/>
      <c r="P60" s="523"/>
      <c r="Q60" s="523"/>
      <c r="U60" s="542"/>
      <c r="V60" s="525"/>
      <c r="Y60" s="542"/>
    </row>
    <row r="61" spans="1:25" s="541" customFormat="1" ht="15.75" customHeight="1">
      <c r="A61" s="915" t="s">
        <v>337</v>
      </c>
      <c r="B61" s="918" t="s">
        <v>338</v>
      </c>
      <c r="C61" s="516" t="s">
        <v>20</v>
      </c>
      <c r="D61" s="517">
        <f>SUM(E61:O61)</f>
        <v>280708427</v>
      </c>
      <c r="E61" s="537">
        <v>187074515</v>
      </c>
      <c r="F61" s="537">
        <v>1700000</v>
      </c>
      <c r="G61" s="546">
        <v>51118912</v>
      </c>
      <c r="H61" s="537">
        <v>32008000</v>
      </c>
      <c r="I61" s="539">
        <v>8807000</v>
      </c>
      <c r="J61" s="537">
        <v>0</v>
      </c>
      <c r="K61" s="537">
        <v>0</v>
      </c>
      <c r="L61" s="537">
        <v>0</v>
      </c>
      <c r="M61" s="537">
        <v>0</v>
      </c>
      <c r="N61" s="537">
        <v>0</v>
      </c>
      <c r="O61" s="547">
        <v>0</v>
      </c>
      <c r="P61" s="523">
        <v>53.06</v>
      </c>
      <c r="Q61" s="523"/>
      <c r="U61" s="542">
        <v>51.75</v>
      </c>
      <c r="V61" s="525" t="e">
        <f>U61-#REF!</f>
        <v>#REF!</v>
      </c>
      <c r="Y61" s="542"/>
    </row>
    <row r="62" spans="1:25" s="541" customFormat="1" ht="15.75" customHeight="1">
      <c r="A62" s="916"/>
      <c r="B62" s="919"/>
      <c r="C62" s="516" t="s">
        <v>21</v>
      </c>
      <c r="D62" s="517">
        <f>SUM(E62:O62)</f>
        <v>1014690</v>
      </c>
      <c r="E62" s="526">
        <v>-1016150</v>
      </c>
      <c r="F62" s="526">
        <v>0</v>
      </c>
      <c r="G62" s="527">
        <f>-1190395+3221235</f>
        <v>2030840</v>
      </c>
      <c r="H62" s="526">
        <v>0</v>
      </c>
      <c r="I62" s="527">
        <v>0</v>
      </c>
      <c r="J62" s="526">
        <v>0</v>
      </c>
      <c r="K62" s="528">
        <v>0</v>
      </c>
      <c r="L62" s="529">
        <v>0</v>
      </c>
      <c r="M62" s="526">
        <v>0</v>
      </c>
      <c r="N62" s="526">
        <v>0</v>
      </c>
      <c r="O62" s="530">
        <v>0</v>
      </c>
      <c r="P62" s="523"/>
      <c r="Q62" s="523"/>
      <c r="U62" s="542"/>
      <c r="V62" s="525"/>
      <c r="Y62" s="542"/>
    </row>
    <row r="63" spans="1:25" s="541" customFormat="1" ht="15.75" customHeight="1">
      <c r="A63" s="917"/>
      <c r="B63" s="920"/>
      <c r="C63" s="516" t="s">
        <v>22</v>
      </c>
      <c r="D63" s="517">
        <f>SUM(E63:O63)</f>
        <v>281723117</v>
      </c>
      <c r="E63" s="526">
        <f aca="true" t="shared" si="12" ref="E63:O63">E61+E62</f>
        <v>186058365</v>
      </c>
      <c r="F63" s="526">
        <f t="shared" si="12"/>
        <v>1700000</v>
      </c>
      <c r="G63" s="526">
        <f t="shared" si="12"/>
        <v>53149752</v>
      </c>
      <c r="H63" s="526">
        <f t="shared" si="12"/>
        <v>32008000</v>
      </c>
      <c r="I63" s="526">
        <f t="shared" si="12"/>
        <v>8807000</v>
      </c>
      <c r="J63" s="526">
        <f t="shared" si="12"/>
        <v>0</v>
      </c>
      <c r="K63" s="526">
        <f t="shared" si="12"/>
        <v>0</v>
      </c>
      <c r="L63" s="526">
        <f t="shared" si="12"/>
        <v>0</v>
      </c>
      <c r="M63" s="526">
        <f t="shared" si="12"/>
        <v>0</v>
      </c>
      <c r="N63" s="526">
        <f t="shared" si="12"/>
        <v>0</v>
      </c>
      <c r="O63" s="531">
        <f t="shared" si="12"/>
        <v>0</v>
      </c>
      <c r="P63" s="523"/>
      <c r="Q63" s="523"/>
      <c r="U63" s="542"/>
      <c r="V63" s="525"/>
      <c r="Y63" s="542"/>
    </row>
    <row r="64" spans="1:25" s="541" customFormat="1" ht="6" customHeight="1">
      <c r="A64" s="543"/>
      <c r="B64" s="544"/>
      <c r="C64" s="544"/>
      <c r="D64" s="535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40"/>
      <c r="P64" s="523"/>
      <c r="Q64" s="523"/>
      <c r="U64" s="542"/>
      <c r="V64" s="525"/>
      <c r="Y64" s="542"/>
    </row>
    <row r="65" spans="1:25" s="541" customFormat="1" ht="20.25" customHeight="1" hidden="1">
      <c r="A65" s="915" t="s">
        <v>41</v>
      </c>
      <c r="B65" s="918" t="s">
        <v>42</v>
      </c>
      <c r="C65" s="516" t="s">
        <v>20</v>
      </c>
      <c r="D65" s="517">
        <f>SUM(E65:O65)</f>
        <v>990515</v>
      </c>
      <c r="E65" s="537">
        <v>0</v>
      </c>
      <c r="F65" s="537">
        <v>310515</v>
      </c>
      <c r="G65" s="538">
        <v>0</v>
      </c>
      <c r="H65" s="537">
        <v>0</v>
      </c>
      <c r="I65" s="539">
        <v>0</v>
      </c>
      <c r="J65" s="537">
        <v>0</v>
      </c>
      <c r="K65" s="539">
        <v>0</v>
      </c>
      <c r="L65" s="537">
        <v>0</v>
      </c>
      <c r="M65" s="537">
        <v>0</v>
      </c>
      <c r="N65" s="537">
        <v>680000</v>
      </c>
      <c r="O65" s="540">
        <v>0</v>
      </c>
      <c r="P65" s="523">
        <v>0.4</v>
      </c>
      <c r="Q65" s="523"/>
      <c r="U65" s="542">
        <v>0.25</v>
      </c>
      <c r="V65" s="525" t="e">
        <f>U65-#REF!</f>
        <v>#REF!</v>
      </c>
      <c r="Y65" s="542"/>
    </row>
    <row r="66" spans="1:25" s="541" customFormat="1" ht="20.25" customHeight="1" hidden="1">
      <c r="A66" s="916"/>
      <c r="B66" s="919"/>
      <c r="C66" s="516" t="s">
        <v>21</v>
      </c>
      <c r="D66" s="517">
        <f>SUM(E66:O66)</f>
        <v>0</v>
      </c>
      <c r="E66" s="526">
        <v>0</v>
      </c>
      <c r="F66" s="526">
        <v>0</v>
      </c>
      <c r="G66" s="527">
        <v>0</v>
      </c>
      <c r="H66" s="526">
        <v>0</v>
      </c>
      <c r="I66" s="527">
        <v>0</v>
      </c>
      <c r="J66" s="526">
        <v>0</v>
      </c>
      <c r="K66" s="528">
        <v>0</v>
      </c>
      <c r="L66" s="529">
        <v>0</v>
      </c>
      <c r="M66" s="526">
        <v>0</v>
      </c>
      <c r="N66" s="526">
        <v>0</v>
      </c>
      <c r="O66" s="530">
        <v>0</v>
      </c>
      <c r="P66" s="523"/>
      <c r="Q66" s="523"/>
      <c r="U66" s="542"/>
      <c r="V66" s="525"/>
      <c r="Y66" s="542"/>
    </row>
    <row r="67" spans="1:25" s="541" customFormat="1" ht="20.25" customHeight="1" hidden="1">
      <c r="A67" s="917"/>
      <c r="B67" s="920"/>
      <c r="C67" s="516" t="s">
        <v>22</v>
      </c>
      <c r="D67" s="517">
        <f>SUM(E67:O67)</f>
        <v>990515</v>
      </c>
      <c r="E67" s="526">
        <f aca="true" t="shared" si="13" ref="E67:O67">E65+E66</f>
        <v>0</v>
      </c>
      <c r="F67" s="526">
        <f t="shared" si="13"/>
        <v>310515</v>
      </c>
      <c r="G67" s="526">
        <f t="shared" si="13"/>
        <v>0</v>
      </c>
      <c r="H67" s="526">
        <f t="shared" si="13"/>
        <v>0</v>
      </c>
      <c r="I67" s="526">
        <f t="shared" si="13"/>
        <v>0</v>
      </c>
      <c r="J67" s="526">
        <f t="shared" si="13"/>
        <v>0</v>
      </c>
      <c r="K67" s="526">
        <f t="shared" si="13"/>
        <v>0</v>
      </c>
      <c r="L67" s="526">
        <f t="shared" si="13"/>
        <v>0</v>
      </c>
      <c r="M67" s="526">
        <f t="shared" si="13"/>
        <v>0</v>
      </c>
      <c r="N67" s="526">
        <f t="shared" si="13"/>
        <v>680000</v>
      </c>
      <c r="O67" s="531">
        <f t="shared" si="13"/>
        <v>0</v>
      </c>
      <c r="P67" s="523"/>
      <c r="Q67" s="523"/>
      <c r="U67" s="542"/>
      <c r="V67" s="525"/>
      <c r="Y67" s="542"/>
    </row>
    <row r="68" spans="1:25" s="541" customFormat="1" ht="20.25" customHeight="1" hidden="1">
      <c r="A68" s="543"/>
      <c r="B68" s="544"/>
      <c r="C68" s="544"/>
      <c r="D68" s="535"/>
      <c r="E68" s="538"/>
      <c r="F68" s="538"/>
      <c r="G68" s="538"/>
      <c r="H68" s="538"/>
      <c r="I68" s="538"/>
      <c r="J68" s="538"/>
      <c r="K68" s="538"/>
      <c r="L68" s="538"/>
      <c r="M68" s="538"/>
      <c r="N68" s="538"/>
      <c r="O68" s="540"/>
      <c r="P68" s="523"/>
      <c r="Q68" s="523"/>
      <c r="U68" s="542"/>
      <c r="V68" s="525"/>
      <c r="Y68" s="542"/>
    </row>
    <row r="69" spans="1:25" s="541" customFormat="1" ht="20.25" customHeight="1" hidden="1">
      <c r="A69" s="915" t="s">
        <v>44</v>
      </c>
      <c r="B69" s="918" t="s">
        <v>45</v>
      </c>
      <c r="C69" s="516" t="s">
        <v>20</v>
      </c>
      <c r="D69" s="517">
        <f>SUM(E69:O69)</f>
        <v>28000</v>
      </c>
      <c r="E69" s="537">
        <v>0</v>
      </c>
      <c r="F69" s="537">
        <v>0</v>
      </c>
      <c r="G69" s="538">
        <v>0</v>
      </c>
      <c r="H69" s="537">
        <v>0</v>
      </c>
      <c r="I69" s="539">
        <v>0</v>
      </c>
      <c r="J69" s="537">
        <v>0</v>
      </c>
      <c r="K69" s="539">
        <v>0</v>
      </c>
      <c r="L69" s="537">
        <v>0</v>
      </c>
      <c r="M69" s="537">
        <v>28000</v>
      </c>
      <c r="N69" s="537">
        <v>0</v>
      </c>
      <c r="O69" s="540">
        <v>0</v>
      </c>
      <c r="P69" s="523">
        <v>0.01</v>
      </c>
      <c r="Q69" s="523"/>
      <c r="U69" s="542">
        <v>0.01</v>
      </c>
      <c r="V69" s="525" t="e">
        <f>U69-#REF!</f>
        <v>#REF!</v>
      </c>
      <c r="Y69" s="542"/>
    </row>
    <row r="70" spans="1:25" s="541" customFormat="1" ht="20.25" customHeight="1" hidden="1">
      <c r="A70" s="916"/>
      <c r="B70" s="919"/>
      <c r="C70" s="516" t="s">
        <v>21</v>
      </c>
      <c r="D70" s="517">
        <f>SUM(E70:O70)</f>
        <v>0</v>
      </c>
      <c r="E70" s="526">
        <v>0</v>
      </c>
      <c r="F70" s="526">
        <v>0</v>
      </c>
      <c r="G70" s="527">
        <v>0</v>
      </c>
      <c r="H70" s="526">
        <v>0</v>
      </c>
      <c r="I70" s="527">
        <v>0</v>
      </c>
      <c r="J70" s="526">
        <v>0</v>
      </c>
      <c r="K70" s="528">
        <v>0</v>
      </c>
      <c r="L70" s="529">
        <v>0</v>
      </c>
      <c r="M70" s="526">
        <v>0</v>
      </c>
      <c r="N70" s="526">
        <v>0</v>
      </c>
      <c r="O70" s="530">
        <v>0</v>
      </c>
      <c r="P70" s="523"/>
      <c r="Q70" s="523"/>
      <c r="U70" s="542"/>
      <c r="V70" s="525"/>
      <c r="Y70" s="542"/>
    </row>
    <row r="71" spans="1:25" s="541" customFormat="1" ht="20.25" customHeight="1" hidden="1">
      <c r="A71" s="917"/>
      <c r="B71" s="920"/>
      <c r="C71" s="516" t="s">
        <v>22</v>
      </c>
      <c r="D71" s="517">
        <f>SUM(E71:O71)</f>
        <v>28000</v>
      </c>
      <c r="E71" s="526">
        <f aca="true" t="shared" si="14" ref="E71:O71">E69+E70</f>
        <v>0</v>
      </c>
      <c r="F71" s="526">
        <f t="shared" si="14"/>
        <v>0</v>
      </c>
      <c r="G71" s="526">
        <f t="shared" si="14"/>
        <v>0</v>
      </c>
      <c r="H71" s="526">
        <f t="shared" si="14"/>
        <v>0</v>
      </c>
      <c r="I71" s="526">
        <f t="shared" si="14"/>
        <v>0</v>
      </c>
      <c r="J71" s="526">
        <f t="shared" si="14"/>
        <v>0</v>
      </c>
      <c r="K71" s="526">
        <f t="shared" si="14"/>
        <v>0</v>
      </c>
      <c r="L71" s="526">
        <f t="shared" si="14"/>
        <v>0</v>
      </c>
      <c r="M71" s="526">
        <f t="shared" si="14"/>
        <v>28000</v>
      </c>
      <c r="N71" s="526">
        <f t="shared" si="14"/>
        <v>0</v>
      </c>
      <c r="O71" s="531">
        <f t="shared" si="14"/>
        <v>0</v>
      </c>
      <c r="P71" s="523"/>
      <c r="Q71" s="523"/>
      <c r="U71" s="542"/>
      <c r="V71" s="525"/>
      <c r="Y71" s="542"/>
    </row>
    <row r="72" spans="1:25" s="541" customFormat="1" ht="20.25" customHeight="1" hidden="1">
      <c r="A72" s="543"/>
      <c r="B72" s="544"/>
      <c r="C72" s="544"/>
      <c r="D72" s="535"/>
      <c r="E72" s="538"/>
      <c r="F72" s="538"/>
      <c r="G72" s="538"/>
      <c r="H72" s="538"/>
      <c r="I72" s="538"/>
      <c r="J72" s="538"/>
      <c r="K72" s="538"/>
      <c r="L72" s="538"/>
      <c r="M72" s="538"/>
      <c r="N72" s="538"/>
      <c r="O72" s="540"/>
      <c r="P72" s="523"/>
      <c r="Q72" s="523"/>
      <c r="U72" s="542"/>
      <c r="V72" s="525"/>
      <c r="Y72" s="542"/>
    </row>
    <row r="73" spans="1:25" s="541" customFormat="1" ht="20.25" customHeight="1" hidden="1">
      <c r="A73" s="915" t="s">
        <v>56</v>
      </c>
      <c r="B73" s="918" t="s">
        <v>46</v>
      </c>
      <c r="C73" s="516" t="s">
        <v>20</v>
      </c>
      <c r="D73" s="517">
        <f>SUM(E73:O73)</f>
        <v>106000</v>
      </c>
      <c r="E73" s="537">
        <v>0</v>
      </c>
      <c r="F73" s="537">
        <v>3000</v>
      </c>
      <c r="G73" s="538">
        <v>0</v>
      </c>
      <c r="H73" s="537">
        <v>0</v>
      </c>
      <c r="I73" s="539">
        <v>0</v>
      </c>
      <c r="J73" s="537">
        <v>0</v>
      </c>
      <c r="K73" s="539">
        <v>0</v>
      </c>
      <c r="L73" s="537">
        <v>0</v>
      </c>
      <c r="M73" s="537">
        <v>30000</v>
      </c>
      <c r="N73" s="537">
        <v>73000</v>
      </c>
      <c r="O73" s="540">
        <v>0</v>
      </c>
      <c r="P73" s="523">
        <v>0.48</v>
      </c>
      <c r="Q73" s="523"/>
      <c r="U73" s="542">
        <v>0.52</v>
      </c>
      <c r="V73" s="525" t="e">
        <f>U73-#REF!</f>
        <v>#REF!</v>
      </c>
      <c r="Y73" s="542"/>
    </row>
    <row r="74" spans="1:25" s="541" customFormat="1" ht="16.5" customHeight="1" hidden="1">
      <c r="A74" s="916"/>
      <c r="B74" s="919"/>
      <c r="C74" s="516" t="s">
        <v>21</v>
      </c>
      <c r="D74" s="517">
        <f>SUM(E74:O74)</f>
        <v>0</v>
      </c>
      <c r="E74" s="526">
        <v>0</v>
      </c>
      <c r="F74" s="526">
        <v>0</v>
      </c>
      <c r="G74" s="527">
        <v>0</v>
      </c>
      <c r="H74" s="526">
        <v>0</v>
      </c>
      <c r="I74" s="527">
        <v>0</v>
      </c>
      <c r="J74" s="526">
        <v>0</v>
      </c>
      <c r="K74" s="528">
        <v>0</v>
      </c>
      <c r="L74" s="529">
        <v>0</v>
      </c>
      <c r="M74" s="526">
        <v>0</v>
      </c>
      <c r="N74" s="526">
        <v>0</v>
      </c>
      <c r="O74" s="530">
        <v>0</v>
      </c>
      <c r="P74" s="523"/>
      <c r="Q74" s="523"/>
      <c r="U74" s="542"/>
      <c r="V74" s="525"/>
      <c r="Y74" s="542"/>
    </row>
    <row r="75" spans="1:25" s="541" customFormat="1" ht="20.25" customHeight="1" hidden="1">
      <c r="A75" s="917"/>
      <c r="B75" s="920"/>
      <c r="C75" s="516" t="s">
        <v>22</v>
      </c>
      <c r="D75" s="517">
        <f>SUM(E75:O75)</f>
        <v>106000</v>
      </c>
      <c r="E75" s="526">
        <f aca="true" t="shared" si="15" ref="E75:O75">E73+E74</f>
        <v>0</v>
      </c>
      <c r="F75" s="526">
        <f t="shared" si="15"/>
        <v>3000</v>
      </c>
      <c r="G75" s="526">
        <f t="shared" si="15"/>
        <v>0</v>
      </c>
      <c r="H75" s="526">
        <f t="shared" si="15"/>
        <v>0</v>
      </c>
      <c r="I75" s="526">
        <f t="shared" si="15"/>
        <v>0</v>
      </c>
      <c r="J75" s="526">
        <f t="shared" si="15"/>
        <v>0</v>
      </c>
      <c r="K75" s="526">
        <f t="shared" si="15"/>
        <v>0</v>
      </c>
      <c r="L75" s="526">
        <f t="shared" si="15"/>
        <v>0</v>
      </c>
      <c r="M75" s="526">
        <f t="shared" si="15"/>
        <v>30000</v>
      </c>
      <c r="N75" s="526">
        <f t="shared" si="15"/>
        <v>73000</v>
      </c>
      <c r="O75" s="531">
        <f t="shared" si="15"/>
        <v>0</v>
      </c>
      <c r="P75" s="523"/>
      <c r="Q75" s="523"/>
      <c r="U75" s="542"/>
      <c r="V75" s="525"/>
      <c r="Y75" s="542"/>
    </row>
    <row r="76" spans="1:25" s="541" customFormat="1" ht="20.25" customHeight="1" hidden="1">
      <c r="A76" s="543"/>
      <c r="B76" s="544"/>
      <c r="C76" s="544"/>
      <c r="D76" s="535"/>
      <c r="E76" s="538"/>
      <c r="F76" s="538"/>
      <c r="G76" s="538"/>
      <c r="H76" s="538"/>
      <c r="I76" s="538"/>
      <c r="J76" s="538"/>
      <c r="K76" s="538"/>
      <c r="L76" s="538"/>
      <c r="M76" s="538"/>
      <c r="N76" s="538"/>
      <c r="O76" s="540"/>
      <c r="P76" s="523"/>
      <c r="Q76" s="523"/>
      <c r="U76" s="542"/>
      <c r="V76" s="525"/>
      <c r="Y76" s="542"/>
    </row>
    <row r="77" spans="1:25" s="541" customFormat="1" ht="15.75" customHeight="1">
      <c r="A77" s="915" t="s">
        <v>57</v>
      </c>
      <c r="B77" s="918" t="s">
        <v>685</v>
      </c>
      <c r="C77" s="516" t="s">
        <v>20</v>
      </c>
      <c r="D77" s="517">
        <f>SUM(E77:O77)</f>
        <v>4222593</v>
      </c>
      <c r="E77" s="537">
        <v>0</v>
      </c>
      <c r="F77" s="537">
        <v>1580198</v>
      </c>
      <c r="G77" s="546">
        <v>0</v>
      </c>
      <c r="H77" s="537">
        <v>2055395</v>
      </c>
      <c r="I77" s="539">
        <v>573000</v>
      </c>
      <c r="J77" s="537">
        <v>0</v>
      </c>
      <c r="K77" s="539">
        <v>0</v>
      </c>
      <c r="L77" s="537">
        <v>0</v>
      </c>
      <c r="M77" s="537">
        <v>14000</v>
      </c>
      <c r="N77" s="537">
        <v>0</v>
      </c>
      <c r="O77" s="540">
        <v>0</v>
      </c>
      <c r="P77" s="523">
        <v>0.37</v>
      </c>
      <c r="Q77" s="523"/>
      <c r="U77" s="542">
        <v>0.52</v>
      </c>
      <c r="V77" s="525" t="e">
        <f>U77-#REF!</f>
        <v>#REF!</v>
      </c>
      <c r="Y77" s="542"/>
    </row>
    <row r="78" spans="1:25" s="541" customFormat="1" ht="15.75" customHeight="1">
      <c r="A78" s="916"/>
      <c r="B78" s="919"/>
      <c r="C78" s="516" t="s">
        <v>21</v>
      </c>
      <c r="D78" s="517">
        <f>SUM(E78:O78)</f>
        <v>748685</v>
      </c>
      <c r="E78" s="526">
        <v>0</v>
      </c>
      <c r="F78" s="526">
        <v>748685</v>
      </c>
      <c r="G78" s="527">
        <v>0</v>
      </c>
      <c r="H78" s="526">
        <v>0</v>
      </c>
      <c r="I78" s="527">
        <v>0</v>
      </c>
      <c r="J78" s="526">
        <v>0</v>
      </c>
      <c r="K78" s="528">
        <v>0</v>
      </c>
      <c r="L78" s="529">
        <v>0</v>
      </c>
      <c r="M78" s="526">
        <v>0</v>
      </c>
      <c r="N78" s="526">
        <v>0</v>
      </c>
      <c r="O78" s="530">
        <v>0</v>
      </c>
      <c r="P78" s="523"/>
      <c r="Q78" s="523"/>
      <c r="U78" s="542"/>
      <c r="V78" s="525"/>
      <c r="Y78" s="542"/>
    </row>
    <row r="79" spans="1:25" s="541" customFormat="1" ht="15.75" customHeight="1">
      <c r="A79" s="917"/>
      <c r="B79" s="920"/>
      <c r="C79" s="516" t="s">
        <v>22</v>
      </c>
      <c r="D79" s="517">
        <f>SUM(E79:O79)</f>
        <v>4971278</v>
      </c>
      <c r="E79" s="526">
        <f aca="true" t="shared" si="16" ref="E79:O79">E77+E78</f>
        <v>0</v>
      </c>
      <c r="F79" s="526">
        <f t="shared" si="16"/>
        <v>2328883</v>
      </c>
      <c r="G79" s="526">
        <f t="shared" si="16"/>
        <v>0</v>
      </c>
      <c r="H79" s="526">
        <f t="shared" si="16"/>
        <v>2055395</v>
      </c>
      <c r="I79" s="526">
        <f t="shared" si="16"/>
        <v>573000</v>
      </c>
      <c r="J79" s="526">
        <f t="shared" si="16"/>
        <v>0</v>
      </c>
      <c r="K79" s="526">
        <f t="shared" si="16"/>
        <v>0</v>
      </c>
      <c r="L79" s="526">
        <f t="shared" si="16"/>
        <v>0</v>
      </c>
      <c r="M79" s="526">
        <f t="shared" si="16"/>
        <v>14000</v>
      </c>
      <c r="N79" s="526">
        <f t="shared" si="16"/>
        <v>0</v>
      </c>
      <c r="O79" s="531">
        <f t="shared" si="16"/>
        <v>0</v>
      </c>
      <c r="P79" s="523"/>
      <c r="Q79" s="523"/>
      <c r="U79" s="542"/>
      <c r="V79" s="525"/>
      <c r="Y79" s="542"/>
    </row>
    <row r="80" spans="1:25" s="541" customFormat="1" ht="5.25" customHeight="1">
      <c r="A80" s="543"/>
      <c r="B80" s="544"/>
      <c r="C80" s="544"/>
      <c r="D80" s="535"/>
      <c r="E80" s="538"/>
      <c r="F80" s="538"/>
      <c r="G80" s="538"/>
      <c r="H80" s="538"/>
      <c r="I80" s="538"/>
      <c r="J80" s="538"/>
      <c r="K80" s="538"/>
      <c r="L80" s="538"/>
      <c r="M80" s="538"/>
      <c r="N80" s="538"/>
      <c r="O80" s="540"/>
      <c r="P80" s="523"/>
      <c r="Q80" s="523"/>
      <c r="U80" s="542"/>
      <c r="V80" s="525"/>
      <c r="Y80" s="542"/>
    </row>
    <row r="81" spans="1:25" s="541" customFormat="1" ht="15.75" customHeight="1" hidden="1">
      <c r="A81" s="915" t="s">
        <v>62</v>
      </c>
      <c r="B81" s="918" t="s">
        <v>63</v>
      </c>
      <c r="C81" s="516" t="s">
        <v>20</v>
      </c>
      <c r="D81" s="517">
        <f>SUM(E81:O81)</f>
        <v>5520</v>
      </c>
      <c r="E81" s="537">
        <v>0</v>
      </c>
      <c r="F81" s="537">
        <v>5520</v>
      </c>
      <c r="G81" s="546">
        <v>0</v>
      </c>
      <c r="H81" s="537">
        <v>0</v>
      </c>
      <c r="I81" s="538">
        <v>0</v>
      </c>
      <c r="J81" s="537">
        <v>0</v>
      </c>
      <c r="K81" s="539">
        <v>0</v>
      </c>
      <c r="L81" s="546">
        <v>0</v>
      </c>
      <c r="M81" s="537">
        <v>0</v>
      </c>
      <c r="N81" s="537">
        <v>0</v>
      </c>
      <c r="O81" s="540">
        <v>0</v>
      </c>
      <c r="P81" s="523">
        <v>0</v>
      </c>
      <c r="Q81" s="523"/>
      <c r="U81" s="542">
        <v>0</v>
      </c>
      <c r="V81" s="525" t="e">
        <f>U81-#REF!</f>
        <v>#REF!</v>
      </c>
      <c r="Y81" s="542"/>
    </row>
    <row r="82" spans="1:25" s="541" customFormat="1" ht="15.75" customHeight="1" hidden="1">
      <c r="A82" s="916"/>
      <c r="B82" s="919"/>
      <c r="C82" s="516" t="s">
        <v>21</v>
      </c>
      <c r="D82" s="517">
        <f>SUM(E82:O82)</f>
        <v>0</v>
      </c>
      <c r="E82" s="526">
        <v>0</v>
      </c>
      <c r="F82" s="526">
        <v>0</v>
      </c>
      <c r="G82" s="527">
        <v>0</v>
      </c>
      <c r="H82" s="526">
        <v>0</v>
      </c>
      <c r="I82" s="527">
        <v>0</v>
      </c>
      <c r="J82" s="526">
        <v>0</v>
      </c>
      <c r="K82" s="528">
        <v>0</v>
      </c>
      <c r="L82" s="529">
        <v>0</v>
      </c>
      <c r="M82" s="526">
        <v>0</v>
      </c>
      <c r="N82" s="526">
        <v>0</v>
      </c>
      <c r="O82" s="530">
        <v>0</v>
      </c>
      <c r="P82" s="523"/>
      <c r="Q82" s="523"/>
      <c r="U82" s="542"/>
      <c r="V82" s="525"/>
      <c r="Y82" s="542"/>
    </row>
    <row r="83" spans="1:25" s="541" customFormat="1" ht="15.75" customHeight="1" hidden="1">
      <c r="A83" s="917"/>
      <c r="B83" s="920"/>
      <c r="C83" s="516" t="s">
        <v>22</v>
      </c>
      <c r="D83" s="517">
        <f>SUM(E83:O83)</f>
        <v>5520</v>
      </c>
      <c r="E83" s="526">
        <f aca="true" t="shared" si="17" ref="E83:O83">E81+E82</f>
        <v>0</v>
      </c>
      <c r="F83" s="526">
        <f t="shared" si="17"/>
        <v>5520</v>
      </c>
      <c r="G83" s="526">
        <f t="shared" si="17"/>
        <v>0</v>
      </c>
      <c r="H83" s="526">
        <f t="shared" si="17"/>
        <v>0</v>
      </c>
      <c r="I83" s="526">
        <f t="shared" si="17"/>
        <v>0</v>
      </c>
      <c r="J83" s="526">
        <f t="shared" si="17"/>
        <v>0</v>
      </c>
      <c r="K83" s="526">
        <f t="shared" si="17"/>
        <v>0</v>
      </c>
      <c r="L83" s="526">
        <f t="shared" si="17"/>
        <v>0</v>
      </c>
      <c r="M83" s="526">
        <f t="shared" si="17"/>
        <v>0</v>
      </c>
      <c r="N83" s="526">
        <f t="shared" si="17"/>
        <v>0</v>
      </c>
      <c r="O83" s="531">
        <f t="shared" si="17"/>
        <v>0</v>
      </c>
      <c r="P83" s="523"/>
      <c r="Q83" s="523"/>
      <c r="U83" s="542"/>
      <c r="V83" s="525"/>
      <c r="Y83" s="542"/>
    </row>
    <row r="84" spans="1:25" s="541" customFormat="1" ht="6.75" customHeight="1" hidden="1">
      <c r="A84" s="543"/>
      <c r="B84" s="544"/>
      <c r="C84" s="544"/>
      <c r="D84" s="535"/>
      <c r="E84" s="538"/>
      <c r="F84" s="538"/>
      <c r="G84" s="538"/>
      <c r="H84" s="538"/>
      <c r="I84" s="538"/>
      <c r="J84" s="538"/>
      <c r="K84" s="538"/>
      <c r="L84" s="538"/>
      <c r="M84" s="538"/>
      <c r="N84" s="538"/>
      <c r="O84" s="540"/>
      <c r="P84" s="523"/>
      <c r="Q84" s="523"/>
      <c r="U84" s="542"/>
      <c r="V84" s="525"/>
      <c r="Y84" s="542"/>
    </row>
    <row r="85" spans="1:25" s="541" customFormat="1" ht="15" customHeight="1">
      <c r="A85" s="915" t="s">
        <v>235</v>
      </c>
      <c r="B85" s="918" t="s">
        <v>236</v>
      </c>
      <c r="C85" s="516" t="s">
        <v>20</v>
      </c>
      <c r="D85" s="517">
        <f>SUM(E85:O85)</f>
        <v>1217000</v>
      </c>
      <c r="E85" s="537">
        <v>0</v>
      </c>
      <c r="F85" s="537">
        <v>0</v>
      </c>
      <c r="G85" s="546">
        <v>0</v>
      </c>
      <c r="H85" s="537">
        <v>0</v>
      </c>
      <c r="I85" s="538">
        <v>0</v>
      </c>
      <c r="J85" s="537">
        <v>0</v>
      </c>
      <c r="K85" s="539">
        <v>0</v>
      </c>
      <c r="L85" s="546">
        <v>0</v>
      </c>
      <c r="M85" s="537">
        <v>1217000</v>
      </c>
      <c r="N85" s="537">
        <v>0</v>
      </c>
      <c r="O85" s="540">
        <v>0</v>
      </c>
      <c r="P85" s="523">
        <v>0</v>
      </c>
      <c r="Q85" s="523"/>
      <c r="U85" s="542">
        <v>0</v>
      </c>
      <c r="V85" s="525" t="e">
        <f>U85-#REF!</f>
        <v>#REF!</v>
      </c>
      <c r="Y85" s="542"/>
    </row>
    <row r="86" spans="1:25" s="541" customFormat="1" ht="15" customHeight="1">
      <c r="A86" s="916"/>
      <c r="B86" s="919"/>
      <c r="C86" s="516" t="s">
        <v>21</v>
      </c>
      <c r="D86" s="517">
        <f>SUM(E86:O86)</f>
        <v>2101000</v>
      </c>
      <c r="E86" s="526">
        <v>0</v>
      </c>
      <c r="F86" s="526">
        <v>0</v>
      </c>
      <c r="G86" s="527">
        <v>0</v>
      </c>
      <c r="H86" s="526">
        <v>0</v>
      </c>
      <c r="I86" s="527">
        <v>0</v>
      </c>
      <c r="J86" s="526">
        <v>0</v>
      </c>
      <c r="K86" s="528">
        <v>0</v>
      </c>
      <c r="L86" s="529">
        <v>0</v>
      </c>
      <c r="M86" s="526">
        <v>2101000</v>
      </c>
      <c r="N86" s="526">
        <v>0</v>
      </c>
      <c r="O86" s="530">
        <v>0</v>
      </c>
      <c r="P86" s="523"/>
      <c r="Q86" s="523"/>
      <c r="U86" s="542"/>
      <c r="V86" s="525"/>
      <c r="Y86" s="542"/>
    </row>
    <row r="87" spans="1:25" s="541" customFormat="1" ht="15" customHeight="1">
      <c r="A87" s="917"/>
      <c r="B87" s="920"/>
      <c r="C87" s="516" t="s">
        <v>22</v>
      </c>
      <c r="D87" s="517">
        <f>SUM(E87:O87)</f>
        <v>3318000</v>
      </c>
      <c r="E87" s="526">
        <f aca="true" t="shared" si="18" ref="E87:O87">E85+E86</f>
        <v>0</v>
      </c>
      <c r="F87" s="526">
        <f t="shared" si="18"/>
        <v>0</v>
      </c>
      <c r="G87" s="526">
        <f t="shared" si="18"/>
        <v>0</v>
      </c>
      <c r="H87" s="526">
        <f t="shared" si="18"/>
        <v>0</v>
      </c>
      <c r="I87" s="526">
        <f t="shared" si="18"/>
        <v>0</v>
      </c>
      <c r="J87" s="526">
        <f t="shared" si="18"/>
        <v>0</v>
      </c>
      <c r="K87" s="526">
        <f t="shared" si="18"/>
        <v>0</v>
      </c>
      <c r="L87" s="526">
        <f t="shared" si="18"/>
        <v>0</v>
      </c>
      <c r="M87" s="526">
        <f t="shared" si="18"/>
        <v>3318000</v>
      </c>
      <c r="N87" s="526">
        <f t="shared" si="18"/>
        <v>0</v>
      </c>
      <c r="O87" s="531">
        <f t="shared" si="18"/>
        <v>0</v>
      </c>
      <c r="P87" s="523"/>
      <c r="Q87" s="523"/>
      <c r="U87" s="542"/>
      <c r="V87" s="525"/>
      <c r="Y87" s="542"/>
    </row>
    <row r="88" spans="1:25" s="541" customFormat="1" ht="5.25" customHeight="1">
      <c r="A88" s="548"/>
      <c r="B88" s="549"/>
      <c r="C88" s="544"/>
      <c r="D88" s="535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40"/>
      <c r="P88" s="523"/>
      <c r="Q88" s="523"/>
      <c r="U88" s="542"/>
      <c r="V88" s="525"/>
      <c r="Y88" s="542"/>
    </row>
    <row r="89" spans="1:25" s="541" customFormat="1" ht="15" customHeight="1" hidden="1">
      <c r="A89" s="915" t="s">
        <v>58</v>
      </c>
      <c r="B89" s="918" t="s">
        <v>686</v>
      </c>
      <c r="C89" s="516" t="s">
        <v>20</v>
      </c>
      <c r="D89" s="517">
        <f>SUM(E89:O89)</f>
        <v>5403054</v>
      </c>
      <c r="E89" s="537">
        <v>0</v>
      </c>
      <c r="F89" s="537">
        <v>1819396</v>
      </c>
      <c r="G89" s="546">
        <v>515718</v>
      </c>
      <c r="H89" s="537">
        <v>0</v>
      </c>
      <c r="I89" s="538">
        <v>0</v>
      </c>
      <c r="J89" s="537">
        <v>0</v>
      </c>
      <c r="K89" s="539">
        <v>573020</v>
      </c>
      <c r="L89" s="546">
        <v>0</v>
      </c>
      <c r="M89" s="537">
        <v>196000</v>
      </c>
      <c r="N89" s="537">
        <v>0</v>
      </c>
      <c r="O89" s="540">
        <v>2298920</v>
      </c>
      <c r="P89" s="523">
        <v>0.38</v>
      </c>
      <c r="Q89" s="523"/>
      <c r="U89" s="542">
        <v>0.44</v>
      </c>
      <c r="V89" s="525" t="e">
        <f>U89-#REF!</f>
        <v>#REF!</v>
      </c>
      <c r="Y89" s="542"/>
    </row>
    <row r="90" spans="1:25" s="541" customFormat="1" ht="15" customHeight="1" hidden="1">
      <c r="A90" s="916"/>
      <c r="B90" s="919"/>
      <c r="C90" s="516" t="s">
        <v>21</v>
      </c>
      <c r="D90" s="517">
        <f>SUM(E90:O90)</f>
        <v>0</v>
      </c>
      <c r="E90" s="526">
        <v>0</v>
      </c>
      <c r="F90" s="526">
        <v>0</v>
      </c>
      <c r="G90" s="527">
        <v>0</v>
      </c>
      <c r="H90" s="526">
        <v>0</v>
      </c>
      <c r="I90" s="527">
        <v>0</v>
      </c>
      <c r="J90" s="526">
        <v>0</v>
      </c>
      <c r="K90" s="528">
        <v>0</v>
      </c>
      <c r="L90" s="529">
        <v>0</v>
      </c>
      <c r="M90" s="526">
        <v>0</v>
      </c>
      <c r="N90" s="526">
        <v>0</v>
      </c>
      <c r="O90" s="530">
        <v>0</v>
      </c>
      <c r="P90" s="523"/>
      <c r="Q90" s="523"/>
      <c r="U90" s="542"/>
      <c r="V90" s="525"/>
      <c r="Y90" s="542"/>
    </row>
    <row r="91" spans="1:25" s="541" customFormat="1" ht="15" customHeight="1" hidden="1">
      <c r="A91" s="917"/>
      <c r="B91" s="920"/>
      <c r="C91" s="516" t="s">
        <v>22</v>
      </c>
      <c r="D91" s="517">
        <f>SUM(E91:O91)</f>
        <v>5403054</v>
      </c>
      <c r="E91" s="526">
        <f aca="true" t="shared" si="19" ref="E91:O91">E89+E90</f>
        <v>0</v>
      </c>
      <c r="F91" s="526">
        <f t="shared" si="19"/>
        <v>1819396</v>
      </c>
      <c r="G91" s="526">
        <f t="shared" si="19"/>
        <v>515718</v>
      </c>
      <c r="H91" s="526">
        <f t="shared" si="19"/>
        <v>0</v>
      </c>
      <c r="I91" s="526">
        <f t="shared" si="19"/>
        <v>0</v>
      </c>
      <c r="J91" s="526">
        <f t="shared" si="19"/>
        <v>0</v>
      </c>
      <c r="K91" s="526">
        <f t="shared" si="19"/>
        <v>573020</v>
      </c>
      <c r="L91" s="526">
        <f t="shared" si="19"/>
        <v>0</v>
      </c>
      <c r="M91" s="526">
        <f t="shared" si="19"/>
        <v>196000</v>
      </c>
      <c r="N91" s="526">
        <f t="shared" si="19"/>
        <v>0</v>
      </c>
      <c r="O91" s="531">
        <f t="shared" si="19"/>
        <v>2298920</v>
      </c>
      <c r="P91" s="523"/>
      <c r="Q91" s="523"/>
      <c r="U91" s="542"/>
      <c r="V91" s="525"/>
      <c r="Y91" s="542"/>
    </row>
    <row r="92" spans="1:25" s="541" customFormat="1" ht="4.5" customHeight="1" hidden="1">
      <c r="A92" s="543"/>
      <c r="B92" s="544"/>
      <c r="C92" s="544"/>
      <c r="D92" s="535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540"/>
      <c r="P92" s="523"/>
      <c r="Q92" s="523"/>
      <c r="U92" s="542"/>
      <c r="V92" s="525"/>
      <c r="Y92" s="542"/>
    </row>
    <row r="93" spans="1:25" s="541" customFormat="1" ht="15.75" customHeight="1" hidden="1">
      <c r="A93" s="915" t="s">
        <v>147</v>
      </c>
      <c r="B93" s="918" t="s">
        <v>49</v>
      </c>
      <c r="C93" s="516" t="s">
        <v>20</v>
      </c>
      <c r="D93" s="517">
        <f>SUM(E93:O93)</f>
        <v>3143130</v>
      </c>
      <c r="E93" s="537">
        <v>0</v>
      </c>
      <c r="F93" s="537">
        <v>0</v>
      </c>
      <c r="G93" s="546">
        <v>0</v>
      </c>
      <c r="H93" s="537">
        <v>0</v>
      </c>
      <c r="I93" s="538">
        <v>0</v>
      </c>
      <c r="J93" s="537">
        <v>0</v>
      </c>
      <c r="K93" s="539">
        <v>0</v>
      </c>
      <c r="L93" s="546">
        <v>0</v>
      </c>
      <c r="M93" s="537">
        <v>0</v>
      </c>
      <c r="N93" s="537">
        <v>3143130</v>
      </c>
      <c r="O93" s="540">
        <v>0</v>
      </c>
      <c r="P93" s="523">
        <v>0.46</v>
      </c>
      <c r="Q93" s="523"/>
      <c r="U93" s="542">
        <v>0.47</v>
      </c>
      <c r="V93" s="525" t="e">
        <f>U93-#REF!</f>
        <v>#REF!</v>
      </c>
      <c r="Y93" s="542"/>
    </row>
    <row r="94" spans="1:25" s="541" customFormat="1" ht="15.75" customHeight="1" hidden="1">
      <c r="A94" s="916"/>
      <c r="B94" s="919"/>
      <c r="C94" s="516" t="s">
        <v>21</v>
      </c>
      <c r="D94" s="517">
        <f>SUM(E94:O94)</f>
        <v>0</v>
      </c>
      <c r="E94" s="526">
        <v>0</v>
      </c>
      <c r="F94" s="526">
        <v>0</v>
      </c>
      <c r="G94" s="527">
        <v>0</v>
      </c>
      <c r="H94" s="526">
        <v>0</v>
      </c>
      <c r="I94" s="527">
        <v>0</v>
      </c>
      <c r="J94" s="526">
        <v>0</v>
      </c>
      <c r="K94" s="528">
        <v>0</v>
      </c>
      <c r="L94" s="529">
        <v>0</v>
      </c>
      <c r="M94" s="526">
        <v>0</v>
      </c>
      <c r="N94" s="526">
        <v>0</v>
      </c>
      <c r="O94" s="530">
        <v>0</v>
      </c>
      <c r="P94" s="523"/>
      <c r="Q94" s="523"/>
      <c r="U94" s="542"/>
      <c r="V94" s="525"/>
      <c r="Y94" s="542"/>
    </row>
    <row r="95" spans="1:25" s="541" customFormat="1" ht="15.75" customHeight="1" hidden="1">
      <c r="A95" s="917"/>
      <c r="B95" s="920"/>
      <c r="C95" s="516" t="s">
        <v>22</v>
      </c>
      <c r="D95" s="517">
        <f>SUM(E95:O95)</f>
        <v>3143130</v>
      </c>
      <c r="E95" s="526">
        <f aca="true" t="shared" si="20" ref="E95:O95">E93+E94</f>
        <v>0</v>
      </c>
      <c r="F95" s="526">
        <f t="shared" si="20"/>
        <v>0</v>
      </c>
      <c r="G95" s="526">
        <f t="shared" si="20"/>
        <v>0</v>
      </c>
      <c r="H95" s="526">
        <f t="shared" si="20"/>
        <v>0</v>
      </c>
      <c r="I95" s="526">
        <f t="shared" si="20"/>
        <v>0</v>
      </c>
      <c r="J95" s="526">
        <f t="shared" si="20"/>
        <v>0</v>
      </c>
      <c r="K95" s="526">
        <f t="shared" si="20"/>
        <v>0</v>
      </c>
      <c r="L95" s="526">
        <f t="shared" si="20"/>
        <v>0</v>
      </c>
      <c r="M95" s="526">
        <f t="shared" si="20"/>
        <v>0</v>
      </c>
      <c r="N95" s="526">
        <f t="shared" si="20"/>
        <v>3143130</v>
      </c>
      <c r="O95" s="531">
        <f t="shared" si="20"/>
        <v>0</v>
      </c>
      <c r="P95" s="523"/>
      <c r="Q95" s="523"/>
      <c r="U95" s="542"/>
      <c r="V95" s="525"/>
      <c r="Y95" s="542"/>
    </row>
    <row r="96" spans="1:25" s="541" customFormat="1" ht="10.5" customHeight="1" hidden="1">
      <c r="A96" s="543"/>
      <c r="B96" s="544"/>
      <c r="C96" s="544"/>
      <c r="D96" s="535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40"/>
      <c r="P96" s="523"/>
      <c r="Q96" s="523"/>
      <c r="U96" s="542"/>
      <c r="V96" s="525"/>
      <c r="Y96" s="542"/>
    </row>
    <row r="97" spans="1:25" s="541" customFormat="1" ht="21" customHeight="1">
      <c r="A97" s="915" t="s">
        <v>60</v>
      </c>
      <c r="B97" s="918" t="s">
        <v>50</v>
      </c>
      <c r="C97" s="516" t="s">
        <v>20</v>
      </c>
      <c r="D97" s="517">
        <f>SUM(E97:O97)</f>
        <v>5168225</v>
      </c>
      <c r="E97" s="537">
        <v>0</v>
      </c>
      <c r="F97" s="537">
        <v>110000</v>
      </c>
      <c r="G97" s="546">
        <v>0</v>
      </c>
      <c r="H97" s="537">
        <v>0</v>
      </c>
      <c r="I97" s="539">
        <v>0</v>
      </c>
      <c r="J97" s="537">
        <v>0</v>
      </c>
      <c r="K97" s="537">
        <v>161118</v>
      </c>
      <c r="L97" s="537">
        <v>0</v>
      </c>
      <c r="M97" s="537">
        <v>2178000</v>
      </c>
      <c r="N97" s="537">
        <v>0</v>
      </c>
      <c r="O97" s="547">
        <v>2719107</v>
      </c>
      <c r="P97" s="523">
        <v>0.4</v>
      </c>
      <c r="Q97" s="523"/>
      <c r="U97" s="542">
        <v>0.4</v>
      </c>
      <c r="V97" s="525" t="e">
        <f>U97-#REF!</f>
        <v>#REF!</v>
      </c>
      <c r="Y97" s="542"/>
    </row>
    <row r="98" spans="1:25" s="541" customFormat="1" ht="21" customHeight="1">
      <c r="A98" s="916"/>
      <c r="B98" s="919"/>
      <c r="C98" s="516" t="s">
        <v>21</v>
      </c>
      <c r="D98" s="517">
        <f>SUM(E98:O98)</f>
        <v>-1044398</v>
      </c>
      <c r="E98" s="526">
        <v>0</v>
      </c>
      <c r="F98" s="526">
        <v>0</v>
      </c>
      <c r="G98" s="527">
        <v>0</v>
      </c>
      <c r="H98" s="526">
        <v>0</v>
      </c>
      <c r="I98" s="527">
        <v>0</v>
      </c>
      <c r="J98" s="526">
        <v>0</v>
      </c>
      <c r="K98" s="528">
        <v>-8398</v>
      </c>
      <c r="L98" s="529">
        <v>0</v>
      </c>
      <c r="M98" s="526">
        <v>0</v>
      </c>
      <c r="N98" s="526">
        <v>0</v>
      </c>
      <c r="O98" s="530">
        <v>-1036000</v>
      </c>
      <c r="P98" s="523"/>
      <c r="Q98" s="523"/>
      <c r="U98" s="542"/>
      <c r="V98" s="525"/>
      <c r="Y98" s="542"/>
    </row>
    <row r="99" spans="1:25" s="541" customFormat="1" ht="21" customHeight="1">
      <c r="A99" s="917"/>
      <c r="B99" s="920"/>
      <c r="C99" s="516" t="s">
        <v>22</v>
      </c>
      <c r="D99" s="517">
        <f>SUM(E99:O99)</f>
        <v>4123827</v>
      </c>
      <c r="E99" s="526">
        <f aca="true" t="shared" si="21" ref="E99:O99">E97+E98</f>
        <v>0</v>
      </c>
      <c r="F99" s="526">
        <f t="shared" si="21"/>
        <v>110000</v>
      </c>
      <c r="G99" s="526">
        <f t="shared" si="21"/>
        <v>0</v>
      </c>
      <c r="H99" s="526">
        <f t="shared" si="21"/>
        <v>0</v>
      </c>
      <c r="I99" s="526">
        <f t="shared" si="21"/>
        <v>0</v>
      </c>
      <c r="J99" s="526">
        <f t="shared" si="21"/>
        <v>0</v>
      </c>
      <c r="K99" s="526">
        <f t="shared" si="21"/>
        <v>152720</v>
      </c>
      <c r="L99" s="526">
        <f t="shared" si="21"/>
        <v>0</v>
      </c>
      <c r="M99" s="526">
        <f t="shared" si="21"/>
        <v>2178000</v>
      </c>
      <c r="N99" s="526">
        <f t="shared" si="21"/>
        <v>0</v>
      </c>
      <c r="O99" s="531">
        <f t="shared" si="21"/>
        <v>1683107</v>
      </c>
      <c r="P99" s="523"/>
      <c r="Q99" s="523"/>
      <c r="U99" s="542"/>
      <c r="V99" s="525"/>
      <c r="Y99" s="542"/>
    </row>
    <row r="100" spans="1:25" s="514" customFormat="1" ht="5.25" customHeight="1" thickBot="1">
      <c r="A100" s="550"/>
      <c r="B100" s="551"/>
      <c r="C100" s="544"/>
      <c r="D100" s="508"/>
      <c r="E100" s="509"/>
      <c r="F100" s="510"/>
      <c r="G100" s="510"/>
      <c r="H100" s="511"/>
      <c r="I100" s="510"/>
      <c r="J100" s="510"/>
      <c r="K100" s="512"/>
      <c r="L100" s="510"/>
      <c r="M100" s="510"/>
      <c r="N100" s="510"/>
      <c r="O100" s="513"/>
      <c r="P100" s="497"/>
      <c r="Q100" s="497"/>
      <c r="U100" s="515"/>
      <c r="V100" s="515"/>
      <c r="Y100" s="515"/>
    </row>
    <row r="101" spans="1:25" s="498" customFormat="1" ht="18" customHeight="1">
      <c r="A101" s="932"/>
      <c r="B101" s="935" t="s">
        <v>687</v>
      </c>
      <c r="C101" s="552" t="s">
        <v>20</v>
      </c>
      <c r="D101" s="495">
        <f>SUM(E101:O101)</f>
        <v>196869026</v>
      </c>
      <c r="E101" s="553">
        <f>E105+E109+E113+E117+E121+E125+E129+E133+E141+E137</f>
        <v>0</v>
      </c>
      <c r="F101" s="553">
        <f aca="true" t="shared" si="22" ref="F101:O103">F105+F109+F113+F117+F121+F125+F129+F133+F141+F137</f>
        <v>3831100</v>
      </c>
      <c r="G101" s="553">
        <f t="shared" si="22"/>
        <v>159709627</v>
      </c>
      <c r="H101" s="553">
        <f t="shared" si="22"/>
        <v>456000</v>
      </c>
      <c r="I101" s="553">
        <f t="shared" si="22"/>
        <v>10490000</v>
      </c>
      <c r="J101" s="553">
        <f t="shared" si="22"/>
        <v>0</v>
      </c>
      <c r="K101" s="553">
        <f t="shared" si="22"/>
        <v>2922125</v>
      </c>
      <c r="L101" s="553">
        <f t="shared" si="22"/>
        <v>0</v>
      </c>
      <c r="M101" s="553">
        <f t="shared" si="22"/>
        <v>7800000</v>
      </c>
      <c r="N101" s="553">
        <f t="shared" si="22"/>
        <v>1577808</v>
      </c>
      <c r="O101" s="553">
        <f t="shared" si="22"/>
        <v>10082366</v>
      </c>
      <c r="P101" s="497">
        <f>SUM(P105:P125)</f>
        <v>101.63</v>
      </c>
      <c r="Q101" s="497" t="e">
        <f>Q105+Q109+Q113+#REF!+Q125+#REF!+#REF!+#REF!</f>
        <v>#REF!</v>
      </c>
      <c r="U101" s="499">
        <f>SUM(U105:U125)</f>
        <v>101.44</v>
      </c>
      <c r="V101" s="499"/>
      <c r="Y101" s="499"/>
    </row>
    <row r="102" spans="1:25" s="498" customFormat="1" ht="18" customHeight="1">
      <c r="A102" s="933"/>
      <c r="B102" s="936"/>
      <c r="C102" s="554" t="s">
        <v>21</v>
      </c>
      <c r="D102" s="501">
        <f>SUM(E102:O102)</f>
        <v>1157589</v>
      </c>
      <c r="E102" s="501">
        <f>E106+E110+E114+E118+E122+E126+E130+E134+E142+E138</f>
        <v>0</v>
      </c>
      <c r="F102" s="501">
        <f t="shared" si="22"/>
        <v>1000000</v>
      </c>
      <c r="G102" s="501">
        <f t="shared" si="22"/>
        <v>-6697</v>
      </c>
      <c r="H102" s="501">
        <f t="shared" si="22"/>
        <v>0</v>
      </c>
      <c r="I102" s="501">
        <f t="shared" si="22"/>
        <v>0</v>
      </c>
      <c r="J102" s="501">
        <f t="shared" si="22"/>
        <v>123132</v>
      </c>
      <c r="K102" s="501">
        <f t="shared" si="22"/>
        <v>-96778</v>
      </c>
      <c r="L102" s="501">
        <f t="shared" si="22"/>
        <v>0</v>
      </c>
      <c r="M102" s="501">
        <f t="shared" si="22"/>
        <v>0</v>
      </c>
      <c r="N102" s="501">
        <f t="shared" si="22"/>
        <v>137932</v>
      </c>
      <c r="O102" s="501">
        <f t="shared" si="22"/>
        <v>0</v>
      </c>
      <c r="P102" s="497"/>
      <c r="Q102" s="497"/>
      <c r="U102" s="499"/>
      <c r="V102" s="499"/>
      <c r="Y102" s="499"/>
    </row>
    <row r="103" spans="1:25" s="498" customFormat="1" ht="18" customHeight="1" thickBot="1">
      <c r="A103" s="934"/>
      <c r="B103" s="937"/>
      <c r="C103" s="555" t="s">
        <v>22</v>
      </c>
      <c r="D103" s="504">
        <f>SUM(E103:O103)</f>
        <v>198026615</v>
      </c>
      <c r="E103" s="504">
        <f>E107+E111+E115+E119+E123+E127+E131+E135+E143+E139</f>
        <v>0</v>
      </c>
      <c r="F103" s="504">
        <f t="shared" si="22"/>
        <v>4831100</v>
      </c>
      <c r="G103" s="504">
        <f t="shared" si="22"/>
        <v>159702930</v>
      </c>
      <c r="H103" s="504">
        <f t="shared" si="22"/>
        <v>456000</v>
      </c>
      <c r="I103" s="504">
        <f t="shared" si="22"/>
        <v>10490000</v>
      </c>
      <c r="J103" s="504">
        <f t="shared" si="22"/>
        <v>123132</v>
      </c>
      <c r="K103" s="504">
        <f t="shared" si="22"/>
        <v>2825347</v>
      </c>
      <c r="L103" s="504">
        <f t="shared" si="22"/>
        <v>0</v>
      </c>
      <c r="M103" s="504">
        <f t="shared" si="22"/>
        <v>7800000</v>
      </c>
      <c r="N103" s="504">
        <f t="shared" si="22"/>
        <v>1715740</v>
      </c>
      <c r="O103" s="504">
        <f t="shared" si="22"/>
        <v>10082366</v>
      </c>
      <c r="P103" s="497"/>
      <c r="Q103" s="497"/>
      <c r="U103" s="499"/>
      <c r="V103" s="499"/>
      <c r="Y103" s="499"/>
    </row>
    <row r="104" spans="1:25" s="514" customFormat="1" ht="6" customHeight="1">
      <c r="A104" s="556"/>
      <c r="B104" s="551"/>
      <c r="C104" s="551"/>
      <c r="D104" s="508"/>
      <c r="E104" s="509"/>
      <c r="F104" s="510"/>
      <c r="G104" s="510"/>
      <c r="H104" s="511"/>
      <c r="I104" s="510"/>
      <c r="J104" s="510"/>
      <c r="K104" s="512"/>
      <c r="L104" s="510"/>
      <c r="M104" s="510"/>
      <c r="N104" s="510"/>
      <c r="O104" s="513"/>
      <c r="P104" s="497"/>
      <c r="Q104" s="497"/>
      <c r="U104" s="515"/>
      <c r="V104" s="515"/>
      <c r="Y104" s="515"/>
    </row>
    <row r="105" spans="1:25" s="524" customFormat="1" ht="20.25" customHeight="1" hidden="1">
      <c r="A105" s="927" t="s">
        <v>23</v>
      </c>
      <c r="B105" s="928" t="s">
        <v>682</v>
      </c>
      <c r="C105" s="516" t="s">
        <v>20</v>
      </c>
      <c r="D105" s="517">
        <f aca="true" t="shared" si="23" ref="D105:D143">SUM(E105:O105)</f>
        <v>23440597</v>
      </c>
      <c r="E105" s="518">
        <v>0</v>
      </c>
      <c r="F105" s="518">
        <v>0</v>
      </c>
      <c r="G105" s="518">
        <v>17029000</v>
      </c>
      <c r="H105" s="518">
        <v>13000</v>
      </c>
      <c r="I105" s="518">
        <v>3012000</v>
      </c>
      <c r="J105" s="518">
        <v>0</v>
      </c>
      <c r="K105" s="518">
        <v>2586597</v>
      </c>
      <c r="L105" s="518">
        <v>0</v>
      </c>
      <c r="M105" s="518">
        <v>800000</v>
      </c>
      <c r="N105" s="518">
        <v>0</v>
      </c>
      <c r="O105" s="557">
        <v>0</v>
      </c>
      <c r="P105" s="523">
        <v>12.87</v>
      </c>
      <c r="Q105" s="523"/>
      <c r="U105" s="525">
        <v>19.06</v>
      </c>
      <c r="V105" s="525"/>
      <c r="Y105" s="525"/>
    </row>
    <row r="106" spans="1:25" s="524" customFormat="1" ht="20.25" customHeight="1" hidden="1">
      <c r="A106" s="927"/>
      <c r="B106" s="928"/>
      <c r="C106" s="516" t="s">
        <v>21</v>
      </c>
      <c r="D106" s="517">
        <f t="shared" si="23"/>
        <v>0</v>
      </c>
      <c r="E106" s="526">
        <v>0</v>
      </c>
      <c r="F106" s="526">
        <v>0</v>
      </c>
      <c r="G106" s="527">
        <v>0</v>
      </c>
      <c r="H106" s="526">
        <v>0</v>
      </c>
      <c r="I106" s="527">
        <v>0</v>
      </c>
      <c r="J106" s="526">
        <v>0</v>
      </c>
      <c r="K106" s="528">
        <v>0</v>
      </c>
      <c r="L106" s="529">
        <v>0</v>
      </c>
      <c r="M106" s="526">
        <v>0</v>
      </c>
      <c r="N106" s="526">
        <v>0</v>
      </c>
      <c r="O106" s="530">
        <v>0</v>
      </c>
      <c r="P106" s="523"/>
      <c r="Q106" s="523"/>
      <c r="U106" s="525"/>
      <c r="V106" s="525"/>
      <c r="Y106" s="525"/>
    </row>
    <row r="107" spans="1:25" s="524" customFormat="1" ht="20.25" customHeight="1" hidden="1">
      <c r="A107" s="927"/>
      <c r="B107" s="928"/>
      <c r="C107" s="516" t="s">
        <v>22</v>
      </c>
      <c r="D107" s="517">
        <f t="shared" si="23"/>
        <v>23440597</v>
      </c>
      <c r="E107" s="526">
        <f aca="true" t="shared" si="24" ref="E107:O107">E105+E106</f>
        <v>0</v>
      </c>
      <c r="F107" s="526">
        <f t="shared" si="24"/>
        <v>0</v>
      </c>
      <c r="G107" s="526">
        <f t="shared" si="24"/>
        <v>17029000</v>
      </c>
      <c r="H107" s="526">
        <f t="shared" si="24"/>
        <v>13000</v>
      </c>
      <c r="I107" s="526">
        <f t="shared" si="24"/>
        <v>3012000</v>
      </c>
      <c r="J107" s="526">
        <f t="shared" si="24"/>
        <v>0</v>
      </c>
      <c r="K107" s="526">
        <f t="shared" si="24"/>
        <v>2586597</v>
      </c>
      <c r="L107" s="526">
        <f t="shared" si="24"/>
        <v>0</v>
      </c>
      <c r="M107" s="526">
        <f t="shared" si="24"/>
        <v>800000</v>
      </c>
      <c r="N107" s="526">
        <f t="shared" si="24"/>
        <v>0</v>
      </c>
      <c r="O107" s="531">
        <f t="shared" si="24"/>
        <v>0</v>
      </c>
      <c r="P107" s="523"/>
      <c r="Q107" s="523"/>
      <c r="U107" s="525"/>
      <c r="V107" s="525"/>
      <c r="Y107" s="525"/>
    </row>
    <row r="108" spans="1:25" s="524" customFormat="1" ht="20.25" customHeight="1" hidden="1">
      <c r="A108" s="532"/>
      <c r="B108" s="533"/>
      <c r="C108" s="533"/>
      <c r="D108" s="535"/>
      <c r="E108" s="520"/>
      <c r="F108" s="520"/>
      <c r="G108" s="520"/>
      <c r="H108" s="520"/>
      <c r="I108" s="520"/>
      <c r="J108" s="520"/>
      <c r="K108" s="520"/>
      <c r="L108" s="520"/>
      <c r="M108" s="520"/>
      <c r="N108" s="520"/>
      <c r="O108" s="522"/>
      <c r="P108" s="523"/>
      <c r="Q108" s="523"/>
      <c r="U108" s="525"/>
      <c r="V108" s="525"/>
      <c r="Y108" s="525"/>
    </row>
    <row r="109" spans="1:25" s="541" customFormat="1" ht="16.5" customHeight="1">
      <c r="A109" s="915" t="s">
        <v>27</v>
      </c>
      <c r="B109" s="918" t="s">
        <v>28</v>
      </c>
      <c r="C109" s="516" t="s">
        <v>20</v>
      </c>
      <c r="D109" s="517">
        <f t="shared" si="23"/>
        <v>18621274</v>
      </c>
      <c r="E109" s="537">
        <v>0</v>
      </c>
      <c r="F109" s="537">
        <v>81100</v>
      </c>
      <c r="G109" s="546">
        <v>0</v>
      </c>
      <c r="H109" s="537">
        <v>0</v>
      </c>
      <c r="I109" s="538">
        <v>0</v>
      </c>
      <c r="J109" s="537">
        <v>0</v>
      </c>
      <c r="K109" s="538">
        <v>0</v>
      </c>
      <c r="L109" s="546">
        <v>0</v>
      </c>
      <c r="M109" s="537">
        <v>7000000</v>
      </c>
      <c r="N109" s="537">
        <v>1577808</v>
      </c>
      <c r="O109" s="540">
        <v>9962366</v>
      </c>
      <c r="P109" s="523">
        <v>2.81</v>
      </c>
      <c r="Q109" s="523"/>
      <c r="U109" s="542">
        <v>3.33</v>
      </c>
      <c r="V109" s="542"/>
      <c r="Y109" s="542"/>
    </row>
    <row r="110" spans="1:25" s="541" customFormat="1" ht="16.5" customHeight="1">
      <c r="A110" s="916"/>
      <c r="B110" s="919"/>
      <c r="C110" s="516" t="s">
        <v>21</v>
      </c>
      <c r="D110" s="517">
        <f>SUM(E110:O110)</f>
        <v>123132</v>
      </c>
      <c r="E110" s="526">
        <v>0</v>
      </c>
      <c r="F110" s="526">
        <v>0</v>
      </c>
      <c r="G110" s="527">
        <v>0</v>
      </c>
      <c r="H110" s="526">
        <v>0</v>
      </c>
      <c r="I110" s="527">
        <v>0</v>
      </c>
      <c r="J110" s="526">
        <v>123132</v>
      </c>
      <c r="K110" s="528">
        <v>0</v>
      </c>
      <c r="L110" s="529">
        <v>0</v>
      </c>
      <c r="M110" s="526">
        <v>0</v>
      </c>
      <c r="N110" s="526">
        <v>0</v>
      </c>
      <c r="O110" s="530">
        <v>0</v>
      </c>
      <c r="P110" s="523"/>
      <c r="Q110" s="523"/>
      <c r="U110" s="542"/>
      <c r="V110" s="542"/>
      <c r="Y110" s="542"/>
    </row>
    <row r="111" spans="1:25" s="541" customFormat="1" ht="16.5" customHeight="1">
      <c r="A111" s="917"/>
      <c r="B111" s="920"/>
      <c r="C111" s="516" t="s">
        <v>22</v>
      </c>
      <c r="D111" s="517">
        <f>SUM(E111:O111)</f>
        <v>18744406</v>
      </c>
      <c r="E111" s="526">
        <f aca="true" t="shared" si="25" ref="E111:O111">E109+E110</f>
        <v>0</v>
      </c>
      <c r="F111" s="526">
        <f t="shared" si="25"/>
        <v>81100</v>
      </c>
      <c r="G111" s="526">
        <f t="shared" si="25"/>
        <v>0</v>
      </c>
      <c r="H111" s="526">
        <f t="shared" si="25"/>
        <v>0</v>
      </c>
      <c r="I111" s="526">
        <f t="shared" si="25"/>
        <v>0</v>
      </c>
      <c r="J111" s="526">
        <f t="shared" si="25"/>
        <v>123132</v>
      </c>
      <c r="K111" s="526">
        <f t="shared" si="25"/>
        <v>0</v>
      </c>
      <c r="L111" s="526">
        <f t="shared" si="25"/>
        <v>0</v>
      </c>
      <c r="M111" s="526">
        <f t="shared" si="25"/>
        <v>7000000</v>
      </c>
      <c r="N111" s="526">
        <f t="shared" si="25"/>
        <v>1577808</v>
      </c>
      <c r="O111" s="531">
        <f t="shared" si="25"/>
        <v>9962366</v>
      </c>
      <c r="P111" s="523"/>
      <c r="Q111" s="523"/>
      <c r="U111" s="542"/>
      <c r="V111" s="542"/>
      <c r="Y111" s="542"/>
    </row>
    <row r="112" spans="1:25" s="541" customFormat="1" ht="6" customHeight="1">
      <c r="A112" s="543"/>
      <c r="B112" s="544"/>
      <c r="C112" s="533"/>
      <c r="D112" s="535"/>
      <c r="E112" s="538"/>
      <c r="F112" s="538"/>
      <c r="G112" s="538"/>
      <c r="H112" s="538"/>
      <c r="I112" s="538"/>
      <c r="J112" s="538"/>
      <c r="K112" s="538"/>
      <c r="L112" s="538"/>
      <c r="M112" s="538"/>
      <c r="N112" s="538"/>
      <c r="O112" s="540"/>
      <c r="P112" s="523"/>
      <c r="Q112" s="523"/>
      <c r="U112" s="542"/>
      <c r="V112" s="542"/>
      <c r="Y112" s="542"/>
    </row>
    <row r="113" spans="1:25" s="464" customFormat="1" ht="20.25" customHeight="1" hidden="1">
      <c r="A113" s="915" t="s">
        <v>32</v>
      </c>
      <c r="B113" s="929" t="s">
        <v>33</v>
      </c>
      <c r="C113" s="516" t="s">
        <v>20</v>
      </c>
      <c r="D113" s="517">
        <f t="shared" si="23"/>
        <v>3750000</v>
      </c>
      <c r="E113" s="537">
        <v>0</v>
      </c>
      <c r="F113" s="537">
        <v>3750000</v>
      </c>
      <c r="G113" s="546">
        <v>0</v>
      </c>
      <c r="H113" s="537">
        <v>0</v>
      </c>
      <c r="I113" s="539">
        <v>0</v>
      </c>
      <c r="J113" s="537">
        <v>0</v>
      </c>
      <c r="K113" s="539">
        <v>0</v>
      </c>
      <c r="L113" s="537">
        <v>0</v>
      </c>
      <c r="M113" s="537">
        <v>0</v>
      </c>
      <c r="N113" s="537">
        <v>0</v>
      </c>
      <c r="O113" s="540">
        <v>0</v>
      </c>
      <c r="P113" s="523">
        <v>4.42</v>
      </c>
      <c r="Q113" s="523"/>
      <c r="U113" s="545">
        <v>4.46</v>
      </c>
      <c r="V113" s="545"/>
      <c r="Y113" s="545"/>
    </row>
    <row r="114" spans="1:25" s="464" customFormat="1" ht="20.25" customHeight="1" hidden="1">
      <c r="A114" s="916"/>
      <c r="B114" s="930"/>
      <c r="C114" s="516" t="s">
        <v>21</v>
      </c>
      <c r="D114" s="517">
        <f t="shared" si="23"/>
        <v>0</v>
      </c>
      <c r="E114" s="526">
        <v>0</v>
      </c>
      <c r="F114" s="526">
        <v>0</v>
      </c>
      <c r="G114" s="527">
        <v>0</v>
      </c>
      <c r="H114" s="526">
        <v>0</v>
      </c>
      <c r="I114" s="527">
        <v>0</v>
      </c>
      <c r="J114" s="526">
        <v>0</v>
      </c>
      <c r="K114" s="528">
        <v>0</v>
      </c>
      <c r="L114" s="529">
        <v>0</v>
      </c>
      <c r="M114" s="526">
        <v>0</v>
      </c>
      <c r="N114" s="526">
        <v>0</v>
      </c>
      <c r="O114" s="530">
        <v>0</v>
      </c>
      <c r="P114" s="523"/>
      <c r="Q114" s="523"/>
      <c r="U114" s="545"/>
      <c r="V114" s="545"/>
      <c r="Y114" s="545"/>
    </row>
    <row r="115" spans="1:25" s="464" customFormat="1" ht="20.25" customHeight="1" hidden="1">
      <c r="A115" s="917"/>
      <c r="B115" s="931"/>
      <c r="C115" s="516" t="s">
        <v>22</v>
      </c>
      <c r="D115" s="517">
        <f t="shared" si="23"/>
        <v>3750000</v>
      </c>
      <c r="E115" s="526">
        <f aca="true" t="shared" si="26" ref="E115:O115">E113+E114</f>
        <v>0</v>
      </c>
      <c r="F115" s="526">
        <f t="shared" si="26"/>
        <v>3750000</v>
      </c>
      <c r="G115" s="526">
        <f t="shared" si="26"/>
        <v>0</v>
      </c>
      <c r="H115" s="526">
        <f t="shared" si="26"/>
        <v>0</v>
      </c>
      <c r="I115" s="526">
        <f t="shared" si="26"/>
        <v>0</v>
      </c>
      <c r="J115" s="526">
        <f t="shared" si="26"/>
        <v>0</v>
      </c>
      <c r="K115" s="526">
        <f t="shared" si="26"/>
        <v>0</v>
      </c>
      <c r="L115" s="526">
        <f t="shared" si="26"/>
        <v>0</v>
      </c>
      <c r="M115" s="526">
        <f t="shared" si="26"/>
        <v>0</v>
      </c>
      <c r="N115" s="526">
        <f t="shared" si="26"/>
        <v>0</v>
      </c>
      <c r="O115" s="531">
        <f t="shared" si="26"/>
        <v>0</v>
      </c>
      <c r="P115" s="523"/>
      <c r="Q115" s="523"/>
      <c r="U115" s="545"/>
      <c r="V115" s="545"/>
      <c r="Y115" s="545"/>
    </row>
    <row r="116" spans="1:25" s="464" customFormat="1" ht="9" customHeight="1" hidden="1">
      <c r="A116" s="543"/>
      <c r="B116" s="544"/>
      <c r="C116" s="533"/>
      <c r="D116" s="535"/>
      <c r="E116" s="538"/>
      <c r="F116" s="538"/>
      <c r="G116" s="538"/>
      <c r="H116" s="538"/>
      <c r="I116" s="538"/>
      <c r="J116" s="538"/>
      <c r="K116" s="538"/>
      <c r="L116" s="538"/>
      <c r="M116" s="538"/>
      <c r="N116" s="538"/>
      <c r="O116" s="540"/>
      <c r="P116" s="523"/>
      <c r="Q116" s="523"/>
      <c r="U116" s="545"/>
      <c r="V116" s="545"/>
      <c r="Y116" s="545"/>
    </row>
    <row r="117" spans="1:25" s="464" customFormat="1" ht="20.25" customHeight="1" hidden="1">
      <c r="A117" s="915" t="s">
        <v>317</v>
      </c>
      <c r="B117" s="918" t="s">
        <v>318</v>
      </c>
      <c r="C117" s="516" t="s">
        <v>20</v>
      </c>
      <c r="D117" s="517">
        <f t="shared" si="23"/>
        <v>0</v>
      </c>
      <c r="E117" s="537">
        <v>0</v>
      </c>
      <c r="F117" s="537">
        <v>0</v>
      </c>
      <c r="G117" s="546">
        <v>0</v>
      </c>
      <c r="H117" s="537">
        <v>0</v>
      </c>
      <c r="I117" s="538">
        <v>0</v>
      </c>
      <c r="J117" s="537">
        <v>0</v>
      </c>
      <c r="K117" s="539">
        <v>0</v>
      </c>
      <c r="L117" s="546">
        <v>0</v>
      </c>
      <c r="M117" s="537">
        <v>0</v>
      </c>
      <c r="N117" s="537">
        <v>0</v>
      </c>
      <c r="O117" s="540">
        <v>0</v>
      </c>
      <c r="P117" s="523">
        <v>2.03</v>
      </c>
      <c r="Q117" s="523"/>
      <c r="U117" s="545">
        <v>7.37</v>
      </c>
      <c r="V117" s="545"/>
      <c r="Y117" s="545"/>
    </row>
    <row r="118" spans="1:25" s="464" customFormat="1" ht="20.25" customHeight="1" hidden="1">
      <c r="A118" s="916"/>
      <c r="B118" s="919"/>
      <c r="C118" s="516" t="s">
        <v>21</v>
      </c>
      <c r="D118" s="517">
        <f>SUM(E118:O118)</f>
        <v>0</v>
      </c>
      <c r="E118" s="526">
        <v>0</v>
      </c>
      <c r="F118" s="526">
        <v>0</v>
      </c>
      <c r="G118" s="527">
        <v>0</v>
      </c>
      <c r="H118" s="526">
        <v>0</v>
      </c>
      <c r="I118" s="527">
        <v>0</v>
      </c>
      <c r="J118" s="526">
        <v>0</v>
      </c>
      <c r="K118" s="528">
        <v>0</v>
      </c>
      <c r="L118" s="529">
        <v>0</v>
      </c>
      <c r="M118" s="526">
        <v>0</v>
      </c>
      <c r="N118" s="526">
        <v>0</v>
      </c>
      <c r="O118" s="530">
        <v>0</v>
      </c>
      <c r="P118" s="523"/>
      <c r="Q118" s="523"/>
      <c r="U118" s="545"/>
      <c r="V118" s="545"/>
      <c r="Y118" s="545"/>
    </row>
    <row r="119" spans="1:25" s="464" customFormat="1" ht="20.25" customHeight="1" hidden="1">
      <c r="A119" s="917"/>
      <c r="B119" s="920"/>
      <c r="C119" s="516" t="s">
        <v>22</v>
      </c>
      <c r="D119" s="517">
        <f>SUM(E119:O119)</f>
        <v>0</v>
      </c>
      <c r="E119" s="526">
        <f aca="true" t="shared" si="27" ref="E119:O119">E117+E118</f>
        <v>0</v>
      </c>
      <c r="F119" s="526">
        <f t="shared" si="27"/>
        <v>0</v>
      </c>
      <c r="G119" s="526">
        <f t="shared" si="27"/>
        <v>0</v>
      </c>
      <c r="H119" s="526">
        <f t="shared" si="27"/>
        <v>0</v>
      </c>
      <c r="I119" s="526">
        <f t="shared" si="27"/>
        <v>0</v>
      </c>
      <c r="J119" s="526">
        <f t="shared" si="27"/>
        <v>0</v>
      </c>
      <c r="K119" s="526">
        <f t="shared" si="27"/>
        <v>0</v>
      </c>
      <c r="L119" s="526">
        <f t="shared" si="27"/>
        <v>0</v>
      </c>
      <c r="M119" s="526">
        <f t="shared" si="27"/>
        <v>0</v>
      </c>
      <c r="N119" s="526">
        <f t="shared" si="27"/>
        <v>0</v>
      </c>
      <c r="O119" s="531">
        <f t="shared" si="27"/>
        <v>0</v>
      </c>
      <c r="P119" s="523"/>
      <c r="Q119" s="523"/>
      <c r="U119" s="545"/>
      <c r="V119" s="545"/>
      <c r="Y119" s="545"/>
    </row>
    <row r="120" spans="1:25" s="464" customFormat="1" ht="9" customHeight="1" hidden="1">
      <c r="A120" s="543"/>
      <c r="B120" s="544"/>
      <c r="C120" s="533"/>
      <c r="D120" s="535"/>
      <c r="E120" s="538"/>
      <c r="F120" s="538"/>
      <c r="G120" s="538"/>
      <c r="H120" s="538"/>
      <c r="I120" s="538"/>
      <c r="J120" s="538"/>
      <c r="K120" s="538"/>
      <c r="L120" s="538"/>
      <c r="M120" s="538"/>
      <c r="N120" s="538"/>
      <c r="O120" s="540"/>
      <c r="P120" s="523"/>
      <c r="Q120" s="523"/>
      <c r="U120" s="545"/>
      <c r="V120" s="545"/>
      <c r="Y120" s="545"/>
    </row>
    <row r="121" spans="1:25" s="541" customFormat="1" ht="20.25" customHeight="1" hidden="1">
      <c r="A121" s="915" t="s">
        <v>38</v>
      </c>
      <c r="B121" s="918" t="s">
        <v>39</v>
      </c>
      <c r="C121" s="516" t="s">
        <v>20</v>
      </c>
      <c r="D121" s="517">
        <f t="shared" si="23"/>
        <v>20000</v>
      </c>
      <c r="E121" s="537">
        <v>0</v>
      </c>
      <c r="F121" s="537">
        <v>0</v>
      </c>
      <c r="G121" s="546">
        <v>0</v>
      </c>
      <c r="H121" s="537">
        <v>17000</v>
      </c>
      <c r="I121" s="539">
        <v>3000</v>
      </c>
      <c r="J121" s="537">
        <v>0</v>
      </c>
      <c r="K121" s="539">
        <v>0</v>
      </c>
      <c r="L121" s="537">
        <v>0</v>
      </c>
      <c r="M121" s="537">
        <v>0</v>
      </c>
      <c r="N121" s="537">
        <v>0</v>
      </c>
      <c r="O121" s="540">
        <v>0</v>
      </c>
      <c r="P121" s="523">
        <v>1.87</v>
      </c>
      <c r="Q121" s="523"/>
      <c r="U121" s="542">
        <v>1.47</v>
      </c>
      <c r="V121" s="525" t="e">
        <f>U121-#REF!</f>
        <v>#REF!</v>
      </c>
      <c r="Y121" s="542"/>
    </row>
    <row r="122" spans="1:25" s="541" customFormat="1" ht="20.25" customHeight="1" hidden="1">
      <c r="A122" s="916"/>
      <c r="B122" s="919"/>
      <c r="C122" s="516" t="s">
        <v>21</v>
      </c>
      <c r="D122" s="517">
        <f t="shared" si="23"/>
        <v>0</v>
      </c>
      <c r="E122" s="526">
        <v>0</v>
      </c>
      <c r="F122" s="526">
        <v>0</v>
      </c>
      <c r="G122" s="527">
        <v>0</v>
      </c>
      <c r="H122" s="526">
        <v>0</v>
      </c>
      <c r="I122" s="527">
        <v>0</v>
      </c>
      <c r="J122" s="526">
        <v>0</v>
      </c>
      <c r="K122" s="528">
        <v>0</v>
      </c>
      <c r="L122" s="529">
        <v>0</v>
      </c>
      <c r="M122" s="526">
        <v>0</v>
      </c>
      <c r="N122" s="526">
        <v>0</v>
      </c>
      <c r="O122" s="530">
        <v>0</v>
      </c>
      <c r="P122" s="523"/>
      <c r="Q122" s="523"/>
      <c r="U122" s="542"/>
      <c r="V122" s="525"/>
      <c r="Y122" s="542"/>
    </row>
    <row r="123" spans="1:25" s="541" customFormat="1" ht="20.25" customHeight="1" hidden="1">
      <c r="A123" s="917"/>
      <c r="B123" s="920"/>
      <c r="C123" s="516" t="s">
        <v>22</v>
      </c>
      <c r="D123" s="517">
        <f t="shared" si="23"/>
        <v>20000</v>
      </c>
      <c r="E123" s="526">
        <f aca="true" t="shared" si="28" ref="E123:O123">E121+E122</f>
        <v>0</v>
      </c>
      <c r="F123" s="526">
        <f t="shared" si="28"/>
        <v>0</v>
      </c>
      <c r="G123" s="526">
        <f t="shared" si="28"/>
        <v>0</v>
      </c>
      <c r="H123" s="526">
        <f t="shared" si="28"/>
        <v>17000</v>
      </c>
      <c r="I123" s="526">
        <f t="shared" si="28"/>
        <v>3000</v>
      </c>
      <c r="J123" s="526">
        <f t="shared" si="28"/>
        <v>0</v>
      </c>
      <c r="K123" s="526">
        <f t="shared" si="28"/>
        <v>0</v>
      </c>
      <c r="L123" s="526">
        <f t="shared" si="28"/>
        <v>0</v>
      </c>
      <c r="M123" s="526">
        <f t="shared" si="28"/>
        <v>0</v>
      </c>
      <c r="N123" s="526">
        <f t="shared" si="28"/>
        <v>0</v>
      </c>
      <c r="O123" s="531">
        <f t="shared" si="28"/>
        <v>0</v>
      </c>
      <c r="P123" s="523"/>
      <c r="Q123" s="523"/>
      <c r="U123" s="542"/>
      <c r="V123" s="525"/>
      <c r="Y123" s="542"/>
    </row>
    <row r="124" spans="1:25" s="541" customFormat="1" ht="20.25" customHeight="1" hidden="1">
      <c r="A124" s="543"/>
      <c r="B124" s="544"/>
      <c r="C124" s="533"/>
      <c r="D124" s="535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40"/>
      <c r="P124" s="523"/>
      <c r="Q124" s="523"/>
      <c r="U124" s="542"/>
      <c r="V124" s="525"/>
      <c r="Y124" s="542"/>
    </row>
    <row r="125" spans="1:25" s="541" customFormat="1" ht="16.5" customHeight="1">
      <c r="A125" s="915" t="s">
        <v>337</v>
      </c>
      <c r="B125" s="918" t="s">
        <v>338</v>
      </c>
      <c r="C125" s="516" t="s">
        <v>20</v>
      </c>
      <c r="D125" s="517">
        <f t="shared" si="23"/>
        <v>150478402</v>
      </c>
      <c r="E125" s="537">
        <v>0</v>
      </c>
      <c r="F125" s="537">
        <v>0</v>
      </c>
      <c r="G125" s="537">
        <v>142662402</v>
      </c>
      <c r="H125" s="546">
        <v>341000</v>
      </c>
      <c r="I125" s="537">
        <v>7475000</v>
      </c>
      <c r="J125" s="537">
        <v>0</v>
      </c>
      <c r="K125" s="539">
        <v>0</v>
      </c>
      <c r="L125" s="546">
        <v>0</v>
      </c>
      <c r="M125" s="537">
        <v>0</v>
      </c>
      <c r="N125" s="537">
        <v>0</v>
      </c>
      <c r="O125" s="547">
        <v>0</v>
      </c>
      <c r="P125" s="523">
        <v>77.63</v>
      </c>
      <c r="Q125" s="523"/>
      <c r="U125" s="542">
        <f>65.74+0.01</f>
        <v>65.75</v>
      </c>
      <c r="V125" s="542"/>
      <c r="Y125" s="542"/>
    </row>
    <row r="126" spans="1:25" s="541" customFormat="1" ht="16.5" customHeight="1">
      <c r="A126" s="916"/>
      <c r="B126" s="919"/>
      <c r="C126" s="516" t="s">
        <v>21</v>
      </c>
      <c r="D126" s="517">
        <f>SUM(E126:O126)</f>
        <v>-6697</v>
      </c>
      <c r="E126" s="526">
        <v>0</v>
      </c>
      <c r="F126" s="526">
        <v>0</v>
      </c>
      <c r="G126" s="527">
        <v>-6697</v>
      </c>
      <c r="H126" s="526">
        <v>0</v>
      </c>
      <c r="I126" s="527">
        <v>0</v>
      </c>
      <c r="J126" s="526">
        <v>0</v>
      </c>
      <c r="K126" s="528">
        <v>0</v>
      </c>
      <c r="L126" s="529">
        <v>0</v>
      </c>
      <c r="M126" s="526">
        <v>0</v>
      </c>
      <c r="N126" s="526">
        <v>0</v>
      </c>
      <c r="O126" s="530">
        <v>0</v>
      </c>
      <c r="P126" s="523"/>
      <c r="Q126" s="523"/>
      <c r="U126" s="542"/>
      <c r="V126" s="542"/>
      <c r="Y126" s="542"/>
    </row>
    <row r="127" spans="1:25" s="541" customFormat="1" ht="16.5" customHeight="1">
      <c r="A127" s="917"/>
      <c r="B127" s="920"/>
      <c r="C127" s="516" t="s">
        <v>22</v>
      </c>
      <c r="D127" s="517">
        <f>SUM(E127:O127)</f>
        <v>150471705</v>
      </c>
      <c r="E127" s="526">
        <f aca="true" t="shared" si="29" ref="E127:O127">E125+E126</f>
        <v>0</v>
      </c>
      <c r="F127" s="526">
        <f t="shared" si="29"/>
        <v>0</v>
      </c>
      <c r="G127" s="526">
        <f t="shared" si="29"/>
        <v>142655705</v>
      </c>
      <c r="H127" s="526">
        <f t="shared" si="29"/>
        <v>341000</v>
      </c>
      <c r="I127" s="526">
        <f t="shared" si="29"/>
        <v>7475000</v>
      </c>
      <c r="J127" s="526">
        <f t="shared" si="29"/>
        <v>0</v>
      </c>
      <c r="K127" s="526">
        <f t="shared" si="29"/>
        <v>0</v>
      </c>
      <c r="L127" s="526">
        <f t="shared" si="29"/>
        <v>0</v>
      </c>
      <c r="M127" s="526">
        <f t="shared" si="29"/>
        <v>0</v>
      </c>
      <c r="N127" s="526">
        <f t="shared" si="29"/>
        <v>0</v>
      </c>
      <c r="O127" s="531">
        <f t="shared" si="29"/>
        <v>0</v>
      </c>
      <c r="P127" s="523"/>
      <c r="Q127" s="523"/>
      <c r="U127" s="542"/>
      <c r="V127" s="542"/>
      <c r="Y127" s="542"/>
    </row>
    <row r="128" spans="1:25" s="541" customFormat="1" ht="4.5" customHeight="1">
      <c r="A128" s="543"/>
      <c r="B128" s="544"/>
      <c r="C128" s="533"/>
      <c r="D128" s="535"/>
      <c r="E128" s="538"/>
      <c r="F128" s="538"/>
      <c r="G128" s="538"/>
      <c r="H128" s="538"/>
      <c r="I128" s="538"/>
      <c r="J128" s="538"/>
      <c r="K128" s="538"/>
      <c r="L128" s="538"/>
      <c r="M128" s="538"/>
      <c r="N128" s="538"/>
      <c r="O128" s="540"/>
      <c r="P128" s="523"/>
      <c r="Q128" s="523"/>
      <c r="U128" s="542"/>
      <c r="V128" s="542"/>
      <c r="Y128" s="542"/>
    </row>
    <row r="129" spans="1:25" s="541" customFormat="1" ht="16.5" customHeight="1">
      <c r="A129" s="915" t="s">
        <v>57</v>
      </c>
      <c r="B129" s="918" t="s">
        <v>688</v>
      </c>
      <c r="C129" s="516" t="s">
        <v>20</v>
      </c>
      <c r="D129" s="517">
        <f t="shared" si="23"/>
        <v>85000</v>
      </c>
      <c r="E129" s="537">
        <v>0</v>
      </c>
      <c r="F129" s="537">
        <v>0</v>
      </c>
      <c r="G129" s="546">
        <v>0</v>
      </c>
      <c r="H129" s="537">
        <v>85000</v>
      </c>
      <c r="I129" s="538">
        <v>0</v>
      </c>
      <c r="J129" s="537">
        <v>0</v>
      </c>
      <c r="K129" s="539">
        <v>0</v>
      </c>
      <c r="L129" s="546">
        <v>0</v>
      </c>
      <c r="M129" s="537">
        <v>0</v>
      </c>
      <c r="N129" s="537">
        <v>0</v>
      </c>
      <c r="O129" s="540">
        <v>0</v>
      </c>
      <c r="P129" s="523"/>
      <c r="Q129" s="523"/>
      <c r="U129" s="542"/>
      <c r="V129" s="542"/>
      <c r="Y129" s="542"/>
    </row>
    <row r="130" spans="1:25" s="541" customFormat="1" ht="16.5" customHeight="1">
      <c r="A130" s="916"/>
      <c r="B130" s="919"/>
      <c r="C130" s="516" t="s">
        <v>21</v>
      </c>
      <c r="D130" s="517">
        <f t="shared" si="23"/>
        <v>1000000</v>
      </c>
      <c r="E130" s="526">
        <v>0</v>
      </c>
      <c r="F130" s="526">
        <v>1000000</v>
      </c>
      <c r="G130" s="527">
        <v>0</v>
      </c>
      <c r="H130" s="526">
        <v>0</v>
      </c>
      <c r="I130" s="527">
        <v>0</v>
      </c>
      <c r="J130" s="518">
        <v>0</v>
      </c>
      <c r="K130" s="528">
        <v>0</v>
      </c>
      <c r="L130" s="529">
        <v>0</v>
      </c>
      <c r="M130" s="526">
        <v>0</v>
      </c>
      <c r="N130" s="526">
        <v>0</v>
      </c>
      <c r="O130" s="530">
        <v>0</v>
      </c>
      <c r="P130" s="523"/>
      <c r="Q130" s="523"/>
      <c r="U130" s="542"/>
      <c r="V130" s="542"/>
      <c r="Y130" s="542"/>
    </row>
    <row r="131" spans="1:25" s="541" customFormat="1" ht="16.5" customHeight="1">
      <c r="A131" s="917"/>
      <c r="B131" s="920"/>
      <c r="C131" s="516" t="s">
        <v>22</v>
      </c>
      <c r="D131" s="517">
        <f t="shared" si="23"/>
        <v>1085000</v>
      </c>
      <c r="E131" s="526">
        <f aca="true" t="shared" si="30" ref="E131:O131">E129+E130</f>
        <v>0</v>
      </c>
      <c r="F131" s="526">
        <f t="shared" si="30"/>
        <v>1000000</v>
      </c>
      <c r="G131" s="526">
        <f t="shared" si="30"/>
        <v>0</v>
      </c>
      <c r="H131" s="526">
        <f t="shared" si="30"/>
        <v>85000</v>
      </c>
      <c r="I131" s="526">
        <f t="shared" si="30"/>
        <v>0</v>
      </c>
      <c r="J131" s="526">
        <f t="shared" si="30"/>
        <v>0</v>
      </c>
      <c r="K131" s="526">
        <f t="shared" si="30"/>
        <v>0</v>
      </c>
      <c r="L131" s="526">
        <f t="shared" si="30"/>
        <v>0</v>
      </c>
      <c r="M131" s="526">
        <f t="shared" si="30"/>
        <v>0</v>
      </c>
      <c r="N131" s="526">
        <f t="shared" si="30"/>
        <v>0</v>
      </c>
      <c r="O131" s="531">
        <f t="shared" si="30"/>
        <v>0</v>
      </c>
      <c r="P131" s="523"/>
      <c r="Q131" s="523"/>
      <c r="U131" s="542"/>
      <c r="V131" s="542"/>
      <c r="Y131" s="542"/>
    </row>
    <row r="132" spans="1:25" s="541" customFormat="1" ht="3.75" customHeight="1">
      <c r="A132" s="558"/>
      <c r="B132" s="544"/>
      <c r="C132" s="533"/>
      <c r="D132" s="535"/>
      <c r="E132" s="538"/>
      <c r="F132" s="538"/>
      <c r="G132" s="538"/>
      <c r="H132" s="538"/>
      <c r="I132" s="538"/>
      <c r="J132" s="538"/>
      <c r="K132" s="538"/>
      <c r="L132" s="538"/>
      <c r="M132" s="538"/>
      <c r="N132" s="538"/>
      <c r="O132" s="540"/>
      <c r="P132" s="523"/>
      <c r="Q132" s="523"/>
      <c r="U132" s="542"/>
      <c r="V132" s="542"/>
      <c r="Y132" s="542"/>
    </row>
    <row r="133" spans="1:25" s="541" customFormat="1" ht="20.25" customHeight="1" hidden="1">
      <c r="A133" s="915" t="s">
        <v>58</v>
      </c>
      <c r="B133" s="918" t="s">
        <v>48</v>
      </c>
      <c r="C133" s="516" t="s">
        <v>20</v>
      </c>
      <c r="D133" s="517">
        <f t="shared" si="23"/>
        <v>78475</v>
      </c>
      <c r="E133" s="537">
        <v>0</v>
      </c>
      <c r="F133" s="537">
        <v>0</v>
      </c>
      <c r="G133" s="546">
        <v>18225</v>
      </c>
      <c r="H133" s="537">
        <v>0</v>
      </c>
      <c r="I133" s="538">
        <v>0</v>
      </c>
      <c r="J133" s="537">
        <v>0</v>
      </c>
      <c r="K133" s="539">
        <v>20250</v>
      </c>
      <c r="L133" s="546">
        <v>0</v>
      </c>
      <c r="M133" s="537">
        <v>0</v>
      </c>
      <c r="N133" s="537">
        <v>0</v>
      </c>
      <c r="O133" s="540">
        <v>40000</v>
      </c>
      <c r="P133" s="523">
        <v>0.38</v>
      </c>
      <c r="Q133" s="523"/>
      <c r="U133" s="542">
        <v>0.44</v>
      </c>
      <c r="V133" s="525" t="e">
        <f>U133-#REF!</f>
        <v>#REF!</v>
      </c>
      <c r="Y133" s="542"/>
    </row>
    <row r="134" spans="1:25" s="541" customFormat="1" ht="20.25" customHeight="1" hidden="1">
      <c r="A134" s="916"/>
      <c r="B134" s="919"/>
      <c r="C134" s="516" t="s">
        <v>21</v>
      </c>
      <c r="D134" s="517">
        <f>SUM(E134:O134)</f>
        <v>0</v>
      </c>
      <c r="E134" s="526">
        <v>0</v>
      </c>
      <c r="F134" s="526">
        <v>0</v>
      </c>
      <c r="G134" s="527">
        <v>0</v>
      </c>
      <c r="H134" s="526">
        <v>0</v>
      </c>
      <c r="I134" s="527">
        <v>0</v>
      </c>
      <c r="J134" s="526">
        <v>0</v>
      </c>
      <c r="K134" s="528">
        <v>0</v>
      </c>
      <c r="L134" s="529">
        <v>0</v>
      </c>
      <c r="M134" s="526">
        <v>0</v>
      </c>
      <c r="N134" s="526">
        <v>0</v>
      </c>
      <c r="O134" s="530">
        <v>0</v>
      </c>
      <c r="P134" s="523"/>
      <c r="Q134" s="523"/>
      <c r="U134" s="542"/>
      <c r="V134" s="525"/>
      <c r="Y134" s="542"/>
    </row>
    <row r="135" spans="1:25" s="541" customFormat="1" ht="20.25" customHeight="1" hidden="1">
      <c r="A135" s="916"/>
      <c r="B135" s="919"/>
      <c r="C135" s="516" t="s">
        <v>22</v>
      </c>
      <c r="D135" s="517">
        <f>SUM(E135:O135)</f>
        <v>78475</v>
      </c>
      <c r="E135" s="526">
        <f aca="true" t="shared" si="31" ref="E135:O135">E133+E134</f>
        <v>0</v>
      </c>
      <c r="F135" s="526">
        <f t="shared" si="31"/>
        <v>0</v>
      </c>
      <c r="G135" s="526">
        <f t="shared" si="31"/>
        <v>18225</v>
      </c>
      <c r="H135" s="526">
        <f t="shared" si="31"/>
        <v>0</v>
      </c>
      <c r="I135" s="526">
        <f t="shared" si="31"/>
        <v>0</v>
      </c>
      <c r="J135" s="526">
        <f t="shared" si="31"/>
        <v>0</v>
      </c>
      <c r="K135" s="526">
        <f t="shared" si="31"/>
        <v>20250</v>
      </c>
      <c r="L135" s="526">
        <f t="shared" si="31"/>
        <v>0</v>
      </c>
      <c r="M135" s="526">
        <f t="shared" si="31"/>
        <v>0</v>
      </c>
      <c r="N135" s="526">
        <f t="shared" si="31"/>
        <v>0</v>
      </c>
      <c r="O135" s="531">
        <f t="shared" si="31"/>
        <v>40000</v>
      </c>
      <c r="P135" s="523"/>
      <c r="Q135" s="523"/>
      <c r="U135" s="542"/>
      <c r="V135" s="525"/>
      <c r="Y135" s="542"/>
    </row>
    <row r="136" spans="1:25" s="541" customFormat="1" ht="10.5" customHeight="1" hidden="1">
      <c r="A136" s="543"/>
      <c r="B136" s="544"/>
      <c r="C136" s="533"/>
      <c r="D136" s="535"/>
      <c r="E136" s="538"/>
      <c r="F136" s="538"/>
      <c r="G136" s="538"/>
      <c r="H136" s="538"/>
      <c r="I136" s="538"/>
      <c r="J136" s="538"/>
      <c r="K136" s="538"/>
      <c r="L136" s="538"/>
      <c r="M136" s="538"/>
      <c r="N136" s="538"/>
      <c r="O136" s="540"/>
      <c r="P136" s="523"/>
      <c r="Q136" s="523"/>
      <c r="U136" s="542"/>
      <c r="V136" s="525"/>
      <c r="Y136" s="542"/>
    </row>
    <row r="137" spans="1:25" s="541" customFormat="1" ht="17.25" customHeight="1">
      <c r="A137" s="915" t="s">
        <v>147</v>
      </c>
      <c r="B137" s="918" t="s">
        <v>49</v>
      </c>
      <c r="C137" s="516" t="s">
        <v>20</v>
      </c>
      <c r="D137" s="517">
        <f>SUM(E137:O137)</f>
        <v>0</v>
      </c>
      <c r="E137" s="537">
        <v>0</v>
      </c>
      <c r="F137" s="537">
        <v>0</v>
      </c>
      <c r="G137" s="546">
        <v>0</v>
      </c>
      <c r="H137" s="537">
        <v>0</v>
      </c>
      <c r="I137" s="538">
        <v>0</v>
      </c>
      <c r="J137" s="537">
        <v>0</v>
      </c>
      <c r="K137" s="539">
        <v>0</v>
      </c>
      <c r="L137" s="546">
        <v>0</v>
      </c>
      <c r="M137" s="537">
        <v>0</v>
      </c>
      <c r="N137" s="537">
        <v>0</v>
      </c>
      <c r="O137" s="540">
        <v>0</v>
      </c>
      <c r="P137" s="523">
        <v>0.46</v>
      </c>
      <c r="Q137" s="523"/>
      <c r="U137" s="542">
        <v>0.47</v>
      </c>
      <c r="V137" s="525" t="e">
        <f>U137-#REF!</f>
        <v>#REF!</v>
      </c>
      <c r="Y137" s="542"/>
    </row>
    <row r="138" spans="1:25" s="541" customFormat="1" ht="17.25" customHeight="1">
      <c r="A138" s="916"/>
      <c r="B138" s="919"/>
      <c r="C138" s="516" t="s">
        <v>21</v>
      </c>
      <c r="D138" s="517">
        <f>SUM(E138:O138)</f>
        <v>137932</v>
      </c>
      <c r="E138" s="526">
        <v>0</v>
      </c>
      <c r="F138" s="526">
        <v>0</v>
      </c>
      <c r="G138" s="527">
        <v>0</v>
      </c>
      <c r="H138" s="526">
        <v>0</v>
      </c>
      <c r="I138" s="527">
        <v>0</v>
      </c>
      <c r="J138" s="526">
        <v>0</v>
      </c>
      <c r="K138" s="528">
        <v>0</v>
      </c>
      <c r="L138" s="529">
        <v>0</v>
      </c>
      <c r="M138" s="526">
        <v>0</v>
      </c>
      <c r="N138" s="526">
        <v>137932</v>
      </c>
      <c r="O138" s="530">
        <v>0</v>
      </c>
      <c r="P138" s="523"/>
      <c r="Q138" s="523"/>
      <c r="U138" s="542"/>
      <c r="V138" s="525"/>
      <c r="Y138" s="542"/>
    </row>
    <row r="139" spans="1:25" s="541" customFormat="1" ht="17.25" customHeight="1">
      <c r="A139" s="917"/>
      <c r="B139" s="920"/>
      <c r="C139" s="516" t="s">
        <v>22</v>
      </c>
      <c r="D139" s="517">
        <f>SUM(E139:O139)</f>
        <v>137932</v>
      </c>
      <c r="E139" s="526">
        <f aca="true" t="shared" si="32" ref="E139:O139">E137+E138</f>
        <v>0</v>
      </c>
      <c r="F139" s="526">
        <f t="shared" si="32"/>
        <v>0</v>
      </c>
      <c r="G139" s="526">
        <f t="shared" si="32"/>
        <v>0</v>
      </c>
      <c r="H139" s="526">
        <f t="shared" si="32"/>
        <v>0</v>
      </c>
      <c r="I139" s="526">
        <f t="shared" si="32"/>
        <v>0</v>
      </c>
      <c r="J139" s="526">
        <f t="shared" si="32"/>
        <v>0</v>
      </c>
      <c r="K139" s="526">
        <f t="shared" si="32"/>
        <v>0</v>
      </c>
      <c r="L139" s="526">
        <f t="shared" si="32"/>
        <v>0</v>
      </c>
      <c r="M139" s="526">
        <f t="shared" si="32"/>
        <v>0</v>
      </c>
      <c r="N139" s="526">
        <f t="shared" si="32"/>
        <v>137932</v>
      </c>
      <c r="O139" s="531">
        <f t="shared" si="32"/>
        <v>0</v>
      </c>
      <c r="P139" s="523"/>
      <c r="Q139" s="523"/>
      <c r="U139" s="542"/>
      <c r="V139" s="525"/>
      <c r="Y139" s="542"/>
    </row>
    <row r="140" spans="1:25" s="541" customFormat="1" ht="5.25" customHeight="1">
      <c r="A140" s="548"/>
      <c r="B140" s="549"/>
      <c r="C140" s="534"/>
      <c r="D140" s="559"/>
      <c r="E140" s="560"/>
      <c r="F140" s="560"/>
      <c r="G140" s="560"/>
      <c r="H140" s="560"/>
      <c r="I140" s="560"/>
      <c r="J140" s="560"/>
      <c r="K140" s="560"/>
      <c r="L140" s="560"/>
      <c r="M140" s="560"/>
      <c r="N140" s="560"/>
      <c r="O140" s="561"/>
      <c r="P140" s="523"/>
      <c r="Q140" s="523"/>
      <c r="U140" s="542"/>
      <c r="V140" s="525"/>
      <c r="Y140" s="542"/>
    </row>
    <row r="141" spans="1:25" s="541" customFormat="1" ht="21.75" customHeight="1">
      <c r="A141" s="915" t="s">
        <v>60</v>
      </c>
      <c r="B141" s="918" t="s">
        <v>50</v>
      </c>
      <c r="C141" s="516" t="s">
        <v>20</v>
      </c>
      <c r="D141" s="562">
        <f t="shared" si="23"/>
        <v>395278</v>
      </c>
      <c r="E141" s="563">
        <v>0</v>
      </c>
      <c r="F141" s="563">
        <v>0</v>
      </c>
      <c r="G141" s="564">
        <v>0</v>
      </c>
      <c r="H141" s="563">
        <v>0</v>
      </c>
      <c r="I141" s="565">
        <v>0</v>
      </c>
      <c r="J141" s="563">
        <v>0</v>
      </c>
      <c r="K141" s="566">
        <v>315278</v>
      </c>
      <c r="L141" s="564">
        <v>0</v>
      </c>
      <c r="M141" s="563">
        <v>0</v>
      </c>
      <c r="N141" s="563">
        <v>0</v>
      </c>
      <c r="O141" s="567">
        <v>80000</v>
      </c>
      <c r="P141" s="523"/>
      <c r="Q141" s="523"/>
      <c r="U141" s="542"/>
      <c r="V141" s="525"/>
      <c r="Y141" s="542"/>
    </row>
    <row r="142" spans="1:25" s="541" customFormat="1" ht="21.75" customHeight="1">
      <c r="A142" s="916"/>
      <c r="B142" s="919"/>
      <c r="C142" s="516" t="s">
        <v>21</v>
      </c>
      <c r="D142" s="517">
        <f t="shared" si="23"/>
        <v>-96778</v>
      </c>
      <c r="E142" s="518">
        <v>0</v>
      </c>
      <c r="F142" s="518">
        <v>0</v>
      </c>
      <c r="G142" s="518">
        <v>0</v>
      </c>
      <c r="H142" s="518">
        <v>0</v>
      </c>
      <c r="I142" s="518">
        <v>0</v>
      </c>
      <c r="J142" s="518">
        <v>0</v>
      </c>
      <c r="K142" s="518">
        <v>-96778</v>
      </c>
      <c r="L142" s="518">
        <v>0</v>
      </c>
      <c r="M142" s="518">
        <v>0</v>
      </c>
      <c r="N142" s="518">
        <v>0</v>
      </c>
      <c r="O142" s="557">
        <v>0</v>
      </c>
      <c r="P142" s="523"/>
      <c r="Q142" s="523"/>
      <c r="U142" s="542"/>
      <c r="V142" s="525"/>
      <c r="Y142" s="542"/>
    </row>
    <row r="143" spans="1:25" s="541" customFormat="1" ht="21.75" customHeight="1">
      <c r="A143" s="917"/>
      <c r="B143" s="920"/>
      <c r="C143" s="516" t="s">
        <v>22</v>
      </c>
      <c r="D143" s="517">
        <f t="shared" si="23"/>
        <v>298500</v>
      </c>
      <c r="E143" s="526">
        <f aca="true" t="shared" si="33" ref="E143:O143">E141+E142</f>
        <v>0</v>
      </c>
      <c r="F143" s="526">
        <f t="shared" si="33"/>
        <v>0</v>
      </c>
      <c r="G143" s="526">
        <f t="shared" si="33"/>
        <v>0</v>
      </c>
      <c r="H143" s="526">
        <f t="shared" si="33"/>
        <v>0</v>
      </c>
      <c r="I143" s="526">
        <f t="shared" si="33"/>
        <v>0</v>
      </c>
      <c r="J143" s="526">
        <f t="shared" si="33"/>
        <v>0</v>
      </c>
      <c r="K143" s="526">
        <f t="shared" si="33"/>
        <v>218500</v>
      </c>
      <c r="L143" s="526">
        <f t="shared" si="33"/>
        <v>0</v>
      </c>
      <c r="M143" s="526">
        <f t="shared" si="33"/>
        <v>0</v>
      </c>
      <c r="N143" s="526">
        <f t="shared" si="33"/>
        <v>0</v>
      </c>
      <c r="O143" s="531">
        <f t="shared" si="33"/>
        <v>80000</v>
      </c>
      <c r="P143" s="523"/>
      <c r="Q143" s="523"/>
      <c r="U143" s="542"/>
      <c r="V143" s="525"/>
      <c r="Y143" s="542"/>
    </row>
    <row r="144" spans="1:25" s="541" customFormat="1" ht="7.5" customHeight="1" thickBot="1">
      <c r="A144" s="568"/>
      <c r="B144" s="549"/>
      <c r="C144" s="549"/>
      <c r="D144" s="559"/>
      <c r="E144" s="565"/>
      <c r="F144" s="565"/>
      <c r="G144" s="565"/>
      <c r="H144" s="565"/>
      <c r="I144" s="565"/>
      <c r="J144" s="565"/>
      <c r="K144" s="565"/>
      <c r="L144" s="565"/>
      <c r="M144" s="565"/>
      <c r="N144" s="565"/>
      <c r="O144" s="567"/>
      <c r="P144" s="523"/>
      <c r="Q144" s="523"/>
      <c r="U144" s="542"/>
      <c r="V144" s="525"/>
      <c r="Y144" s="542"/>
    </row>
    <row r="145" spans="1:25" s="573" customFormat="1" ht="15.75" customHeight="1">
      <c r="A145" s="921" t="s">
        <v>689</v>
      </c>
      <c r="B145" s="922"/>
      <c r="C145" s="569" t="s">
        <v>20</v>
      </c>
      <c r="D145" s="570">
        <f aca="true" t="shared" si="34" ref="D145:O146">D13+D101</f>
        <v>849420465</v>
      </c>
      <c r="E145" s="570">
        <f>E13+E101</f>
        <v>450525654</v>
      </c>
      <c r="F145" s="570">
        <f t="shared" si="34"/>
        <v>26000769</v>
      </c>
      <c r="G145" s="570">
        <f t="shared" si="34"/>
        <v>211344257</v>
      </c>
      <c r="H145" s="570">
        <f t="shared" si="34"/>
        <v>42555895</v>
      </c>
      <c r="I145" s="570">
        <f t="shared" si="34"/>
        <v>22668500</v>
      </c>
      <c r="J145" s="570">
        <f t="shared" si="34"/>
        <v>1071980</v>
      </c>
      <c r="K145" s="570">
        <f t="shared" si="34"/>
        <v>3656263</v>
      </c>
      <c r="L145" s="570">
        <f t="shared" si="34"/>
        <v>194638</v>
      </c>
      <c r="M145" s="570">
        <f t="shared" si="34"/>
        <v>66113852</v>
      </c>
      <c r="N145" s="570">
        <f t="shared" si="34"/>
        <v>8788264</v>
      </c>
      <c r="O145" s="571">
        <f t="shared" si="34"/>
        <v>16500393</v>
      </c>
      <c r="P145" s="497"/>
      <c r="Q145" s="497"/>
      <c r="R145" s="572">
        <f>SUM(E145:O145)</f>
        <v>849420465</v>
      </c>
      <c r="U145" s="574"/>
      <c r="V145" s="574"/>
      <c r="Y145" s="574"/>
    </row>
    <row r="146" spans="1:17" ht="15.75" customHeight="1">
      <c r="A146" s="923"/>
      <c r="B146" s="924"/>
      <c r="C146" s="575" t="s">
        <v>21</v>
      </c>
      <c r="D146" s="576">
        <f>SUM(E146:O146)</f>
        <v>4072355</v>
      </c>
      <c r="E146" s="576">
        <f>E14+E102</f>
        <v>-1016150</v>
      </c>
      <c r="F146" s="576">
        <f t="shared" si="34"/>
        <v>1748685</v>
      </c>
      <c r="G146" s="576">
        <f t="shared" si="34"/>
        <v>2024143</v>
      </c>
      <c r="H146" s="576">
        <f t="shared" si="34"/>
        <v>0</v>
      </c>
      <c r="I146" s="576">
        <f t="shared" si="34"/>
        <v>0</v>
      </c>
      <c r="J146" s="576">
        <f t="shared" si="34"/>
        <v>123132</v>
      </c>
      <c r="K146" s="576">
        <f t="shared" si="34"/>
        <v>-105176</v>
      </c>
      <c r="L146" s="576">
        <f t="shared" si="34"/>
        <v>0</v>
      </c>
      <c r="M146" s="576">
        <f t="shared" si="34"/>
        <v>2101000</v>
      </c>
      <c r="N146" s="576">
        <f t="shared" si="34"/>
        <v>232721</v>
      </c>
      <c r="O146" s="577">
        <f t="shared" si="34"/>
        <v>-1036000</v>
      </c>
      <c r="Q146" s="497"/>
    </row>
    <row r="147" spans="1:17" ht="15.75" customHeight="1" thickBot="1">
      <c r="A147" s="925"/>
      <c r="B147" s="926"/>
      <c r="C147" s="578" t="s">
        <v>22</v>
      </c>
      <c r="D147" s="579">
        <f>D145+D146</f>
        <v>853492820</v>
      </c>
      <c r="E147" s="579">
        <f>E15+E103</f>
        <v>449509504</v>
      </c>
      <c r="F147" s="579">
        <f aca="true" t="shared" si="35" ref="F147:O147">F145+F146</f>
        <v>27749454</v>
      </c>
      <c r="G147" s="579">
        <f t="shared" si="35"/>
        <v>213368400</v>
      </c>
      <c r="H147" s="579">
        <f t="shared" si="35"/>
        <v>42555895</v>
      </c>
      <c r="I147" s="579">
        <f t="shared" si="35"/>
        <v>22668500</v>
      </c>
      <c r="J147" s="579">
        <f t="shared" si="35"/>
        <v>1195112</v>
      </c>
      <c r="K147" s="579">
        <f t="shared" si="35"/>
        <v>3551087</v>
      </c>
      <c r="L147" s="579">
        <f t="shared" si="35"/>
        <v>194638</v>
      </c>
      <c r="M147" s="579">
        <f t="shared" si="35"/>
        <v>68214852</v>
      </c>
      <c r="N147" s="579">
        <f t="shared" si="35"/>
        <v>9020985</v>
      </c>
      <c r="O147" s="580">
        <f t="shared" si="35"/>
        <v>15464393</v>
      </c>
      <c r="Q147" s="497"/>
    </row>
    <row r="148" spans="1:22" s="465" customFormat="1" ht="22.5" customHeight="1">
      <c r="A148" s="581"/>
      <c r="B148" s="581"/>
      <c r="C148" s="581"/>
      <c r="D148" s="582"/>
      <c r="E148" s="582"/>
      <c r="F148" s="582"/>
      <c r="G148" s="582"/>
      <c r="H148" s="582"/>
      <c r="I148" s="582"/>
      <c r="J148" s="582"/>
      <c r="K148" s="582"/>
      <c r="L148" s="582"/>
      <c r="M148" s="582"/>
      <c r="N148" s="582"/>
      <c r="O148" s="582"/>
      <c r="P148" s="583"/>
      <c r="Q148" s="523"/>
      <c r="U148" s="583"/>
      <c r="V148" s="583"/>
    </row>
    <row r="149" spans="1:16" s="587" customFormat="1" ht="12" customHeight="1">
      <c r="A149" s="584" t="s">
        <v>20</v>
      </c>
      <c r="B149" s="585" t="s">
        <v>690</v>
      </c>
      <c r="C149" s="586"/>
      <c r="D149" s="560"/>
      <c r="E149" s="560"/>
      <c r="F149" s="560"/>
      <c r="G149" s="560"/>
      <c r="H149" s="560"/>
      <c r="I149" s="560"/>
      <c r="J149" s="560"/>
      <c r="K149" s="560"/>
      <c r="L149" s="560"/>
      <c r="M149" s="560"/>
      <c r="N149" s="560"/>
      <c r="O149" s="560"/>
      <c r="P149" s="560"/>
    </row>
    <row r="150" spans="1:16" s="587" customFormat="1" ht="12" customHeight="1">
      <c r="A150" s="584" t="s">
        <v>21</v>
      </c>
      <c r="B150" s="585" t="s">
        <v>691</v>
      </c>
      <c r="C150" s="586"/>
      <c r="D150" s="560"/>
      <c r="E150" s="560"/>
      <c r="F150" s="560"/>
      <c r="G150" s="560"/>
      <c r="H150" s="560"/>
      <c r="I150" s="560"/>
      <c r="J150" s="560"/>
      <c r="K150" s="560"/>
      <c r="L150" s="560"/>
      <c r="M150" s="560"/>
      <c r="N150" s="560"/>
      <c r="O150" s="560"/>
      <c r="P150" s="560"/>
    </row>
    <row r="151" spans="1:16" s="587" customFormat="1" ht="12" customHeight="1">
      <c r="A151" s="584" t="s">
        <v>22</v>
      </c>
      <c r="B151" s="585" t="s">
        <v>692</v>
      </c>
      <c r="C151" s="586"/>
      <c r="D151" s="560"/>
      <c r="E151" s="560"/>
      <c r="F151" s="560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</row>
    <row r="152" ht="15">
      <c r="Q152" s="497"/>
    </row>
    <row r="153" ht="15">
      <c r="Q153" s="497"/>
    </row>
    <row r="154" ht="15">
      <c r="Q154" s="497"/>
    </row>
    <row r="155" ht="15">
      <c r="Q155" s="497"/>
    </row>
    <row r="156" ht="15">
      <c r="Q156" s="497"/>
    </row>
    <row r="157" ht="15">
      <c r="Q157" s="497"/>
    </row>
    <row r="158" ht="15">
      <c r="Q158" s="497"/>
    </row>
    <row r="159" ht="15">
      <c r="Q159" s="497"/>
    </row>
    <row r="160" ht="15">
      <c r="Q160" s="497"/>
    </row>
    <row r="161" ht="15">
      <c r="Q161" s="497"/>
    </row>
    <row r="162" ht="15">
      <c r="Q162" s="497"/>
    </row>
    <row r="163" ht="15">
      <c r="Q163" s="497"/>
    </row>
    <row r="164" ht="15">
      <c r="Q164" s="497"/>
    </row>
    <row r="165" ht="15">
      <c r="Q165" s="497"/>
    </row>
    <row r="166" ht="15">
      <c r="Q166" s="497"/>
    </row>
    <row r="167" ht="15">
      <c r="Q167" s="497"/>
    </row>
    <row r="168" ht="15">
      <c r="Q168" s="497"/>
    </row>
    <row r="169" ht="15">
      <c r="Q169" s="497"/>
    </row>
    <row r="170" ht="15">
      <c r="Q170" s="497"/>
    </row>
    <row r="171" ht="15">
      <c r="Q171" s="497"/>
    </row>
    <row r="172" ht="15">
      <c r="Q172" s="497"/>
    </row>
    <row r="173" ht="15">
      <c r="Q173" s="497"/>
    </row>
    <row r="174" ht="15">
      <c r="Q174" s="497"/>
    </row>
    <row r="175" ht="15">
      <c r="Q175" s="497"/>
    </row>
    <row r="176" ht="15">
      <c r="Q176" s="497"/>
    </row>
    <row r="177" ht="15">
      <c r="Q177" s="497"/>
    </row>
    <row r="178" ht="15">
      <c r="Q178" s="497"/>
    </row>
    <row r="179" ht="15">
      <c r="Q179" s="497"/>
    </row>
    <row r="180" ht="15">
      <c r="Q180" s="497"/>
    </row>
    <row r="181" ht="15">
      <c r="Q181" s="497"/>
    </row>
    <row r="182" ht="15">
      <c r="Q182" s="497"/>
    </row>
    <row r="183" ht="15">
      <c r="Q183" s="497"/>
    </row>
    <row r="184" ht="15">
      <c r="Q184" s="497"/>
    </row>
    <row r="185" ht="15">
      <c r="Q185" s="497"/>
    </row>
    <row r="186" ht="15">
      <c r="Q186" s="497"/>
    </row>
    <row r="187" ht="15">
      <c r="Q187" s="497"/>
    </row>
    <row r="188" ht="15">
      <c r="Q188" s="497"/>
    </row>
    <row r="189" ht="15">
      <c r="Q189" s="497"/>
    </row>
    <row r="190" ht="15">
      <c r="Q190" s="497"/>
    </row>
    <row r="191" ht="15">
      <c r="Q191" s="497"/>
    </row>
    <row r="192" ht="15">
      <c r="Q192" s="497"/>
    </row>
    <row r="193" ht="15">
      <c r="Q193" s="497"/>
    </row>
    <row r="194" ht="15">
      <c r="Q194" s="497"/>
    </row>
    <row r="195" ht="15">
      <c r="Q195" s="497"/>
    </row>
    <row r="196" ht="15">
      <c r="Q196" s="497"/>
    </row>
    <row r="197" ht="15">
      <c r="Q197" s="497"/>
    </row>
    <row r="198" ht="15">
      <c r="Q198" s="497"/>
    </row>
    <row r="199" ht="15">
      <c r="Q199" s="497"/>
    </row>
    <row r="200" ht="15">
      <c r="Q200" s="497"/>
    </row>
    <row r="201" ht="15">
      <c r="Q201" s="497"/>
    </row>
    <row r="202" ht="15">
      <c r="Q202" s="497"/>
    </row>
    <row r="203" ht="15">
      <c r="Q203" s="497"/>
    </row>
    <row r="204" ht="15">
      <c r="Q204" s="497"/>
    </row>
    <row r="205" ht="15">
      <c r="Q205" s="497"/>
    </row>
    <row r="206" ht="15">
      <c r="Q206" s="497"/>
    </row>
    <row r="207" ht="15">
      <c r="Q207" s="497"/>
    </row>
    <row r="208" ht="15">
      <c r="Q208" s="497"/>
    </row>
    <row r="209" ht="15">
      <c r="Q209" s="497"/>
    </row>
    <row r="210" ht="15">
      <c r="Q210" s="497"/>
    </row>
    <row r="211" ht="15">
      <c r="Q211" s="497"/>
    </row>
    <row r="212" ht="15">
      <c r="Q212" s="497"/>
    </row>
    <row r="213" ht="15">
      <c r="Q213" s="497"/>
    </row>
    <row r="214" ht="15">
      <c r="Q214" s="497"/>
    </row>
    <row r="215" ht="15">
      <c r="Q215" s="497"/>
    </row>
    <row r="216" ht="15">
      <c r="Q216" s="497"/>
    </row>
    <row r="217" ht="15">
      <c r="Q217" s="497"/>
    </row>
    <row r="218" ht="15">
      <c r="Q218" s="497"/>
    </row>
    <row r="219" ht="15">
      <c r="Q219" s="497"/>
    </row>
    <row r="220" ht="15">
      <c r="Q220" s="497"/>
    </row>
    <row r="221" ht="15">
      <c r="Q221" s="497"/>
    </row>
    <row r="222" ht="15">
      <c r="Q222" s="497"/>
    </row>
    <row r="223" ht="15">
      <c r="Q223" s="497"/>
    </row>
    <row r="224" ht="15">
      <c r="Q224" s="497"/>
    </row>
    <row r="225" ht="15">
      <c r="Q225" s="497"/>
    </row>
    <row r="226" ht="15">
      <c r="Q226" s="497"/>
    </row>
    <row r="227" ht="15">
      <c r="Q227" s="497"/>
    </row>
    <row r="228" ht="15">
      <c r="Q228" s="497"/>
    </row>
    <row r="229" ht="15">
      <c r="Q229" s="497"/>
    </row>
    <row r="230" ht="15">
      <c r="Q230" s="497"/>
    </row>
    <row r="231" ht="15">
      <c r="Q231" s="497"/>
    </row>
    <row r="232" ht="15">
      <c r="Q232" s="497"/>
    </row>
    <row r="233" ht="15">
      <c r="Q233" s="497"/>
    </row>
    <row r="234" ht="15">
      <c r="Q234" s="497"/>
    </row>
    <row r="235" ht="15">
      <c r="Q235" s="497"/>
    </row>
    <row r="236" ht="15">
      <c r="Q236" s="497"/>
    </row>
    <row r="237" ht="15">
      <c r="Q237" s="497"/>
    </row>
    <row r="238" ht="15">
      <c r="Q238" s="497"/>
    </row>
    <row r="239" ht="15">
      <c r="Q239" s="497"/>
    </row>
    <row r="240" ht="15">
      <c r="Q240" s="497"/>
    </row>
    <row r="241" ht="15">
      <c r="Q241" s="497"/>
    </row>
    <row r="242" ht="15">
      <c r="Q242" s="497"/>
    </row>
    <row r="243" ht="15">
      <c r="Q243" s="497"/>
    </row>
    <row r="244" ht="15">
      <c r="Q244" s="497"/>
    </row>
    <row r="245" ht="15">
      <c r="Q245" s="497"/>
    </row>
    <row r="246" ht="15">
      <c r="Q246" s="497"/>
    </row>
    <row r="247" ht="15">
      <c r="Q247" s="497"/>
    </row>
    <row r="248" ht="15">
      <c r="Q248" s="497"/>
    </row>
    <row r="249" ht="15">
      <c r="Q249" s="497"/>
    </row>
    <row r="250" ht="15">
      <c r="Q250" s="497"/>
    </row>
    <row r="251" ht="15">
      <c r="Q251" s="497"/>
    </row>
    <row r="252" ht="15">
      <c r="Q252" s="497"/>
    </row>
    <row r="253" ht="15">
      <c r="Q253" s="497"/>
    </row>
    <row r="254" ht="15">
      <c r="Q254" s="497"/>
    </row>
    <row r="255" ht="15">
      <c r="Q255" s="497"/>
    </row>
    <row r="256" ht="15">
      <c r="Q256" s="497"/>
    </row>
    <row r="257" ht="15">
      <c r="Q257" s="497"/>
    </row>
    <row r="258" ht="15">
      <c r="Q258" s="497"/>
    </row>
    <row r="259" ht="15">
      <c r="Q259" s="497"/>
    </row>
    <row r="260" ht="15">
      <c r="Q260" s="497"/>
    </row>
    <row r="261" ht="15">
      <c r="Q261" s="497"/>
    </row>
    <row r="262" ht="15">
      <c r="Q262" s="497"/>
    </row>
    <row r="263" ht="15">
      <c r="Q263" s="497"/>
    </row>
    <row r="264" ht="15">
      <c r="Q264" s="497"/>
    </row>
    <row r="265" ht="15">
      <c r="Q265" s="497"/>
    </row>
    <row r="266" ht="15">
      <c r="Q266" s="497"/>
    </row>
    <row r="267" ht="15">
      <c r="Q267" s="497"/>
    </row>
    <row r="268" ht="15">
      <c r="Q268" s="497"/>
    </row>
    <row r="269" ht="15">
      <c r="Q269" s="497"/>
    </row>
    <row r="270" ht="15">
      <c r="Q270" s="497"/>
    </row>
    <row r="271" ht="15">
      <c r="Q271" s="497"/>
    </row>
    <row r="272" ht="15">
      <c r="Q272" s="497"/>
    </row>
    <row r="273" ht="15">
      <c r="Q273" s="497"/>
    </row>
    <row r="274" ht="15">
      <c r="Q274" s="497"/>
    </row>
    <row r="275" ht="15">
      <c r="Q275" s="497"/>
    </row>
    <row r="276" ht="15">
      <c r="Q276" s="497"/>
    </row>
    <row r="277" ht="15">
      <c r="Q277" s="497"/>
    </row>
    <row r="278" ht="15">
      <c r="Q278" s="497"/>
    </row>
    <row r="279" ht="15">
      <c r="Q279" s="497"/>
    </row>
    <row r="280" ht="15">
      <c r="Q280" s="497"/>
    </row>
    <row r="281" ht="15">
      <c r="Q281" s="497"/>
    </row>
    <row r="282" ht="15">
      <c r="Q282" s="497"/>
    </row>
    <row r="283" ht="15">
      <c r="Q283" s="497"/>
    </row>
    <row r="284" ht="15">
      <c r="Q284" s="497"/>
    </row>
    <row r="285" ht="15">
      <c r="Q285" s="497"/>
    </row>
    <row r="286" ht="15">
      <c r="Q286" s="497"/>
    </row>
    <row r="287" ht="15">
      <c r="Q287" s="497"/>
    </row>
    <row r="288" ht="15">
      <c r="Q288" s="497"/>
    </row>
    <row r="289" ht="15">
      <c r="Q289" s="497"/>
    </row>
    <row r="290" ht="15">
      <c r="Q290" s="497"/>
    </row>
    <row r="291" ht="15">
      <c r="Q291" s="497"/>
    </row>
    <row r="292" ht="15">
      <c r="Q292" s="497"/>
    </row>
    <row r="293" ht="15">
      <c r="Q293" s="497"/>
    </row>
    <row r="294" ht="15">
      <c r="Q294" s="497"/>
    </row>
    <row r="295" ht="15">
      <c r="Q295" s="497"/>
    </row>
    <row r="296" ht="15">
      <c r="Q296" s="497"/>
    </row>
    <row r="297" ht="15">
      <c r="Q297" s="497"/>
    </row>
    <row r="298" ht="15">
      <c r="Q298" s="497"/>
    </row>
    <row r="299" ht="15">
      <c r="Q299" s="497"/>
    </row>
    <row r="300" ht="15">
      <c r="Q300" s="497"/>
    </row>
    <row r="301" ht="15">
      <c r="Q301" s="497"/>
    </row>
    <row r="302" ht="15">
      <c r="Q302" s="497"/>
    </row>
    <row r="303" ht="15">
      <c r="Q303" s="497"/>
    </row>
    <row r="304" ht="15">
      <c r="Q304" s="497"/>
    </row>
    <row r="305" ht="15">
      <c r="Q305" s="497"/>
    </row>
    <row r="306" ht="15">
      <c r="Q306" s="497"/>
    </row>
    <row r="307" ht="15">
      <c r="Q307" s="497"/>
    </row>
    <row r="308" ht="15">
      <c r="Q308" s="497"/>
    </row>
    <row r="309" ht="15">
      <c r="Q309" s="497"/>
    </row>
    <row r="310" ht="15">
      <c r="Q310" s="497"/>
    </row>
    <row r="311" ht="15">
      <c r="Q311" s="497"/>
    </row>
    <row r="312" ht="15">
      <c r="Q312" s="497"/>
    </row>
    <row r="313" ht="15">
      <c r="Q313" s="497"/>
    </row>
    <row r="314" ht="15">
      <c r="Q314" s="497"/>
    </row>
    <row r="315" ht="15">
      <c r="Q315" s="497"/>
    </row>
    <row r="316" ht="15">
      <c r="Q316" s="497"/>
    </row>
    <row r="317" ht="15">
      <c r="Q317" s="497"/>
    </row>
    <row r="318" ht="15">
      <c r="Q318" s="497"/>
    </row>
    <row r="319" ht="15">
      <c r="Q319" s="497"/>
    </row>
    <row r="320" ht="15">
      <c r="Q320" s="497"/>
    </row>
    <row r="321" ht="15">
      <c r="Q321" s="497"/>
    </row>
    <row r="322" ht="15">
      <c r="Q322" s="497"/>
    </row>
    <row r="323" ht="15">
      <c r="Q323" s="497"/>
    </row>
    <row r="324" ht="15">
      <c r="Q324" s="497"/>
    </row>
    <row r="325" ht="15">
      <c r="Q325" s="497"/>
    </row>
    <row r="326" ht="15">
      <c r="Q326" s="497"/>
    </row>
    <row r="327" ht="15">
      <c r="Q327" s="497"/>
    </row>
    <row r="328" ht="15">
      <c r="Q328" s="497"/>
    </row>
    <row r="329" ht="15">
      <c r="Q329" s="497"/>
    </row>
    <row r="330" ht="15">
      <c r="Q330" s="497"/>
    </row>
    <row r="331" ht="15">
      <c r="Q331" s="497"/>
    </row>
    <row r="332" ht="15">
      <c r="Q332" s="497"/>
    </row>
    <row r="333" ht="15">
      <c r="Q333" s="497"/>
    </row>
    <row r="334" ht="15">
      <c r="Q334" s="497"/>
    </row>
    <row r="335" ht="15">
      <c r="Q335" s="497"/>
    </row>
    <row r="336" ht="15">
      <c r="Q336" s="497"/>
    </row>
    <row r="337" ht="15">
      <c r="Q337" s="497"/>
    </row>
    <row r="338" ht="15">
      <c r="Q338" s="497"/>
    </row>
    <row r="339" ht="15">
      <c r="Q339" s="497"/>
    </row>
    <row r="340" ht="15">
      <c r="Q340" s="497"/>
    </row>
    <row r="341" ht="15">
      <c r="Q341" s="497"/>
    </row>
    <row r="342" ht="15">
      <c r="Q342" s="497"/>
    </row>
    <row r="343" ht="15">
      <c r="Q343" s="497"/>
    </row>
    <row r="344" ht="15">
      <c r="Q344" s="497"/>
    </row>
    <row r="345" ht="15">
      <c r="Q345" s="497"/>
    </row>
    <row r="346" ht="15">
      <c r="Q346" s="497"/>
    </row>
    <row r="347" ht="15">
      <c r="Q347" s="497"/>
    </row>
    <row r="348" ht="15">
      <c r="Q348" s="497"/>
    </row>
    <row r="349" ht="15">
      <c r="Q349" s="497"/>
    </row>
    <row r="350" ht="15">
      <c r="Q350" s="497"/>
    </row>
    <row r="351" ht="15">
      <c r="Q351" s="497"/>
    </row>
    <row r="352" ht="15">
      <c r="Q352" s="497"/>
    </row>
    <row r="353" ht="15">
      <c r="Q353" s="497"/>
    </row>
    <row r="354" ht="15">
      <c r="Q354" s="497"/>
    </row>
    <row r="355" ht="15">
      <c r="Q355" s="497"/>
    </row>
    <row r="356" ht="15">
      <c r="Q356" s="497"/>
    </row>
    <row r="357" ht="15">
      <c r="Q357" s="497"/>
    </row>
    <row r="358" ht="15">
      <c r="Q358" s="497"/>
    </row>
    <row r="359" ht="15">
      <c r="Q359" s="497"/>
    </row>
    <row r="360" ht="15">
      <c r="Q360" s="497"/>
    </row>
    <row r="361" ht="15">
      <c r="Q361" s="497"/>
    </row>
    <row r="362" ht="15">
      <c r="Q362" s="497"/>
    </row>
    <row r="363" ht="15">
      <c r="Q363" s="497"/>
    </row>
    <row r="364" ht="15">
      <c r="Q364" s="497"/>
    </row>
    <row r="365" ht="15">
      <c r="Q365" s="497"/>
    </row>
    <row r="366" ht="15">
      <c r="Q366" s="497"/>
    </row>
    <row r="367" ht="15">
      <c r="Q367" s="497"/>
    </row>
    <row r="368" ht="15">
      <c r="Q368" s="497"/>
    </row>
    <row r="369" ht="15">
      <c r="Q369" s="497"/>
    </row>
    <row r="370" ht="15">
      <c r="Q370" s="497"/>
    </row>
    <row r="371" ht="15">
      <c r="Q371" s="497"/>
    </row>
    <row r="372" ht="15">
      <c r="Q372" s="497"/>
    </row>
    <row r="373" ht="15">
      <c r="Q373" s="497"/>
    </row>
    <row r="374" ht="15">
      <c r="Q374" s="497"/>
    </row>
    <row r="375" ht="15">
      <c r="Q375" s="497"/>
    </row>
    <row r="376" ht="15">
      <c r="Q376" s="497"/>
    </row>
    <row r="377" ht="15">
      <c r="Q377" s="497"/>
    </row>
    <row r="378" ht="15">
      <c r="Q378" s="497"/>
    </row>
    <row r="379" ht="15">
      <c r="Q379" s="497"/>
    </row>
    <row r="380" ht="15">
      <c r="Q380" s="497"/>
    </row>
    <row r="381" ht="15">
      <c r="Q381" s="497"/>
    </row>
    <row r="382" ht="15">
      <c r="Q382" s="497"/>
    </row>
    <row r="383" ht="15">
      <c r="Q383" s="497"/>
    </row>
    <row r="384" ht="15">
      <c r="Q384" s="497"/>
    </row>
    <row r="385" ht="15">
      <c r="Q385" s="497"/>
    </row>
    <row r="386" ht="15">
      <c r="Q386" s="497"/>
    </row>
    <row r="387" ht="15">
      <c r="Q387" s="497"/>
    </row>
    <row r="388" ht="15">
      <c r="Q388" s="497"/>
    </row>
    <row r="389" ht="15">
      <c r="Q389" s="497"/>
    </row>
    <row r="390" ht="15">
      <c r="Q390" s="497"/>
    </row>
    <row r="391" ht="15">
      <c r="Q391" s="497"/>
    </row>
    <row r="392" ht="15">
      <c r="Q392" s="497"/>
    </row>
    <row r="393" ht="15">
      <c r="Q393" s="497"/>
    </row>
    <row r="394" ht="15">
      <c r="Q394" s="497"/>
    </row>
    <row r="395" ht="15">
      <c r="Q395" s="497"/>
    </row>
    <row r="396" ht="15">
      <c r="Q396" s="497"/>
    </row>
    <row r="397" ht="15">
      <c r="Q397" s="497"/>
    </row>
    <row r="398" ht="15">
      <c r="Q398" s="497"/>
    </row>
    <row r="399" ht="15">
      <c r="Q399" s="497"/>
    </row>
    <row r="400" ht="15">
      <c r="Q400" s="497"/>
    </row>
    <row r="401" ht="15">
      <c r="Q401" s="497"/>
    </row>
    <row r="402" ht="15">
      <c r="Q402" s="497"/>
    </row>
    <row r="403" ht="15">
      <c r="Q403" s="497"/>
    </row>
    <row r="404" ht="15">
      <c r="Q404" s="497"/>
    </row>
    <row r="405" ht="15">
      <c r="Q405" s="497"/>
    </row>
    <row r="406" ht="15">
      <c r="Q406" s="497"/>
    </row>
    <row r="407" ht="15">
      <c r="Q407" s="497"/>
    </row>
    <row r="408" ht="15">
      <c r="Q408" s="497"/>
    </row>
    <row r="409" ht="15">
      <c r="Q409" s="497"/>
    </row>
    <row r="410" ht="15">
      <c r="Q410" s="497"/>
    </row>
    <row r="411" ht="15">
      <c r="Q411" s="497"/>
    </row>
    <row r="412" ht="15">
      <c r="Q412" s="497"/>
    </row>
    <row r="413" ht="15">
      <c r="Q413" s="497"/>
    </row>
    <row r="414" ht="15">
      <c r="Q414" s="497"/>
    </row>
    <row r="415" ht="15">
      <c r="Q415" s="497"/>
    </row>
    <row r="416" ht="15">
      <c r="Q416" s="497"/>
    </row>
    <row r="417" ht="15">
      <c r="Q417" s="497"/>
    </row>
    <row r="418" ht="15">
      <c r="Q418" s="497"/>
    </row>
    <row r="419" ht="15">
      <c r="Q419" s="497"/>
    </row>
    <row r="420" ht="15">
      <c r="Q420" s="497"/>
    </row>
    <row r="421" ht="15">
      <c r="Q421" s="497"/>
    </row>
    <row r="422" ht="15">
      <c r="Q422" s="497"/>
    </row>
    <row r="423" ht="15">
      <c r="Q423" s="497"/>
    </row>
    <row r="424" ht="15">
      <c r="Q424" s="497"/>
    </row>
    <row r="425" ht="15">
      <c r="Q425" s="497"/>
    </row>
    <row r="426" ht="15">
      <c r="Q426" s="497"/>
    </row>
    <row r="427" ht="15">
      <c r="Q427" s="497"/>
    </row>
    <row r="428" ht="15">
      <c r="Q428" s="497"/>
    </row>
    <row r="429" ht="15">
      <c r="Q429" s="497"/>
    </row>
    <row r="430" ht="15">
      <c r="Q430" s="497"/>
    </row>
    <row r="431" ht="15">
      <c r="Q431" s="497"/>
    </row>
    <row r="432" ht="15">
      <c r="Q432" s="497"/>
    </row>
    <row r="433" ht="15">
      <c r="Q433" s="497"/>
    </row>
    <row r="434" ht="15">
      <c r="Q434" s="497"/>
    </row>
    <row r="435" ht="15">
      <c r="Q435" s="497"/>
    </row>
    <row r="436" ht="15">
      <c r="Q436" s="497"/>
    </row>
    <row r="437" ht="15">
      <c r="Q437" s="497"/>
    </row>
    <row r="438" ht="15">
      <c r="Q438" s="497"/>
    </row>
    <row r="439" ht="15">
      <c r="Q439" s="497"/>
    </row>
    <row r="440" ht="15">
      <c r="Q440" s="497"/>
    </row>
    <row r="441" ht="15">
      <c r="Q441" s="497"/>
    </row>
    <row r="442" ht="15">
      <c r="Q442" s="497"/>
    </row>
    <row r="443" ht="15">
      <c r="Q443" s="497"/>
    </row>
    <row r="444" ht="15">
      <c r="Q444" s="497"/>
    </row>
    <row r="445" ht="15">
      <c r="Q445" s="497"/>
    </row>
    <row r="446" ht="15">
      <c r="Q446" s="497"/>
    </row>
    <row r="447" ht="15">
      <c r="Q447" s="497"/>
    </row>
    <row r="448" ht="15">
      <c r="Q448" s="497"/>
    </row>
    <row r="449" ht="15">
      <c r="Q449" s="497"/>
    </row>
    <row r="450" ht="15">
      <c r="Q450" s="497"/>
    </row>
    <row r="451" ht="15">
      <c r="Q451" s="497"/>
    </row>
    <row r="452" ht="15">
      <c r="Q452" s="497"/>
    </row>
    <row r="453" ht="15">
      <c r="Q453" s="497"/>
    </row>
    <row r="454" ht="15">
      <c r="Q454" s="497"/>
    </row>
    <row r="455" ht="15">
      <c r="Q455" s="497"/>
    </row>
    <row r="456" ht="15">
      <c r="Q456" s="497"/>
    </row>
    <row r="457" ht="15">
      <c r="Q457" s="497"/>
    </row>
    <row r="458" ht="15">
      <c r="Q458" s="497"/>
    </row>
    <row r="459" ht="15">
      <c r="Q459" s="497"/>
    </row>
    <row r="460" ht="15">
      <c r="Q460" s="497"/>
    </row>
    <row r="461" ht="15">
      <c r="Q461" s="497"/>
    </row>
    <row r="462" ht="15">
      <c r="Q462" s="497"/>
    </row>
    <row r="463" ht="15">
      <c r="Q463" s="497"/>
    </row>
    <row r="464" ht="15">
      <c r="Q464" s="497"/>
    </row>
    <row r="465" ht="15">
      <c r="Q465" s="497"/>
    </row>
    <row r="466" ht="15">
      <c r="Q466" s="497"/>
    </row>
    <row r="467" ht="15">
      <c r="Q467" s="497"/>
    </row>
    <row r="468" ht="15">
      <c r="Q468" s="497"/>
    </row>
    <row r="469" ht="15">
      <c r="Q469" s="497"/>
    </row>
    <row r="470" ht="15">
      <c r="Q470" s="497"/>
    </row>
    <row r="471" ht="15">
      <c r="Q471" s="497"/>
    </row>
    <row r="472" ht="15">
      <c r="Q472" s="497"/>
    </row>
    <row r="473" ht="15">
      <c r="Q473" s="497"/>
    </row>
    <row r="474" ht="15">
      <c r="Q474" s="497"/>
    </row>
    <row r="475" ht="15">
      <c r="Q475" s="497"/>
    </row>
    <row r="476" ht="15">
      <c r="Q476" s="497"/>
    </row>
    <row r="477" ht="15">
      <c r="Q477" s="497"/>
    </row>
    <row r="478" ht="15">
      <c r="Q478" s="497"/>
    </row>
    <row r="479" ht="15">
      <c r="Q479" s="497"/>
    </row>
    <row r="480" ht="15">
      <c r="Q480" s="497"/>
    </row>
    <row r="481" ht="15">
      <c r="Q481" s="497"/>
    </row>
    <row r="482" ht="15">
      <c r="Q482" s="497"/>
    </row>
    <row r="483" ht="15">
      <c r="Q483" s="497"/>
    </row>
    <row r="484" ht="15">
      <c r="Q484" s="497"/>
    </row>
    <row r="485" ht="15">
      <c r="Q485" s="497"/>
    </row>
    <row r="486" ht="15">
      <c r="Q486" s="497"/>
    </row>
    <row r="487" ht="15">
      <c r="Q487" s="497"/>
    </row>
    <row r="488" ht="15">
      <c r="Q488" s="497"/>
    </row>
    <row r="489" ht="15">
      <c r="Q489" s="497"/>
    </row>
    <row r="490" ht="15">
      <c r="Q490" s="497"/>
    </row>
    <row r="491" ht="15">
      <c r="Q491" s="497"/>
    </row>
    <row r="492" ht="15">
      <c r="Q492" s="497"/>
    </row>
    <row r="493" ht="15">
      <c r="Q493" s="497"/>
    </row>
    <row r="494" ht="15">
      <c r="Q494" s="497"/>
    </row>
    <row r="495" ht="15">
      <c r="Q495" s="497"/>
    </row>
    <row r="496" ht="15">
      <c r="Q496" s="497"/>
    </row>
    <row r="497" ht="15">
      <c r="Q497" s="497"/>
    </row>
    <row r="498" ht="15">
      <c r="Q498" s="497"/>
    </row>
    <row r="499" ht="15">
      <c r="Q499" s="497"/>
    </row>
    <row r="500" ht="15">
      <c r="Q500" s="497"/>
    </row>
    <row r="501" ht="15">
      <c r="Q501" s="497"/>
    </row>
    <row r="502" ht="15">
      <c r="Q502" s="497"/>
    </row>
    <row r="503" ht="15">
      <c r="Q503" s="497"/>
    </row>
    <row r="504" ht="15">
      <c r="Q504" s="497"/>
    </row>
    <row r="505" ht="15">
      <c r="Q505" s="497"/>
    </row>
    <row r="506" ht="15">
      <c r="Q506" s="497"/>
    </row>
    <row r="507" ht="15">
      <c r="Q507" s="497"/>
    </row>
    <row r="508" ht="15">
      <c r="Q508" s="497"/>
    </row>
    <row r="509" ht="15">
      <c r="Q509" s="497"/>
    </row>
    <row r="510" ht="15">
      <c r="Q510" s="497"/>
    </row>
    <row r="511" ht="15">
      <c r="Q511" s="497"/>
    </row>
    <row r="512" ht="15">
      <c r="Q512" s="497"/>
    </row>
    <row r="513" ht="15">
      <c r="Q513" s="497"/>
    </row>
    <row r="514" ht="15">
      <c r="Q514" s="497"/>
    </row>
    <row r="515" ht="15">
      <c r="Q515" s="497"/>
    </row>
    <row r="516" ht="15">
      <c r="Q516" s="497"/>
    </row>
    <row r="517" ht="15">
      <c r="Q517" s="497"/>
    </row>
    <row r="518" ht="15">
      <c r="Q518" s="497"/>
    </row>
    <row r="519" ht="15">
      <c r="Q519" s="497"/>
    </row>
    <row r="520" ht="15">
      <c r="Q520" s="497"/>
    </row>
    <row r="521" ht="15">
      <c r="Q521" s="497"/>
    </row>
    <row r="522" ht="15">
      <c r="Q522" s="497"/>
    </row>
    <row r="523" ht="15">
      <c r="Q523" s="497"/>
    </row>
    <row r="524" ht="15">
      <c r="Q524" s="497"/>
    </row>
    <row r="525" ht="15">
      <c r="Q525" s="497"/>
    </row>
    <row r="526" ht="15">
      <c r="Q526" s="497"/>
    </row>
    <row r="527" ht="15">
      <c r="Q527" s="497"/>
    </row>
    <row r="528" ht="15">
      <c r="Q528" s="497"/>
    </row>
    <row r="529" ht="15">
      <c r="Q529" s="497"/>
    </row>
    <row r="530" ht="15">
      <c r="Q530" s="497"/>
    </row>
    <row r="531" ht="15">
      <c r="Q531" s="497"/>
    </row>
    <row r="532" ht="15">
      <c r="Q532" s="497"/>
    </row>
    <row r="533" ht="15">
      <c r="Q533" s="497"/>
    </row>
    <row r="534" ht="15">
      <c r="Q534" s="497"/>
    </row>
    <row r="535" ht="15">
      <c r="Q535" s="497"/>
    </row>
    <row r="536" ht="15">
      <c r="Q536" s="497"/>
    </row>
    <row r="537" ht="15">
      <c r="Q537" s="497"/>
    </row>
    <row r="538" ht="15">
      <c r="Q538" s="497"/>
    </row>
    <row r="539" ht="15">
      <c r="Q539" s="497"/>
    </row>
    <row r="540" ht="15">
      <c r="Q540" s="497"/>
    </row>
    <row r="541" ht="15">
      <c r="Q541" s="497"/>
    </row>
    <row r="542" ht="15">
      <c r="Q542" s="497"/>
    </row>
    <row r="543" ht="15">
      <c r="Q543" s="497"/>
    </row>
    <row r="544" ht="15">
      <c r="Q544" s="497"/>
    </row>
    <row r="545" ht="15">
      <c r="Q545" s="497"/>
    </row>
    <row r="546" ht="15">
      <c r="Q546" s="497"/>
    </row>
    <row r="547" ht="15">
      <c r="Q547" s="497"/>
    </row>
    <row r="548" ht="15">
      <c r="Q548" s="497"/>
    </row>
    <row r="549" ht="15">
      <c r="Q549" s="497"/>
    </row>
    <row r="550" ht="15">
      <c r="Q550" s="497"/>
    </row>
    <row r="551" ht="15">
      <c r="Q551" s="497"/>
    </row>
    <row r="552" ht="15">
      <c r="Q552" s="497"/>
    </row>
    <row r="553" ht="15">
      <c r="Q553" s="497"/>
    </row>
    <row r="554" ht="15">
      <c r="Q554" s="497"/>
    </row>
    <row r="555" ht="15">
      <c r="Q555" s="497"/>
    </row>
    <row r="556" ht="15">
      <c r="Q556" s="497"/>
    </row>
    <row r="557" ht="15">
      <c r="Q557" s="497"/>
    </row>
    <row r="558" ht="15">
      <c r="Q558" s="497"/>
    </row>
    <row r="559" ht="15">
      <c r="Q559" s="497"/>
    </row>
    <row r="560" ht="15">
      <c r="Q560" s="497"/>
    </row>
    <row r="561" ht="15">
      <c r="Q561" s="497"/>
    </row>
    <row r="562" ht="15">
      <c r="Q562" s="497"/>
    </row>
    <row r="563" ht="15">
      <c r="Q563" s="497"/>
    </row>
    <row r="564" ht="15">
      <c r="Q564" s="497"/>
    </row>
    <row r="565" ht="15">
      <c r="Q565" s="497"/>
    </row>
    <row r="566" ht="15">
      <c r="Q566" s="497"/>
    </row>
    <row r="567" ht="15">
      <c r="Q567" s="497"/>
    </row>
    <row r="568" ht="15">
      <c r="Q568" s="497"/>
    </row>
    <row r="569" ht="15">
      <c r="Q569" s="497"/>
    </row>
    <row r="570" ht="15">
      <c r="Q570" s="497"/>
    </row>
    <row r="571" ht="15">
      <c r="Q571" s="497"/>
    </row>
    <row r="572" ht="15">
      <c r="Q572" s="497"/>
    </row>
    <row r="573" ht="15">
      <c r="Q573" s="497"/>
    </row>
    <row r="574" ht="15">
      <c r="Q574" s="497"/>
    </row>
    <row r="575" ht="15">
      <c r="Q575" s="497"/>
    </row>
    <row r="576" ht="15">
      <c r="Q576" s="497"/>
    </row>
    <row r="577" ht="15">
      <c r="Q577" s="497"/>
    </row>
    <row r="578" ht="15">
      <c r="Q578" s="497"/>
    </row>
    <row r="579" ht="15">
      <c r="Q579" s="497"/>
    </row>
    <row r="580" ht="15">
      <c r="Q580" s="497"/>
    </row>
    <row r="581" ht="15">
      <c r="Q581" s="497"/>
    </row>
    <row r="582" ht="15">
      <c r="Q582" s="497"/>
    </row>
    <row r="583" ht="15">
      <c r="Q583" s="497"/>
    </row>
    <row r="584" ht="15">
      <c r="Q584" s="497"/>
    </row>
    <row r="585" ht="15">
      <c r="Q585" s="497"/>
    </row>
    <row r="586" ht="15">
      <c r="Q586" s="497"/>
    </row>
    <row r="587" ht="15">
      <c r="Q587" s="497"/>
    </row>
    <row r="588" ht="15">
      <c r="Q588" s="497"/>
    </row>
    <row r="589" ht="15">
      <c r="Q589" s="497"/>
    </row>
    <row r="590" ht="15">
      <c r="Q590" s="497"/>
    </row>
    <row r="591" ht="15">
      <c r="Q591" s="497"/>
    </row>
    <row r="592" ht="15">
      <c r="Q592" s="497"/>
    </row>
    <row r="593" ht="15">
      <c r="Q593" s="497"/>
    </row>
    <row r="594" ht="15">
      <c r="Q594" s="497"/>
    </row>
    <row r="595" ht="15">
      <c r="Q595" s="497"/>
    </row>
    <row r="596" ht="15">
      <c r="Q596" s="497"/>
    </row>
    <row r="597" ht="15">
      <c r="Q597" s="497"/>
    </row>
    <row r="598" ht="15">
      <c r="Q598" s="497"/>
    </row>
    <row r="599" ht="15">
      <c r="Q599" s="497"/>
    </row>
    <row r="600" ht="15">
      <c r="Q600" s="497"/>
    </row>
    <row r="601" ht="15">
      <c r="Q601" s="497"/>
    </row>
    <row r="602" ht="15">
      <c r="Q602" s="497"/>
    </row>
    <row r="603" ht="15">
      <c r="Q603" s="497"/>
    </row>
    <row r="604" ht="15">
      <c r="Q604" s="497"/>
    </row>
    <row r="605" ht="15">
      <c r="Q605" s="497"/>
    </row>
    <row r="606" ht="15">
      <c r="Q606" s="497"/>
    </row>
    <row r="607" ht="15">
      <c r="Q607" s="497"/>
    </row>
    <row r="608" ht="15">
      <c r="Q608" s="497"/>
    </row>
    <row r="609" ht="15">
      <c r="Q609" s="497"/>
    </row>
    <row r="610" ht="15">
      <c r="Q610" s="497"/>
    </row>
    <row r="611" ht="15">
      <c r="Q611" s="497"/>
    </row>
    <row r="612" ht="15">
      <c r="Q612" s="497"/>
    </row>
    <row r="613" ht="15">
      <c r="Q613" s="497"/>
    </row>
    <row r="614" ht="15">
      <c r="Q614" s="497"/>
    </row>
    <row r="615" ht="15">
      <c r="Q615" s="497"/>
    </row>
    <row r="616" ht="15">
      <c r="Q616" s="497"/>
    </row>
    <row r="617" ht="15">
      <c r="Q617" s="497"/>
    </row>
    <row r="618" ht="15">
      <c r="Q618" s="497"/>
    </row>
    <row r="619" ht="15">
      <c r="Q619" s="497"/>
    </row>
    <row r="620" ht="15">
      <c r="Q620" s="497"/>
    </row>
    <row r="621" ht="15">
      <c r="Q621" s="497"/>
    </row>
    <row r="622" ht="15">
      <c r="Q622" s="497"/>
    </row>
    <row r="623" ht="15">
      <c r="Q623" s="497"/>
    </row>
    <row r="624" ht="15">
      <c r="Q624" s="497"/>
    </row>
    <row r="625" ht="15">
      <c r="Q625" s="497"/>
    </row>
    <row r="626" ht="15">
      <c r="Q626" s="497"/>
    </row>
    <row r="627" ht="15">
      <c r="Q627" s="497"/>
    </row>
    <row r="628" ht="15">
      <c r="Q628" s="497"/>
    </row>
    <row r="629" ht="15">
      <c r="Q629" s="497"/>
    </row>
    <row r="630" ht="15">
      <c r="Q630" s="497"/>
    </row>
    <row r="631" ht="15">
      <c r="Q631" s="497"/>
    </row>
    <row r="632" ht="15">
      <c r="Q632" s="497"/>
    </row>
    <row r="633" ht="15">
      <c r="Q633" s="497"/>
    </row>
    <row r="634" ht="15">
      <c r="Q634" s="497"/>
    </row>
    <row r="635" ht="15">
      <c r="Q635" s="497"/>
    </row>
    <row r="636" ht="15">
      <c r="Q636" s="497"/>
    </row>
    <row r="637" ht="15">
      <c r="Q637" s="497"/>
    </row>
    <row r="638" ht="15">
      <c r="Q638" s="497"/>
    </row>
    <row r="639" ht="15">
      <c r="Q639" s="497"/>
    </row>
    <row r="640" ht="15">
      <c r="Q640" s="497"/>
    </row>
    <row r="641" ht="15">
      <c r="Q641" s="497"/>
    </row>
    <row r="642" ht="15">
      <c r="Q642" s="497"/>
    </row>
    <row r="643" ht="15">
      <c r="Q643" s="497"/>
    </row>
    <row r="644" ht="15">
      <c r="Q644" s="497"/>
    </row>
    <row r="645" ht="15">
      <c r="Q645" s="497"/>
    </row>
    <row r="646" ht="15">
      <c r="Q646" s="497"/>
    </row>
    <row r="647" ht="15">
      <c r="Q647" s="497"/>
    </row>
    <row r="648" ht="15">
      <c r="Q648" s="497"/>
    </row>
    <row r="649" ht="15">
      <c r="Q649" s="497"/>
    </row>
    <row r="650" ht="15">
      <c r="Q650" s="497"/>
    </row>
    <row r="651" ht="15">
      <c r="Q651" s="497"/>
    </row>
    <row r="652" ht="15">
      <c r="Q652" s="497"/>
    </row>
    <row r="653" ht="15">
      <c r="Q653" s="497"/>
    </row>
    <row r="654" ht="15">
      <c r="Q654" s="497"/>
    </row>
    <row r="655" ht="15">
      <c r="Q655" s="497"/>
    </row>
    <row r="656" ht="15">
      <c r="Q656" s="497"/>
    </row>
    <row r="657" ht="15">
      <c r="Q657" s="497"/>
    </row>
    <row r="658" ht="15">
      <c r="Q658" s="497"/>
    </row>
    <row r="659" ht="15">
      <c r="Q659" s="497"/>
    </row>
    <row r="660" ht="15">
      <c r="Q660" s="497"/>
    </row>
    <row r="661" ht="15">
      <c r="Q661" s="497"/>
    </row>
    <row r="662" ht="15">
      <c r="Q662" s="497"/>
    </row>
    <row r="663" ht="15">
      <c r="Q663" s="497"/>
    </row>
    <row r="664" ht="15">
      <c r="Q664" s="497"/>
    </row>
    <row r="665" ht="15">
      <c r="Q665" s="497"/>
    </row>
    <row r="666" ht="15">
      <c r="Q666" s="497"/>
    </row>
    <row r="667" ht="15">
      <c r="Q667" s="497"/>
    </row>
    <row r="668" ht="15">
      <c r="Q668" s="497"/>
    </row>
    <row r="669" ht="15">
      <c r="Q669" s="497"/>
    </row>
    <row r="670" ht="15">
      <c r="Q670" s="497"/>
    </row>
    <row r="671" ht="15">
      <c r="Q671" s="497"/>
    </row>
    <row r="672" ht="15">
      <c r="Q672" s="497"/>
    </row>
    <row r="673" ht="15">
      <c r="Q673" s="497"/>
    </row>
    <row r="674" ht="15">
      <c r="Q674" s="497"/>
    </row>
    <row r="675" ht="15">
      <c r="Q675" s="497"/>
    </row>
    <row r="676" ht="15">
      <c r="Q676" s="497"/>
    </row>
    <row r="677" ht="15">
      <c r="Q677" s="497"/>
    </row>
    <row r="678" ht="15">
      <c r="Q678" s="497"/>
    </row>
    <row r="679" ht="15">
      <c r="Q679" s="497"/>
    </row>
    <row r="680" ht="15">
      <c r="Q680" s="497"/>
    </row>
    <row r="681" ht="15">
      <c r="Q681" s="497"/>
    </row>
    <row r="682" ht="15">
      <c r="Q682" s="497"/>
    </row>
    <row r="683" ht="15">
      <c r="Q683" s="497"/>
    </row>
    <row r="684" ht="15">
      <c r="Q684" s="497"/>
    </row>
    <row r="685" ht="15">
      <c r="Q685" s="497"/>
    </row>
    <row r="686" ht="15">
      <c r="Q686" s="497"/>
    </row>
    <row r="687" ht="15">
      <c r="Q687" s="497"/>
    </row>
    <row r="688" ht="15">
      <c r="Q688" s="497"/>
    </row>
    <row r="689" ht="15">
      <c r="Q689" s="497"/>
    </row>
    <row r="690" ht="15">
      <c r="Q690" s="497"/>
    </row>
    <row r="691" ht="15">
      <c r="Q691" s="497"/>
    </row>
    <row r="692" ht="15">
      <c r="Q692" s="497"/>
    </row>
    <row r="693" ht="15">
      <c r="Q693" s="497"/>
    </row>
    <row r="694" ht="15">
      <c r="Q694" s="497"/>
    </row>
    <row r="695" ht="15">
      <c r="Q695" s="497"/>
    </row>
    <row r="696" ht="15">
      <c r="Q696" s="497"/>
    </row>
    <row r="697" ht="15">
      <c r="Q697" s="497"/>
    </row>
    <row r="698" ht="15">
      <c r="Q698" s="497"/>
    </row>
    <row r="699" ht="15">
      <c r="Q699" s="497"/>
    </row>
    <row r="700" ht="15">
      <c r="Q700" s="497"/>
    </row>
    <row r="701" ht="15">
      <c r="Q701" s="497"/>
    </row>
    <row r="702" ht="15">
      <c r="Q702" s="497"/>
    </row>
    <row r="703" ht="15">
      <c r="Q703" s="497"/>
    </row>
    <row r="704" ht="15">
      <c r="Q704" s="497"/>
    </row>
    <row r="705" ht="15">
      <c r="Q705" s="497"/>
    </row>
    <row r="706" ht="15">
      <c r="Q706" s="497"/>
    </row>
    <row r="707" ht="15">
      <c r="Q707" s="497"/>
    </row>
    <row r="708" ht="15">
      <c r="Q708" s="497"/>
    </row>
    <row r="709" ht="15">
      <c r="Q709" s="497"/>
    </row>
    <row r="710" ht="15">
      <c r="Q710" s="497"/>
    </row>
    <row r="711" ht="15">
      <c r="Q711" s="497"/>
    </row>
    <row r="712" ht="15">
      <c r="Q712" s="497"/>
    </row>
    <row r="713" ht="15">
      <c r="Q713" s="497"/>
    </row>
    <row r="714" ht="15">
      <c r="Q714" s="497"/>
    </row>
    <row r="715" ht="15">
      <c r="Q715" s="497"/>
    </row>
    <row r="716" ht="15">
      <c r="Q716" s="497"/>
    </row>
    <row r="717" ht="15">
      <c r="Q717" s="497"/>
    </row>
    <row r="718" ht="15">
      <c r="Q718" s="497"/>
    </row>
    <row r="719" ht="15">
      <c r="Q719" s="497"/>
    </row>
    <row r="720" ht="15">
      <c r="Q720" s="497"/>
    </row>
    <row r="721" ht="15">
      <c r="Q721" s="497"/>
    </row>
    <row r="722" ht="15">
      <c r="Q722" s="497"/>
    </row>
    <row r="723" ht="15">
      <c r="Q723" s="497"/>
    </row>
    <row r="724" ht="15">
      <c r="Q724" s="497"/>
    </row>
    <row r="725" ht="15">
      <c r="Q725" s="497"/>
    </row>
    <row r="726" ht="15">
      <c r="Q726" s="497"/>
    </row>
    <row r="727" ht="15">
      <c r="Q727" s="497"/>
    </row>
    <row r="728" ht="15">
      <c r="Q728" s="497"/>
    </row>
    <row r="729" ht="15">
      <c r="Q729" s="497"/>
    </row>
    <row r="730" ht="15">
      <c r="Q730" s="497"/>
    </row>
    <row r="731" ht="15">
      <c r="Q731" s="497"/>
    </row>
    <row r="732" ht="15">
      <c r="Q732" s="497"/>
    </row>
    <row r="733" ht="15">
      <c r="Q733" s="497"/>
    </row>
    <row r="734" ht="15">
      <c r="Q734" s="497"/>
    </row>
    <row r="735" ht="15">
      <c r="Q735" s="497"/>
    </row>
    <row r="736" ht="15">
      <c r="Q736" s="497"/>
    </row>
    <row r="737" ht="15">
      <c r="Q737" s="497"/>
    </row>
    <row r="738" ht="15">
      <c r="Q738" s="497"/>
    </row>
    <row r="739" ht="15">
      <c r="Q739" s="497"/>
    </row>
    <row r="740" ht="15">
      <c r="Q740" s="497"/>
    </row>
    <row r="741" ht="15">
      <c r="Q741" s="497"/>
    </row>
    <row r="742" ht="15">
      <c r="Q742" s="497"/>
    </row>
    <row r="743" ht="15">
      <c r="Q743" s="497"/>
    </row>
    <row r="744" ht="15">
      <c r="Q744" s="497"/>
    </row>
    <row r="745" ht="15">
      <c r="Q745" s="497"/>
    </row>
    <row r="746" ht="15">
      <c r="Q746" s="497"/>
    </row>
    <row r="747" ht="15">
      <c r="Q747" s="497"/>
    </row>
    <row r="748" ht="15">
      <c r="Q748" s="497"/>
    </row>
    <row r="749" ht="15">
      <c r="Q749" s="497"/>
    </row>
    <row r="750" ht="15">
      <c r="Q750" s="497"/>
    </row>
    <row r="751" ht="15">
      <c r="Q751" s="497"/>
    </row>
    <row r="752" ht="15">
      <c r="Q752" s="497"/>
    </row>
    <row r="753" ht="15">
      <c r="Q753" s="497"/>
    </row>
    <row r="754" ht="15">
      <c r="Q754" s="497"/>
    </row>
    <row r="755" ht="15">
      <c r="Q755" s="497"/>
    </row>
    <row r="756" ht="15">
      <c r="Q756" s="497"/>
    </row>
    <row r="757" ht="15">
      <c r="Q757" s="497"/>
    </row>
    <row r="758" ht="15">
      <c r="Q758" s="497"/>
    </row>
    <row r="759" ht="15">
      <c r="Q759" s="497"/>
    </row>
    <row r="760" ht="15">
      <c r="Q760" s="497"/>
    </row>
    <row r="761" ht="15">
      <c r="Q761" s="497"/>
    </row>
    <row r="762" ht="15">
      <c r="Q762" s="497"/>
    </row>
    <row r="763" ht="15">
      <c r="Q763" s="497"/>
    </row>
    <row r="764" ht="15">
      <c r="Q764" s="497"/>
    </row>
    <row r="765" ht="15">
      <c r="Q765" s="497"/>
    </row>
    <row r="766" ht="15">
      <c r="Q766" s="497"/>
    </row>
    <row r="767" ht="15">
      <c r="Q767" s="497"/>
    </row>
    <row r="768" ht="15">
      <c r="Q768" s="497"/>
    </row>
    <row r="769" ht="15">
      <c r="Q769" s="497"/>
    </row>
    <row r="770" ht="15">
      <c r="Q770" s="497"/>
    </row>
    <row r="771" ht="15">
      <c r="Q771" s="497"/>
    </row>
    <row r="772" ht="15">
      <c r="Q772" s="497"/>
    </row>
    <row r="773" ht="15">
      <c r="Q773" s="497"/>
    </row>
    <row r="774" ht="15">
      <c r="Q774" s="497"/>
    </row>
    <row r="775" ht="15">
      <c r="Q775" s="497"/>
    </row>
    <row r="776" ht="15">
      <c r="Q776" s="497"/>
    </row>
    <row r="777" ht="15">
      <c r="Q777" s="497"/>
    </row>
    <row r="778" ht="15">
      <c r="Q778" s="497"/>
    </row>
    <row r="779" ht="15">
      <c r="Q779" s="497"/>
    </row>
    <row r="780" ht="15">
      <c r="Q780" s="497"/>
    </row>
    <row r="781" ht="15">
      <c r="Q781" s="497"/>
    </row>
    <row r="782" ht="15">
      <c r="Q782" s="497"/>
    </row>
    <row r="783" ht="15">
      <c r="Q783" s="497"/>
    </row>
    <row r="784" ht="15">
      <c r="Q784" s="497"/>
    </row>
    <row r="785" ht="15">
      <c r="Q785" s="497"/>
    </row>
    <row r="786" ht="15">
      <c r="Q786" s="497"/>
    </row>
    <row r="787" ht="15">
      <c r="Q787" s="497"/>
    </row>
    <row r="788" ht="15">
      <c r="Q788" s="497"/>
    </row>
    <row r="789" ht="15">
      <c r="Q789" s="497"/>
    </row>
    <row r="790" ht="15">
      <c r="Q790" s="497"/>
    </row>
    <row r="791" ht="15">
      <c r="Q791" s="497"/>
    </row>
    <row r="792" ht="15">
      <c r="Q792" s="497"/>
    </row>
    <row r="793" ht="15">
      <c r="Q793" s="497"/>
    </row>
    <row r="794" ht="15">
      <c r="Q794" s="497"/>
    </row>
    <row r="795" ht="15">
      <c r="Q795" s="497"/>
    </row>
    <row r="796" ht="15">
      <c r="Q796" s="497"/>
    </row>
    <row r="797" ht="15">
      <c r="Q797" s="497"/>
    </row>
    <row r="798" ht="15">
      <c r="Q798" s="497"/>
    </row>
    <row r="799" ht="15">
      <c r="Q799" s="497"/>
    </row>
    <row r="800" ht="15">
      <c r="Q800" s="497"/>
    </row>
    <row r="801" ht="15">
      <c r="Q801" s="497"/>
    </row>
    <row r="802" ht="15">
      <c r="Q802" s="497"/>
    </row>
    <row r="803" ht="15">
      <c r="Q803" s="497"/>
    </row>
    <row r="804" ht="15">
      <c r="Q804" s="497"/>
    </row>
    <row r="805" ht="15">
      <c r="Q805" s="497"/>
    </row>
    <row r="806" ht="15">
      <c r="Q806" s="497"/>
    </row>
    <row r="807" ht="15">
      <c r="Q807" s="497"/>
    </row>
    <row r="808" ht="15">
      <c r="Q808" s="497"/>
    </row>
    <row r="809" ht="15">
      <c r="Q809" s="497"/>
    </row>
    <row r="810" ht="15">
      <c r="Q810" s="497"/>
    </row>
    <row r="811" ht="15">
      <c r="Q811" s="497"/>
    </row>
    <row r="812" ht="15">
      <c r="Q812" s="497"/>
    </row>
    <row r="813" ht="15">
      <c r="Q813" s="497"/>
    </row>
    <row r="814" ht="15">
      <c r="Q814" s="497"/>
    </row>
    <row r="815" ht="15">
      <c r="Q815" s="497"/>
    </row>
    <row r="816" ht="15">
      <c r="Q816" s="497"/>
    </row>
    <row r="817" ht="15">
      <c r="Q817" s="497"/>
    </row>
    <row r="818" ht="15">
      <c r="Q818" s="497"/>
    </row>
    <row r="819" ht="15">
      <c r="Q819" s="497"/>
    </row>
    <row r="820" ht="15">
      <c r="Q820" s="497"/>
    </row>
    <row r="821" ht="15">
      <c r="Q821" s="497"/>
    </row>
    <row r="822" ht="15">
      <c r="Q822" s="497"/>
    </row>
    <row r="823" ht="15">
      <c r="Q823" s="497"/>
    </row>
    <row r="824" ht="15">
      <c r="Q824" s="497"/>
    </row>
    <row r="825" ht="15">
      <c r="Q825" s="497"/>
    </row>
    <row r="826" ht="15">
      <c r="Q826" s="497"/>
    </row>
    <row r="827" ht="15">
      <c r="Q827" s="497"/>
    </row>
    <row r="828" ht="15">
      <c r="Q828" s="497"/>
    </row>
    <row r="829" ht="15">
      <c r="Q829" s="497"/>
    </row>
    <row r="830" ht="15">
      <c r="Q830" s="497"/>
    </row>
    <row r="831" ht="15">
      <c r="Q831" s="497"/>
    </row>
    <row r="832" ht="15">
      <c r="Q832" s="497"/>
    </row>
    <row r="833" ht="15">
      <c r="Q833" s="497"/>
    </row>
    <row r="834" ht="15">
      <c r="Q834" s="497"/>
    </row>
    <row r="835" ht="15">
      <c r="Q835" s="497"/>
    </row>
    <row r="836" ht="15">
      <c r="Q836" s="497"/>
    </row>
    <row r="837" ht="15">
      <c r="Q837" s="497"/>
    </row>
    <row r="838" ht="15">
      <c r="Q838" s="497"/>
    </row>
    <row r="839" ht="15">
      <c r="Q839" s="497"/>
    </row>
    <row r="840" ht="15">
      <c r="Q840" s="497"/>
    </row>
    <row r="841" ht="15">
      <c r="Q841" s="497"/>
    </row>
    <row r="842" ht="15">
      <c r="Q842" s="497"/>
    </row>
    <row r="843" ht="15">
      <c r="Q843" s="497"/>
    </row>
    <row r="844" ht="15">
      <c r="Q844" s="497"/>
    </row>
    <row r="845" ht="15">
      <c r="Q845" s="497"/>
    </row>
    <row r="846" ht="15">
      <c r="Q846" s="497"/>
    </row>
    <row r="847" ht="15">
      <c r="Q847" s="497"/>
    </row>
    <row r="848" ht="15">
      <c r="Q848" s="497"/>
    </row>
    <row r="849" ht="15">
      <c r="Q849" s="497"/>
    </row>
    <row r="850" ht="15">
      <c r="Q850" s="497"/>
    </row>
    <row r="851" ht="15">
      <c r="Q851" s="497"/>
    </row>
    <row r="852" ht="15">
      <c r="Q852" s="497"/>
    </row>
    <row r="853" ht="15">
      <c r="Q853" s="497"/>
    </row>
    <row r="854" ht="15">
      <c r="Q854" s="497"/>
    </row>
    <row r="855" ht="15">
      <c r="Q855" s="497"/>
    </row>
    <row r="856" ht="15">
      <c r="Q856" s="497"/>
    </row>
    <row r="857" ht="15">
      <c r="Q857" s="497"/>
    </row>
    <row r="858" ht="15">
      <c r="Q858" s="497"/>
    </row>
    <row r="859" ht="15">
      <c r="Q859" s="497"/>
    </row>
    <row r="860" ht="15">
      <c r="Q860" s="497"/>
    </row>
    <row r="861" ht="15">
      <c r="Q861" s="497"/>
    </row>
    <row r="862" ht="15">
      <c r="Q862" s="497"/>
    </row>
    <row r="863" ht="15">
      <c r="Q863" s="497"/>
    </row>
    <row r="864" ht="15">
      <c r="Q864" s="497"/>
    </row>
    <row r="865" ht="15">
      <c r="Q865" s="497"/>
    </row>
    <row r="866" ht="15">
      <c r="Q866" s="497"/>
    </row>
    <row r="867" ht="15">
      <c r="Q867" s="497"/>
    </row>
    <row r="868" ht="15">
      <c r="Q868" s="497"/>
    </row>
    <row r="869" ht="15">
      <c r="Q869" s="497"/>
    </row>
    <row r="870" ht="15">
      <c r="Q870" s="497"/>
    </row>
    <row r="871" ht="15">
      <c r="Q871" s="497"/>
    </row>
    <row r="872" ht="15">
      <c r="Q872" s="497"/>
    </row>
    <row r="873" ht="15">
      <c r="Q873" s="497"/>
    </row>
    <row r="874" ht="15">
      <c r="Q874" s="497"/>
    </row>
    <row r="875" ht="15">
      <c r="Q875" s="497"/>
    </row>
    <row r="876" ht="15">
      <c r="Q876" s="497"/>
    </row>
    <row r="877" ht="15">
      <c r="Q877" s="497"/>
    </row>
    <row r="878" ht="15">
      <c r="Q878" s="497"/>
    </row>
    <row r="879" ht="15">
      <c r="Q879" s="497"/>
    </row>
    <row r="880" ht="15">
      <c r="Q880" s="497"/>
    </row>
    <row r="881" ht="15">
      <c r="Q881" s="497"/>
    </row>
    <row r="882" ht="15">
      <c r="Q882" s="497"/>
    </row>
    <row r="883" ht="15">
      <c r="Q883" s="497"/>
    </row>
    <row r="884" ht="15">
      <c r="Q884" s="497"/>
    </row>
    <row r="885" ht="15">
      <c r="Q885" s="497"/>
    </row>
    <row r="886" ht="15">
      <c r="Q886" s="497"/>
    </row>
    <row r="887" ht="15">
      <c r="Q887" s="497"/>
    </row>
    <row r="888" ht="15">
      <c r="Q888" s="497"/>
    </row>
    <row r="889" ht="15">
      <c r="Q889" s="497"/>
    </row>
    <row r="890" ht="15">
      <c r="Q890" s="497"/>
    </row>
    <row r="891" ht="15">
      <c r="Q891" s="497"/>
    </row>
    <row r="892" ht="15">
      <c r="Q892" s="497"/>
    </row>
    <row r="893" ht="15">
      <c r="Q893" s="497"/>
    </row>
    <row r="894" ht="15">
      <c r="Q894" s="497"/>
    </row>
    <row r="895" ht="15">
      <c r="Q895" s="497"/>
    </row>
    <row r="896" ht="15">
      <c r="Q896" s="497"/>
    </row>
    <row r="897" ht="15">
      <c r="Q897" s="497"/>
    </row>
    <row r="898" ht="15">
      <c r="Q898" s="497"/>
    </row>
    <row r="899" ht="15">
      <c r="Q899" s="497"/>
    </row>
    <row r="900" ht="15">
      <c r="Q900" s="497"/>
    </row>
    <row r="901" ht="15">
      <c r="Q901" s="497"/>
    </row>
    <row r="902" ht="15">
      <c r="Q902" s="497"/>
    </row>
    <row r="903" ht="15">
      <c r="Q903" s="497"/>
    </row>
    <row r="904" ht="15">
      <c r="Q904" s="497"/>
    </row>
    <row r="905" ht="15">
      <c r="Q905" s="497"/>
    </row>
    <row r="906" ht="15">
      <c r="Q906" s="497"/>
    </row>
    <row r="907" ht="15">
      <c r="Q907" s="497"/>
    </row>
    <row r="908" ht="15">
      <c r="Q908" s="497"/>
    </row>
    <row r="909" ht="15">
      <c r="Q909" s="497"/>
    </row>
    <row r="910" ht="15">
      <c r="Q910" s="497"/>
    </row>
    <row r="911" ht="15">
      <c r="Q911" s="497"/>
    </row>
    <row r="912" ht="15">
      <c r="Q912" s="497"/>
    </row>
    <row r="913" ht="15">
      <c r="Q913" s="497"/>
    </row>
    <row r="914" ht="15">
      <c r="Q914" s="497"/>
    </row>
    <row r="915" ht="15">
      <c r="Q915" s="497"/>
    </row>
    <row r="916" ht="15">
      <c r="Q916" s="497"/>
    </row>
    <row r="917" ht="15">
      <c r="Q917" s="497"/>
    </row>
    <row r="918" ht="15">
      <c r="Q918" s="497"/>
    </row>
    <row r="919" ht="15">
      <c r="Q919" s="497"/>
    </row>
    <row r="920" ht="15">
      <c r="Q920" s="497"/>
    </row>
    <row r="921" ht="15">
      <c r="Q921" s="497"/>
    </row>
    <row r="922" ht="15">
      <c r="Q922" s="497"/>
    </row>
    <row r="923" ht="15">
      <c r="Q923" s="497"/>
    </row>
    <row r="924" ht="15">
      <c r="Q924" s="497"/>
    </row>
    <row r="925" ht="15">
      <c r="Q925" s="497"/>
    </row>
    <row r="926" ht="15">
      <c r="Q926" s="497"/>
    </row>
    <row r="927" ht="15">
      <c r="Q927" s="497"/>
    </row>
    <row r="928" ht="15">
      <c r="Q928" s="497"/>
    </row>
    <row r="929" ht="15">
      <c r="Q929" s="497"/>
    </row>
    <row r="930" ht="15">
      <c r="Q930" s="497"/>
    </row>
    <row r="931" ht="15">
      <c r="Q931" s="497"/>
    </row>
    <row r="932" ht="15">
      <c r="Q932" s="497"/>
    </row>
    <row r="933" ht="15">
      <c r="Q933" s="497"/>
    </row>
    <row r="934" ht="15">
      <c r="Q934" s="497"/>
    </row>
    <row r="935" ht="15">
      <c r="Q935" s="497"/>
    </row>
    <row r="936" ht="15">
      <c r="Q936" s="497"/>
    </row>
    <row r="937" ht="15">
      <c r="Q937" s="497"/>
    </row>
    <row r="938" ht="15">
      <c r="Q938" s="497"/>
    </row>
    <row r="939" ht="15">
      <c r="Q939" s="497"/>
    </row>
    <row r="940" ht="15">
      <c r="Q940" s="497"/>
    </row>
    <row r="941" ht="15">
      <c r="Q941" s="497"/>
    </row>
    <row r="942" ht="15">
      <c r="Q942" s="497"/>
    </row>
    <row r="943" ht="15">
      <c r="Q943" s="497"/>
    </row>
    <row r="944" ht="15">
      <c r="Q944" s="497"/>
    </row>
    <row r="945" ht="15">
      <c r="Q945" s="497"/>
    </row>
    <row r="946" ht="15">
      <c r="Q946" s="497"/>
    </row>
    <row r="947" ht="15">
      <c r="Q947" s="497"/>
    </row>
    <row r="948" ht="15">
      <c r="Q948" s="497"/>
    </row>
    <row r="949" ht="15">
      <c r="Q949" s="497"/>
    </row>
    <row r="950" ht="15">
      <c r="Q950" s="497"/>
    </row>
    <row r="951" ht="15">
      <c r="Q951" s="497"/>
    </row>
    <row r="952" ht="15">
      <c r="Q952" s="497"/>
    </row>
    <row r="953" ht="15">
      <c r="Q953" s="497"/>
    </row>
    <row r="954" ht="15">
      <c r="Q954" s="497"/>
    </row>
    <row r="955" ht="15">
      <c r="Q955" s="497"/>
    </row>
    <row r="956" ht="15">
      <c r="Q956" s="497"/>
    </row>
    <row r="957" ht="15">
      <c r="Q957" s="497"/>
    </row>
    <row r="958" ht="15">
      <c r="Q958" s="497"/>
    </row>
    <row r="959" ht="15">
      <c r="Q959" s="497"/>
    </row>
    <row r="960" ht="15">
      <c r="Q960" s="497"/>
    </row>
    <row r="961" ht="15">
      <c r="Q961" s="497"/>
    </row>
    <row r="962" ht="15">
      <c r="Q962" s="497"/>
    </row>
    <row r="963" ht="15">
      <c r="Q963" s="497"/>
    </row>
    <row r="964" ht="15">
      <c r="Q964" s="497"/>
    </row>
    <row r="965" ht="15">
      <c r="Q965" s="497"/>
    </row>
    <row r="966" ht="15">
      <c r="Q966" s="497"/>
    </row>
    <row r="967" ht="15">
      <c r="Q967" s="497"/>
    </row>
    <row r="968" ht="15">
      <c r="Q968" s="497"/>
    </row>
    <row r="969" ht="15">
      <c r="Q969" s="497"/>
    </row>
    <row r="970" ht="15">
      <c r="Q970" s="497"/>
    </row>
    <row r="971" ht="15">
      <c r="Q971" s="497"/>
    </row>
    <row r="972" ht="15">
      <c r="Q972" s="497"/>
    </row>
    <row r="973" ht="15">
      <c r="Q973" s="497"/>
    </row>
    <row r="974" ht="15">
      <c r="Q974" s="497"/>
    </row>
    <row r="975" ht="15">
      <c r="Q975" s="497"/>
    </row>
    <row r="976" ht="15">
      <c r="Q976" s="497"/>
    </row>
    <row r="977" ht="15">
      <c r="Q977" s="497"/>
    </row>
    <row r="978" ht="15">
      <c r="Q978" s="497"/>
    </row>
    <row r="979" ht="15">
      <c r="Q979" s="497"/>
    </row>
    <row r="980" ht="15">
      <c r="Q980" s="497"/>
    </row>
    <row r="981" ht="15">
      <c r="Q981" s="497"/>
    </row>
    <row r="982" ht="15">
      <c r="Q982" s="497"/>
    </row>
    <row r="983" ht="15">
      <c r="Q983" s="497"/>
    </row>
    <row r="984" ht="15">
      <c r="Q984" s="497"/>
    </row>
    <row r="985" ht="15">
      <c r="Q985" s="497"/>
    </row>
    <row r="986" ht="15">
      <c r="Q986" s="497"/>
    </row>
    <row r="987" ht="15">
      <c r="Q987" s="497"/>
    </row>
    <row r="988" ht="15">
      <c r="Q988" s="497"/>
    </row>
    <row r="989" ht="15">
      <c r="Q989" s="497"/>
    </row>
    <row r="990" ht="15">
      <c r="Q990" s="497"/>
    </row>
    <row r="991" ht="15">
      <c r="Q991" s="497"/>
    </row>
    <row r="992" ht="15">
      <c r="Q992" s="497"/>
    </row>
    <row r="993" ht="15">
      <c r="Q993" s="497"/>
    </row>
    <row r="994" ht="15">
      <c r="Q994" s="497"/>
    </row>
    <row r="995" ht="15">
      <c r="Q995" s="497"/>
    </row>
    <row r="996" ht="15">
      <c r="Q996" s="497"/>
    </row>
    <row r="997" ht="15">
      <c r="Q997" s="497"/>
    </row>
    <row r="998" ht="15">
      <c r="Q998" s="497"/>
    </row>
    <row r="999" ht="15">
      <c r="Q999" s="497"/>
    </row>
    <row r="1000" ht="15">
      <c r="Q1000" s="497"/>
    </row>
    <row r="1001" ht="15">
      <c r="Q1001" s="497"/>
    </row>
    <row r="1002" ht="15">
      <c r="Q1002" s="497"/>
    </row>
    <row r="1003" ht="15">
      <c r="Q1003" s="497"/>
    </row>
    <row r="1004" ht="15">
      <c r="Q1004" s="497"/>
    </row>
    <row r="1005" ht="15">
      <c r="Q1005" s="497"/>
    </row>
    <row r="1006" ht="15">
      <c r="Q1006" s="497"/>
    </row>
    <row r="1007" ht="15">
      <c r="Q1007" s="497"/>
    </row>
    <row r="1008" ht="15">
      <c r="Q1008" s="497"/>
    </row>
    <row r="1009" ht="15">
      <c r="Q1009" s="497"/>
    </row>
    <row r="1010" ht="15">
      <c r="Q1010" s="497"/>
    </row>
    <row r="1011" ht="15">
      <c r="Q1011" s="497"/>
    </row>
    <row r="1012" ht="15">
      <c r="Q1012" s="497"/>
    </row>
    <row r="1013" ht="15">
      <c r="Q1013" s="497"/>
    </row>
    <row r="1014" ht="15">
      <c r="Q1014" s="497"/>
    </row>
    <row r="1015" ht="15">
      <c r="Q1015" s="497"/>
    </row>
    <row r="1016" ht="15">
      <c r="Q1016" s="497"/>
    </row>
    <row r="1017" ht="15">
      <c r="Q1017" s="497"/>
    </row>
    <row r="1018" ht="15">
      <c r="Q1018" s="497"/>
    </row>
    <row r="1019" ht="15">
      <c r="Q1019" s="497"/>
    </row>
    <row r="1020" ht="15">
      <c r="Q1020" s="497"/>
    </row>
    <row r="1021" ht="15">
      <c r="Q1021" s="497"/>
    </row>
    <row r="1022" ht="15">
      <c r="Q1022" s="497"/>
    </row>
    <row r="1023" ht="15">
      <c r="Q1023" s="497"/>
    </row>
    <row r="1024" ht="15">
      <c r="Q1024" s="497"/>
    </row>
    <row r="1025" ht="15">
      <c r="Q1025" s="497"/>
    </row>
    <row r="1026" ht="15">
      <c r="Q1026" s="497"/>
    </row>
    <row r="1027" ht="15">
      <c r="Q1027" s="497"/>
    </row>
    <row r="1028" ht="15">
      <c r="Q1028" s="497"/>
    </row>
    <row r="1029" ht="15">
      <c r="Q1029" s="497"/>
    </row>
    <row r="1030" ht="15">
      <c r="Q1030" s="497"/>
    </row>
    <row r="1031" ht="15">
      <c r="Q1031" s="497"/>
    </row>
    <row r="1032" ht="15">
      <c r="Q1032" s="497"/>
    </row>
    <row r="1033" ht="15">
      <c r="Q1033" s="497"/>
    </row>
    <row r="1034" ht="15">
      <c r="Q1034" s="497"/>
    </row>
    <row r="1035" ht="15">
      <c r="Q1035" s="497"/>
    </row>
    <row r="1036" ht="15">
      <c r="Q1036" s="497"/>
    </row>
    <row r="1037" ht="15">
      <c r="Q1037" s="497"/>
    </row>
    <row r="1038" ht="15">
      <c r="Q1038" s="497"/>
    </row>
    <row r="1039" ht="15">
      <c r="Q1039" s="497"/>
    </row>
    <row r="1040" ht="15">
      <c r="Q1040" s="497"/>
    </row>
    <row r="1041" ht="15">
      <c r="Q1041" s="497"/>
    </row>
    <row r="1042" ht="15">
      <c r="Q1042" s="497"/>
    </row>
    <row r="1043" ht="15">
      <c r="Q1043" s="497"/>
    </row>
    <row r="1044" ht="15">
      <c r="Q1044" s="497"/>
    </row>
    <row r="1045" ht="15">
      <c r="Q1045" s="497"/>
    </row>
    <row r="1046" ht="15">
      <c r="Q1046" s="497"/>
    </row>
    <row r="1047" ht="15">
      <c r="Q1047" s="497"/>
    </row>
    <row r="1048" ht="15">
      <c r="Q1048" s="497"/>
    </row>
    <row r="1049" ht="15">
      <c r="Q1049" s="497"/>
    </row>
    <row r="1050" ht="15">
      <c r="Q1050" s="497"/>
    </row>
    <row r="1051" ht="15">
      <c r="Q1051" s="497"/>
    </row>
    <row r="1052" ht="15">
      <c r="Q1052" s="497"/>
    </row>
    <row r="1053" ht="15">
      <c r="Q1053" s="497"/>
    </row>
    <row r="1054" ht="15">
      <c r="Q1054" s="497"/>
    </row>
    <row r="1055" ht="15">
      <c r="Q1055" s="497"/>
    </row>
    <row r="1056" ht="15">
      <c r="Q1056" s="497"/>
    </row>
    <row r="1057" ht="15">
      <c r="Q1057" s="497"/>
    </row>
    <row r="1058" ht="15">
      <c r="Q1058" s="497"/>
    </row>
    <row r="1059" ht="15">
      <c r="Q1059" s="497"/>
    </row>
    <row r="1060" ht="15">
      <c r="Q1060" s="497"/>
    </row>
    <row r="1061" ht="15">
      <c r="Q1061" s="497"/>
    </row>
    <row r="1062" ht="15">
      <c r="Q1062" s="497"/>
    </row>
    <row r="1063" ht="15">
      <c r="Q1063" s="497"/>
    </row>
    <row r="1064" ht="15">
      <c r="Q1064" s="497"/>
    </row>
    <row r="1065" ht="15">
      <c r="Q1065" s="497"/>
    </row>
    <row r="1066" ht="15">
      <c r="Q1066" s="497"/>
    </row>
    <row r="1067" ht="15">
      <c r="Q1067" s="497"/>
    </row>
    <row r="1068" ht="15">
      <c r="Q1068" s="497"/>
    </row>
    <row r="1069" ht="15">
      <c r="Q1069" s="497"/>
    </row>
    <row r="1070" ht="15">
      <c r="Q1070" s="497"/>
    </row>
    <row r="1071" ht="15">
      <c r="Q1071" s="497"/>
    </row>
    <row r="1072" ht="15">
      <c r="Q1072" s="497"/>
    </row>
    <row r="1073" ht="15">
      <c r="Q1073" s="497"/>
    </row>
    <row r="1074" ht="15">
      <c r="Q1074" s="497"/>
    </row>
    <row r="1075" ht="15">
      <c r="Q1075" s="497"/>
    </row>
    <row r="1076" ht="15">
      <c r="Q1076" s="497"/>
    </row>
    <row r="1077" ht="15">
      <c r="Q1077" s="497"/>
    </row>
    <row r="1078" ht="15">
      <c r="Q1078" s="497"/>
    </row>
    <row r="1079" ht="15">
      <c r="Q1079" s="497"/>
    </row>
    <row r="1080" ht="15">
      <c r="Q1080" s="497"/>
    </row>
    <row r="1081" ht="15">
      <c r="Q1081" s="497"/>
    </row>
    <row r="1082" ht="15">
      <c r="Q1082" s="497"/>
    </row>
    <row r="1083" ht="15">
      <c r="Q1083" s="497"/>
    </row>
    <row r="1084" ht="15">
      <c r="Q1084" s="497"/>
    </row>
    <row r="1085" ht="15">
      <c r="Q1085" s="497"/>
    </row>
    <row r="1086" ht="15">
      <c r="Q1086" s="497"/>
    </row>
    <row r="1087" ht="15">
      <c r="Q1087" s="497"/>
    </row>
    <row r="1088" ht="15">
      <c r="Q1088" s="497"/>
    </row>
    <row r="1089" ht="15">
      <c r="Q1089" s="497"/>
    </row>
    <row r="1090" ht="15">
      <c r="Q1090" s="497"/>
    </row>
    <row r="1091" ht="15">
      <c r="Q1091" s="497"/>
    </row>
    <row r="1092" ht="15">
      <c r="Q1092" s="497"/>
    </row>
    <row r="1093" ht="15">
      <c r="Q1093" s="497"/>
    </row>
    <row r="1094" ht="15">
      <c r="Q1094" s="497"/>
    </row>
    <row r="1095" ht="15">
      <c r="Q1095" s="497"/>
    </row>
    <row r="1096" ht="15">
      <c r="Q1096" s="497"/>
    </row>
    <row r="1097" ht="15">
      <c r="Q1097" s="497"/>
    </row>
    <row r="1098" ht="15">
      <c r="Q1098" s="497"/>
    </row>
    <row r="1099" ht="15">
      <c r="Q1099" s="497"/>
    </row>
    <row r="1100" ht="15">
      <c r="Q1100" s="497"/>
    </row>
    <row r="1101" ht="15">
      <c r="Q1101" s="497"/>
    </row>
    <row r="1102" ht="15">
      <c r="Q1102" s="497"/>
    </row>
    <row r="1103" ht="15">
      <c r="Q1103" s="497"/>
    </row>
    <row r="1104" ht="15">
      <c r="Q1104" s="497"/>
    </row>
    <row r="1105" ht="15">
      <c r="Q1105" s="497"/>
    </row>
    <row r="1106" ht="15">
      <c r="Q1106" s="497"/>
    </row>
    <row r="1107" ht="15">
      <c r="Q1107" s="497"/>
    </row>
    <row r="1108" ht="15">
      <c r="Q1108" s="497"/>
    </row>
    <row r="1109" ht="15">
      <c r="Q1109" s="497"/>
    </row>
    <row r="1110" ht="15">
      <c r="Q1110" s="497"/>
    </row>
    <row r="1111" ht="15">
      <c r="Q1111" s="497"/>
    </row>
    <row r="1112" ht="15">
      <c r="Q1112" s="497"/>
    </row>
    <row r="1113" ht="15">
      <c r="Q1113" s="497"/>
    </row>
    <row r="1114" ht="15">
      <c r="Q1114" s="497"/>
    </row>
    <row r="1115" ht="15">
      <c r="Q1115" s="497"/>
    </row>
    <row r="1116" ht="15">
      <c r="Q1116" s="497"/>
    </row>
    <row r="1117" ht="15">
      <c r="Q1117" s="497"/>
    </row>
    <row r="1118" ht="15">
      <c r="Q1118" s="497"/>
    </row>
    <row r="1119" ht="15">
      <c r="Q1119" s="497"/>
    </row>
    <row r="1120" ht="15">
      <c r="Q1120" s="497"/>
    </row>
    <row r="1121" ht="15">
      <c r="Q1121" s="497"/>
    </row>
    <row r="1122" ht="15">
      <c r="Q1122" s="497"/>
    </row>
    <row r="1123" ht="15">
      <c r="Q1123" s="497"/>
    </row>
    <row r="1124" ht="15">
      <c r="Q1124" s="497"/>
    </row>
    <row r="1125" ht="15">
      <c r="Q1125" s="497"/>
    </row>
    <row r="1126" ht="15">
      <c r="Q1126" s="497"/>
    </row>
    <row r="1127" ht="15">
      <c r="Q1127" s="497"/>
    </row>
    <row r="1128" ht="15">
      <c r="Q1128" s="497"/>
    </row>
    <row r="1129" ht="15">
      <c r="Q1129" s="497"/>
    </row>
    <row r="1130" ht="15">
      <c r="Q1130" s="497"/>
    </row>
    <row r="1131" ht="15">
      <c r="Q1131" s="497"/>
    </row>
    <row r="1132" ht="15">
      <c r="Q1132" s="497"/>
    </row>
    <row r="1133" ht="15">
      <c r="Q1133" s="497"/>
    </row>
    <row r="1134" ht="15">
      <c r="Q1134" s="497"/>
    </row>
    <row r="1135" ht="15">
      <c r="Q1135" s="497"/>
    </row>
    <row r="1136" ht="15">
      <c r="Q1136" s="497"/>
    </row>
    <row r="1137" ht="15">
      <c r="Q1137" s="497"/>
    </row>
    <row r="1138" ht="15">
      <c r="Q1138" s="497"/>
    </row>
    <row r="1139" ht="15">
      <c r="Q1139" s="497"/>
    </row>
    <row r="1140" ht="15">
      <c r="Q1140" s="497"/>
    </row>
    <row r="1141" ht="15">
      <c r="Q1141" s="497"/>
    </row>
    <row r="1142" ht="15">
      <c r="Q1142" s="497"/>
    </row>
    <row r="1143" ht="15">
      <c r="Q1143" s="497"/>
    </row>
    <row r="1144" ht="15">
      <c r="Q1144" s="497"/>
    </row>
    <row r="1145" ht="15">
      <c r="Q1145" s="497"/>
    </row>
    <row r="1146" ht="15">
      <c r="Q1146" s="497"/>
    </row>
    <row r="1147" ht="15">
      <c r="Q1147" s="497"/>
    </row>
    <row r="1148" ht="15">
      <c r="Q1148" s="497"/>
    </row>
    <row r="1149" ht="15">
      <c r="Q1149" s="497"/>
    </row>
    <row r="1150" ht="15">
      <c r="Q1150" s="497"/>
    </row>
    <row r="1151" ht="15">
      <c r="Q1151" s="497"/>
    </row>
    <row r="1152" ht="15">
      <c r="Q1152" s="497"/>
    </row>
    <row r="1153" ht="15">
      <c r="Q1153" s="497"/>
    </row>
    <row r="1154" ht="15">
      <c r="Q1154" s="497"/>
    </row>
    <row r="1155" ht="15">
      <c r="Q1155" s="497"/>
    </row>
    <row r="1156" ht="15">
      <c r="Q1156" s="497"/>
    </row>
    <row r="1157" ht="15">
      <c r="Q1157" s="497"/>
    </row>
    <row r="1158" ht="15">
      <c r="Q1158" s="497"/>
    </row>
    <row r="1159" ht="15">
      <c r="Q1159" s="497"/>
    </row>
    <row r="1160" ht="15">
      <c r="Q1160" s="497"/>
    </row>
    <row r="1161" ht="15">
      <c r="Q1161" s="497"/>
    </row>
    <row r="1162" ht="15">
      <c r="Q1162" s="497"/>
    </row>
    <row r="1163" ht="15">
      <c r="Q1163" s="497"/>
    </row>
    <row r="1164" ht="15">
      <c r="Q1164" s="497"/>
    </row>
    <row r="1165" ht="15">
      <c r="Q1165" s="497"/>
    </row>
    <row r="1166" ht="15">
      <c r="Q1166" s="497"/>
    </row>
    <row r="1167" ht="15">
      <c r="Q1167" s="497"/>
    </row>
    <row r="1168" ht="15">
      <c r="Q1168" s="497"/>
    </row>
    <row r="1169" ht="15">
      <c r="Q1169" s="497"/>
    </row>
    <row r="1170" ht="15">
      <c r="Q1170" s="497"/>
    </row>
    <row r="1171" ht="15">
      <c r="Q1171" s="497"/>
    </row>
    <row r="1172" ht="15">
      <c r="Q1172" s="497"/>
    </row>
    <row r="1173" ht="15">
      <c r="Q1173" s="497"/>
    </row>
    <row r="1174" ht="15">
      <c r="Q1174" s="497"/>
    </row>
    <row r="1175" ht="15">
      <c r="Q1175" s="497"/>
    </row>
    <row r="1176" ht="15">
      <c r="Q1176" s="497"/>
    </row>
    <row r="1177" ht="15">
      <c r="Q1177" s="497"/>
    </row>
    <row r="1178" ht="15">
      <c r="Q1178" s="497"/>
    </row>
    <row r="1179" ht="15">
      <c r="Q1179" s="497"/>
    </row>
    <row r="1180" ht="15">
      <c r="Q1180" s="497"/>
    </row>
    <row r="1181" ht="15">
      <c r="Q1181" s="497"/>
    </row>
    <row r="1182" ht="15">
      <c r="Q1182" s="497"/>
    </row>
    <row r="1183" ht="15">
      <c r="Q1183" s="497"/>
    </row>
    <row r="1184" ht="15">
      <c r="Q1184" s="497"/>
    </row>
    <row r="1185" ht="15">
      <c r="Q1185" s="497"/>
    </row>
    <row r="1186" ht="15">
      <c r="Q1186" s="497"/>
    </row>
    <row r="1187" ht="15">
      <c r="Q1187" s="497"/>
    </row>
    <row r="1188" ht="15">
      <c r="Q1188" s="497"/>
    </row>
    <row r="1189" ht="15">
      <c r="Q1189" s="497"/>
    </row>
    <row r="1190" ht="15">
      <c r="Q1190" s="497"/>
    </row>
    <row r="1191" ht="15">
      <c r="Q1191" s="497"/>
    </row>
    <row r="1192" ht="15">
      <c r="Q1192" s="497"/>
    </row>
    <row r="1193" ht="15">
      <c r="Q1193" s="497"/>
    </row>
    <row r="1194" ht="15">
      <c r="Q1194" s="497"/>
    </row>
    <row r="1195" ht="15">
      <c r="Q1195" s="497"/>
    </row>
    <row r="1196" ht="15">
      <c r="Q1196" s="497"/>
    </row>
    <row r="1197" ht="15">
      <c r="Q1197" s="497"/>
    </row>
    <row r="1198" ht="15">
      <c r="Q1198" s="497"/>
    </row>
    <row r="1199" ht="15">
      <c r="Q1199" s="497"/>
    </row>
    <row r="1200" ht="15">
      <c r="Q1200" s="497"/>
    </row>
    <row r="1201" ht="15">
      <c r="Q1201" s="497"/>
    </row>
    <row r="1202" ht="15">
      <c r="Q1202" s="497"/>
    </row>
    <row r="1203" ht="15">
      <c r="Q1203" s="497"/>
    </row>
    <row r="1204" ht="15">
      <c r="Q1204" s="497"/>
    </row>
    <row r="1205" ht="15">
      <c r="Q1205" s="497"/>
    </row>
    <row r="1206" ht="15">
      <c r="Q1206" s="497"/>
    </row>
    <row r="1207" ht="15">
      <c r="Q1207" s="497"/>
    </row>
    <row r="1208" ht="15">
      <c r="Q1208" s="497"/>
    </row>
    <row r="1209" ht="15">
      <c r="Q1209" s="497"/>
    </row>
    <row r="1210" ht="15">
      <c r="Q1210" s="497"/>
    </row>
    <row r="1211" ht="15">
      <c r="Q1211" s="497"/>
    </row>
    <row r="1212" ht="15">
      <c r="Q1212" s="497"/>
    </row>
    <row r="1213" ht="15">
      <c r="Q1213" s="497"/>
    </row>
    <row r="1214" ht="15">
      <c r="Q1214" s="497"/>
    </row>
    <row r="1215" ht="15">
      <c r="Q1215" s="497"/>
    </row>
    <row r="1216" ht="15">
      <c r="Q1216" s="497"/>
    </row>
    <row r="1217" ht="15">
      <c r="Q1217" s="497"/>
    </row>
    <row r="1218" ht="15">
      <c r="Q1218" s="497"/>
    </row>
    <row r="1219" ht="15">
      <c r="Q1219" s="497"/>
    </row>
    <row r="1220" ht="15">
      <c r="Q1220" s="497"/>
    </row>
    <row r="1221" ht="15">
      <c r="Q1221" s="497"/>
    </row>
    <row r="1222" ht="15">
      <c r="Q1222" s="497"/>
    </row>
    <row r="1223" ht="15">
      <c r="Q1223" s="497"/>
    </row>
    <row r="1224" ht="15">
      <c r="Q1224" s="497"/>
    </row>
    <row r="1225" ht="15">
      <c r="Q1225" s="497"/>
    </row>
    <row r="1226" ht="15">
      <c r="Q1226" s="497"/>
    </row>
    <row r="1227" ht="15">
      <c r="Q1227" s="497"/>
    </row>
    <row r="1228" ht="15">
      <c r="Q1228" s="497"/>
    </row>
    <row r="1229" ht="15">
      <c r="Q1229" s="497"/>
    </row>
    <row r="1230" ht="15">
      <c r="Q1230" s="497"/>
    </row>
    <row r="1231" ht="15">
      <c r="Q1231" s="497"/>
    </row>
    <row r="1232" ht="15">
      <c r="Q1232" s="497"/>
    </row>
    <row r="1233" ht="15">
      <c r="Q1233" s="497"/>
    </row>
    <row r="1234" ht="15">
      <c r="Q1234" s="497"/>
    </row>
    <row r="1235" ht="15">
      <c r="Q1235" s="497"/>
    </row>
    <row r="1236" ht="15">
      <c r="Q1236" s="497"/>
    </row>
    <row r="1237" ht="15">
      <c r="Q1237" s="497"/>
    </row>
    <row r="1238" ht="15">
      <c r="Q1238" s="497"/>
    </row>
    <row r="1239" ht="15">
      <c r="Q1239" s="497"/>
    </row>
    <row r="1240" ht="15">
      <c r="Q1240" s="497"/>
    </row>
    <row r="1241" ht="15">
      <c r="Q1241" s="497"/>
    </row>
    <row r="1242" ht="15">
      <c r="Q1242" s="497"/>
    </row>
    <row r="1243" ht="15">
      <c r="Q1243" s="497"/>
    </row>
    <row r="1244" ht="15">
      <c r="Q1244" s="497"/>
    </row>
    <row r="1245" ht="15">
      <c r="Q1245" s="497"/>
    </row>
    <row r="1246" ht="15">
      <c r="Q1246" s="497"/>
    </row>
    <row r="1247" ht="15">
      <c r="Q1247" s="497"/>
    </row>
    <row r="1248" ht="15">
      <c r="Q1248" s="497"/>
    </row>
    <row r="1249" ht="15">
      <c r="Q1249" s="497"/>
    </row>
    <row r="1250" ht="15">
      <c r="Q1250" s="497"/>
    </row>
    <row r="1251" ht="15">
      <c r="Q1251" s="497"/>
    </row>
    <row r="1252" ht="15">
      <c r="Q1252" s="497"/>
    </row>
    <row r="1253" ht="15">
      <c r="Q1253" s="497"/>
    </row>
    <row r="1254" ht="15">
      <c r="Q1254" s="497"/>
    </row>
    <row r="1255" ht="15">
      <c r="Q1255" s="497"/>
    </row>
    <row r="1256" ht="15">
      <c r="Q1256" s="497"/>
    </row>
    <row r="1257" ht="15">
      <c r="Q1257" s="497"/>
    </row>
    <row r="1258" ht="15">
      <c r="Q1258" s="497"/>
    </row>
    <row r="1259" ht="15">
      <c r="Q1259" s="497"/>
    </row>
    <row r="1260" ht="15">
      <c r="Q1260" s="497"/>
    </row>
    <row r="1261" ht="15">
      <c r="Q1261" s="497"/>
    </row>
    <row r="1262" ht="15">
      <c r="Q1262" s="497"/>
    </row>
    <row r="1263" ht="15">
      <c r="Q1263" s="497"/>
    </row>
    <row r="1264" ht="15">
      <c r="Q1264" s="497"/>
    </row>
    <row r="1265" ht="15">
      <c r="Q1265" s="497"/>
    </row>
    <row r="1266" ht="15">
      <c r="Q1266" s="497"/>
    </row>
    <row r="1267" ht="15">
      <c r="Q1267" s="497"/>
    </row>
    <row r="1268" ht="15">
      <c r="Q1268" s="497"/>
    </row>
    <row r="1269" ht="15">
      <c r="Q1269" s="497"/>
    </row>
    <row r="1270" ht="15">
      <c r="Q1270" s="497"/>
    </row>
    <row r="1271" ht="15">
      <c r="Q1271" s="497"/>
    </row>
    <row r="1272" ht="15">
      <c r="Q1272" s="497"/>
    </row>
    <row r="1273" ht="15">
      <c r="Q1273" s="497"/>
    </row>
    <row r="1274" ht="15">
      <c r="Q1274" s="497"/>
    </row>
    <row r="1275" ht="15">
      <c r="Q1275" s="497"/>
    </row>
    <row r="1276" ht="15">
      <c r="Q1276" s="497"/>
    </row>
    <row r="1277" ht="15">
      <c r="Q1277" s="497"/>
    </row>
    <row r="1278" ht="15">
      <c r="Q1278" s="497"/>
    </row>
    <row r="1279" ht="15">
      <c r="Q1279" s="497"/>
    </row>
    <row r="1280" ht="15">
      <c r="Q1280" s="497"/>
    </row>
    <row r="1281" ht="15">
      <c r="Q1281" s="497"/>
    </row>
    <row r="1282" ht="15">
      <c r="Q1282" s="497"/>
    </row>
    <row r="1283" ht="15">
      <c r="Q1283" s="497"/>
    </row>
    <row r="1284" ht="15">
      <c r="Q1284" s="497"/>
    </row>
    <row r="1285" ht="15">
      <c r="Q1285" s="497"/>
    </row>
    <row r="1286" ht="15">
      <c r="Q1286" s="497"/>
    </row>
    <row r="1287" ht="15">
      <c r="Q1287" s="497"/>
    </row>
    <row r="1288" ht="15">
      <c r="Q1288" s="497"/>
    </row>
    <row r="1289" ht="15">
      <c r="Q1289" s="497"/>
    </row>
    <row r="1290" ht="15">
      <c r="Q1290" s="497"/>
    </row>
    <row r="1291" ht="15">
      <c r="Q1291" s="497"/>
    </row>
    <row r="1292" ht="15">
      <c r="Q1292" s="497"/>
    </row>
    <row r="1293" ht="15">
      <c r="Q1293" s="497"/>
    </row>
    <row r="1294" ht="15">
      <c r="Q1294" s="497"/>
    </row>
    <row r="1295" ht="15">
      <c r="Q1295" s="497"/>
    </row>
    <row r="1296" ht="15">
      <c r="Q1296" s="497"/>
    </row>
    <row r="1297" ht="15">
      <c r="Q1297" s="497"/>
    </row>
    <row r="1298" ht="15">
      <c r="Q1298" s="497"/>
    </row>
    <row r="1299" ht="15">
      <c r="Q1299" s="497"/>
    </row>
    <row r="1300" ht="15">
      <c r="Q1300" s="497"/>
    </row>
    <row r="1301" ht="15">
      <c r="Q1301" s="497"/>
    </row>
    <row r="1302" ht="15">
      <c r="Q1302" s="497"/>
    </row>
    <row r="1303" ht="15">
      <c r="Q1303" s="497"/>
    </row>
    <row r="1304" ht="15">
      <c r="Q1304" s="497"/>
    </row>
    <row r="1305" ht="15">
      <c r="Q1305" s="497"/>
    </row>
    <row r="1306" ht="15">
      <c r="Q1306" s="497"/>
    </row>
    <row r="1307" ht="15">
      <c r="Q1307" s="497"/>
    </row>
    <row r="1308" ht="15">
      <c r="Q1308" s="497"/>
    </row>
    <row r="1309" ht="15">
      <c r="Q1309" s="497"/>
    </row>
    <row r="1310" ht="15">
      <c r="Q1310" s="497"/>
    </row>
    <row r="1311" ht="15">
      <c r="Q1311" s="497"/>
    </row>
    <row r="1312" ht="15">
      <c r="Q1312" s="497"/>
    </row>
    <row r="1313" ht="15">
      <c r="Q1313" s="497"/>
    </row>
    <row r="1314" ht="15">
      <c r="Q1314" s="497"/>
    </row>
    <row r="1315" ht="15">
      <c r="Q1315" s="497"/>
    </row>
    <row r="1316" ht="15">
      <c r="Q1316" s="497"/>
    </row>
    <row r="1317" ht="15">
      <c r="Q1317" s="497"/>
    </row>
    <row r="1318" ht="15">
      <c r="Q1318" s="497"/>
    </row>
    <row r="1319" ht="15">
      <c r="Q1319" s="497"/>
    </row>
    <row r="1320" ht="15">
      <c r="Q1320" s="497"/>
    </row>
    <row r="1321" ht="15">
      <c r="Q1321" s="497"/>
    </row>
    <row r="1322" ht="15">
      <c r="Q1322" s="497"/>
    </row>
    <row r="1323" ht="15">
      <c r="Q1323" s="497"/>
    </row>
    <row r="1324" ht="15">
      <c r="Q1324" s="497"/>
    </row>
    <row r="1325" ht="15">
      <c r="Q1325" s="497"/>
    </row>
    <row r="1326" ht="15">
      <c r="Q1326" s="497"/>
    </row>
    <row r="1327" ht="15">
      <c r="Q1327" s="497"/>
    </row>
    <row r="1328" ht="15">
      <c r="Q1328" s="497"/>
    </row>
    <row r="1329" ht="15">
      <c r="Q1329" s="497"/>
    </row>
    <row r="1330" ht="15">
      <c r="Q1330" s="497"/>
    </row>
    <row r="1331" ht="15">
      <c r="Q1331" s="497"/>
    </row>
    <row r="1332" ht="15">
      <c r="Q1332" s="497"/>
    </row>
    <row r="1333" ht="15">
      <c r="Q1333" s="497"/>
    </row>
    <row r="1334" ht="15">
      <c r="Q1334" s="497"/>
    </row>
    <row r="1335" ht="15">
      <c r="Q1335" s="497"/>
    </row>
    <row r="1336" ht="15">
      <c r="Q1336" s="497"/>
    </row>
    <row r="1337" ht="15">
      <c r="Q1337" s="497"/>
    </row>
    <row r="1338" ht="15">
      <c r="Q1338" s="497"/>
    </row>
    <row r="1339" ht="15">
      <c r="Q1339" s="497"/>
    </row>
    <row r="1340" ht="15">
      <c r="Q1340" s="497"/>
    </row>
    <row r="1341" ht="15">
      <c r="Q1341" s="497"/>
    </row>
    <row r="1342" ht="15">
      <c r="Q1342" s="497"/>
    </row>
    <row r="1343" ht="15">
      <c r="Q1343" s="497"/>
    </row>
    <row r="1344" ht="15">
      <c r="Q1344" s="497"/>
    </row>
    <row r="1345" ht="15">
      <c r="Q1345" s="497"/>
    </row>
    <row r="1346" ht="15">
      <c r="Q1346" s="497"/>
    </row>
    <row r="1347" ht="15">
      <c r="Q1347" s="497"/>
    </row>
    <row r="1348" ht="15">
      <c r="Q1348" s="497"/>
    </row>
    <row r="1349" ht="15">
      <c r="Q1349" s="497"/>
    </row>
    <row r="1350" ht="15">
      <c r="Q1350" s="497"/>
    </row>
    <row r="1351" ht="15">
      <c r="Q1351" s="497"/>
    </row>
    <row r="1352" ht="15">
      <c r="Q1352" s="497"/>
    </row>
    <row r="1353" ht="15">
      <c r="Q1353" s="497"/>
    </row>
    <row r="1354" ht="15">
      <c r="Q1354" s="497"/>
    </row>
    <row r="1355" ht="15">
      <c r="Q1355" s="497"/>
    </row>
    <row r="1356" ht="15">
      <c r="Q1356" s="497"/>
    </row>
    <row r="1357" ht="15">
      <c r="Q1357" s="497"/>
    </row>
    <row r="1358" ht="15">
      <c r="Q1358" s="497"/>
    </row>
    <row r="1359" ht="15">
      <c r="Q1359" s="497"/>
    </row>
    <row r="1360" ht="15">
      <c r="Q1360" s="497"/>
    </row>
    <row r="1361" ht="15">
      <c r="Q1361" s="497"/>
    </row>
    <row r="1362" ht="15">
      <c r="Q1362" s="497"/>
    </row>
    <row r="1363" ht="15">
      <c r="Q1363" s="497"/>
    </row>
    <row r="1364" ht="15">
      <c r="Q1364" s="497"/>
    </row>
    <row r="1365" ht="15">
      <c r="Q1365" s="497"/>
    </row>
    <row r="1366" ht="15">
      <c r="Q1366" s="497"/>
    </row>
    <row r="1367" ht="15">
      <c r="Q1367" s="497"/>
    </row>
    <row r="1368" ht="15">
      <c r="Q1368" s="497"/>
    </row>
    <row r="1369" ht="15">
      <c r="Q1369" s="497"/>
    </row>
    <row r="1370" ht="15">
      <c r="Q1370" s="497"/>
    </row>
    <row r="1371" ht="15">
      <c r="Q1371" s="497"/>
    </row>
    <row r="1372" ht="15">
      <c r="Q1372" s="497"/>
    </row>
    <row r="1373" ht="15">
      <c r="Q1373" s="497"/>
    </row>
    <row r="1374" ht="15">
      <c r="Q1374" s="497"/>
    </row>
    <row r="1375" ht="15">
      <c r="Q1375" s="497"/>
    </row>
    <row r="1376" ht="15">
      <c r="Q1376" s="497"/>
    </row>
    <row r="1377" ht="15">
      <c r="Q1377" s="497"/>
    </row>
    <row r="1378" ht="15">
      <c r="Q1378" s="497"/>
    </row>
    <row r="1379" ht="15">
      <c r="Q1379" s="497"/>
    </row>
    <row r="1380" ht="15">
      <c r="Q1380" s="497"/>
    </row>
    <row r="1381" ht="15">
      <c r="Q1381" s="497"/>
    </row>
    <row r="1382" ht="15">
      <c r="Q1382" s="497"/>
    </row>
    <row r="1383" ht="15">
      <c r="Q1383" s="497"/>
    </row>
    <row r="1384" ht="15">
      <c r="Q1384" s="497"/>
    </row>
    <row r="1385" ht="15">
      <c r="Q1385" s="497"/>
    </row>
    <row r="1386" ht="15">
      <c r="Q1386" s="497"/>
    </row>
    <row r="1387" ht="15">
      <c r="Q1387" s="497"/>
    </row>
    <row r="1388" ht="15">
      <c r="Q1388" s="497"/>
    </row>
    <row r="1389" ht="15">
      <c r="Q1389" s="497"/>
    </row>
    <row r="1390" ht="15">
      <c r="Q1390" s="497"/>
    </row>
    <row r="1391" ht="15">
      <c r="Q1391" s="497"/>
    </row>
    <row r="1392" ht="15">
      <c r="Q1392" s="497"/>
    </row>
    <row r="1393" ht="15">
      <c r="Q1393" s="497"/>
    </row>
    <row r="1394" ht="15">
      <c r="Q1394" s="497"/>
    </row>
    <row r="1395" ht="15">
      <c r="Q1395" s="497"/>
    </row>
    <row r="1396" ht="15">
      <c r="Q1396" s="497"/>
    </row>
    <row r="1397" ht="15">
      <c r="Q1397" s="497"/>
    </row>
    <row r="1398" ht="15">
      <c r="Q1398" s="497"/>
    </row>
    <row r="1399" ht="15">
      <c r="Q1399" s="497"/>
    </row>
    <row r="1400" ht="15">
      <c r="Q1400" s="497"/>
    </row>
    <row r="1401" ht="15">
      <c r="Q1401" s="497"/>
    </row>
    <row r="1402" ht="15">
      <c r="Q1402" s="497"/>
    </row>
    <row r="1403" ht="15">
      <c r="Q1403" s="497"/>
    </row>
    <row r="1404" ht="15">
      <c r="Q1404" s="497"/>
    </row>
    <row r="1405" ht="15">
      <c r="Q1405" s="497"/>
    </row>
    <row r="1406" ht="15">
      <c r="Q1406" s="497"/>
    </row>
    <row r="1407" ht="15">
      <c r="Q1407" s="497"/>
    </row>
    <row r="1408" ht="15">
      <c r="Q1408" s="497"/>
    </row>
    <row r="1409" ht="15">
      <c r="Q1409" s="497"/>
    </row>
    <row r="1410" ht="15">
      <c r="Q1410" s="497"/>
    </row>
    <row r="1411" ht="15">
      <c r="Q1411" s="497"/>
    </row>
    <row r="1412" ht="15">
      <c r="Q1412" s="497"/>
    </row>
    <row r="1413" ht="15">
      <c r="Q1413" s="497"/>
    </row>
    <row r="1414" ht="15">
      <c r="Q1414" s="497"/>
    </row>
    <row r="1415" ht="15">
      <c r="Q1415" s="497"/>
    </row>
    <row r="1416" ht="15">
      <c r="Q1416" s="497"/>
    </row>
    <row r="1417" ht="15">
      <c r="Q1417" s="497"/>
    </row>
    <row r="1418" ht="15">
      <c r="Q1418" s="497"/>
    </row>
    <row r="1419" ht="15">
      <c r="Q1419" s="497"/>
    </row>
    <row r="1420" ht="15">
      <c r="Q1420" s="497"/>
    </row>
    <row r="1421" ht="15">
      <c r="Q1421" s="497"/>
    </row>
    <row r="1422" ht="15">
      <c r="Q1422" s="497"/>
    </row>
    <row r="1423" ht="15">
      <c r="Q1423" s="497"/>
    </row>
    <row r="1424" ht="15">
      <c r="Q1424" s="497"/>
    </row>
    <row r="1425" ht="15">
      <c r="Q1425" s="497"/>
    </row>
    <row r="1426" ht="15">
      <c r="Q1426" s="497"/>
    </row>
    <row r="1427" ht="15">
      <c r="Q1427" s="497"/>
    </row>
    <row r="1428" ht="15">
      <c r="Q1428" s="497"/>
    </row>
    <row r="1429" ht="15">
      <c r="Q1429" s="497"/>
    </row>
    <row r="1430" ht="15">
      <c r="Q1430" s="497"/>
    </row>
    <row r="1431" ht="15">
      <c r="Q1431" s="497"/>
    </row>
    <row r="1432" ht="15">
      <c r="Q1432" s="497"/>
    </row>
    <row r="1433" ht="15">
      <c r="Q1433" s="497"/>
    </row>
    <row r="1434" ht="15">
      <c r="Q1434" s="497"/>
    </row>
    <row r="1435" ht="15">
      <c r="Q1435" s="497"/>
    </row>
    <row r="1436" ht="15">
      <c r="Q1436" s="497"/>
    </row>
    <row r="1437" ht="15">
      <c r="Q1437" s="497"/>
    </row>
    <row r="1438" ht="15">
      <c r="Q1438" s="497"/>
    </row>
    <row r="1439" ht="15">
      <c r="Q1439" s="497"/>
    </row>
    <row r="1440" ht="15">
      <c r="Q1440" s="497"/>
    </row>
    <row r="1441" ht="15">
      <c r="Q1441" s="497"/>
    </row>
    <row r="1442" ht="15">
      <c r="Q1442" s="497"/>
    </row>
    <row r="1443" ht="15">
      <c r="Q1443" s="497"/>
    </row>
    <row r="1444" ht="15">
      <c r="Q1444" s="497"/>
    </row>
    <row r="1445" ht="15">
      <c r="Q1445" s="497"/>
    </row>
    <row r="1446" ht="15">
      <c r="Q1446" s="497"/>
    </row>
    <row r="1447" ht="15">
      <c r="Q1447" s="497"/>
    </row>
    <row r="1448" ht="15">
      <c r="Q1448" s="497"/>
    </row>
    <row r="1449" ht="15">
      <c r="Q1449" s="497"/>
    </row>
    <row r="1450" ht="15">
      <c r="Q1450" s="497"/>
    </row>
    <row r="1451" ht="15">
      <c r="Q1451" s="497"/>
    </row>
    <row r="1452" ht="15">
      <c r="Q1452" s="497"/>
    </row>
    <row r="1453" ht="15">
      <c r="Q1453" s="497"/>
    </row>
    <row r="1454" ht="15">
      <c r="Q1454" s="497"/>
    </row>
    <row r="1455" ht="15">
      <c r="Q1455" s="497"/>
    </row>
    <row r="1456" ht="15">
      <c r="Q1456" s="497"/>
    </row>
    <row r="1457" ht="15">
      <c r="Q1457" s="497"/>
    </row>
    <row r="1458" ht="15">
      <c r="Q1458" s="497"/>
    </row>
    <row r="1459" ht="15">
      <c r="Q1459" s="497"/>
    </row>
    <row r="1460" ht="15">
      <c r="Q1460" s="497"/>
    </row>
    <row r="1461" ht="15">
      <c r="Q1461" s="497"/>
    </row>
    <row r="1462" ht="15">
      <c r="Q1462" s="497"/>
    </row>
    <row r="1463" ht="15">
      <c r="Q1463" s="497"/>
    </row>
    <row r="1464" ht="15">
      <c r="Q1464" s="497"/>
    </row>
    <row r="1465" ht="15">
      <c r="Q1465" s="497"/>
    </row>
    <row r="1466" ht="15">
      <c r="Q1466" s="497"/>
    </row>
    <row r="1467" ht="15">
      <c r="Q1467" s="497"/>
    </row>
    <row r="1468" ht="15">
      <c r="Q1468" s="497"/>
    </row>
    <row r="1469" ht="15">
      <c r="Q1469" s="497"/>
    </row>
    <row r="1470" ht="15">
      <c r="Q1470" s="497"/>
    </row>
    <row r="1471" ht="15">
      <c r="Q1471" s="497"/>
    </row>
    <row r="1472" ht="15">
      <c r="Q1472" s="497"/>
    </row>
    <row r="1473" ht="15">
      <c r="Q1473" s="497"/>
    </row>
    <row r="1474" ht="15">
      <c r="Q1474" s="497"/>
    </row>
    <row r="1475" ht="15">
      <c r="Q1475" s="497"/>
    </row>
    <row r="1476" ht="15">
      <c r="Q1476" s="497"/>
    </row>
    <row r="1477" ht="15">
      <c r="Q1477" s="497"/>
    </row>
    <row r="1478" ht="15">
      <c r="Q1478" s="497"/>
    </row>
    <row r="1479" ht="15">
      <c r="Q1479" s="497"/>
    </row>
    <row r="1480" ht="15">
      <c r="Q1480" s="497"/>
    </row>
    <row r="1481" ht="15">
      <c r="Q1481" s="497"/>
    </row>
    <row r="1482" ht="15">
      <c r="Q1482" s="497"/>
    </row>
    <row r="1483" ht="15">
      <c r="Q1483" s="497"/>
    </row>
    <row r="1484" ht="15">
      <c r="Q1484" s="497"/>
    </row>
    <row r="1485" ht="15">
      <c r="Q1485" s="497"/>
    </row>
    <row r="1486" ht="15">
      <c r="Q1486" s="497"/>
    </row>
    <row r="1487" ht="15">
      <c r="Q1487" s="497"/>
    </row>
    <row r="1488" ht="15">
      <c r="Q1488" s="497"/>
    </row>
    <row r="1489" ht="15">
      <c r="Q1489" s="497"/>
    </row>
    <row r="1490" ht="15">
      <c r="Q1490" s="497"/>
    </row>
    <row r="1491" ht="15">
      <c r="Q1491" s="497"/>
    </row>
    <row r="1492" ht="15">
      <c r="Q1492" s="497"/>
    </row>
    <row r="1493" ht="15">
      <c r="Q1493" s="497"/>
    </row>
    <row r="1494" ht="15">
      <c r="Q1494" s="497"/>
    </row>
    <row r="1495" ht="15">
      <c r="Q1495" s="497"/>
    </row>
    <row r="1496" ht="15">
      <c r="Q1496" s="497"/>
    </row>
    <row r="1497" ht="15">
      <c r="Q1497" s="497"/>
    </row>
    <row r="1498" ht="15">
      <c r="Q1498" s="497"/>
    </row>
    <row r="1499" ht="15">
      <c r="Q1499" s="497"/>
    </row>
    <row r="1500" ht="15">
      <c r="Q1500" s="497"/>
    </row>
    <row r="1501" ht="15">
      <c r="Q1501" s="497"/>
    </row>
    <row r="1502" ht="15">
      <c r="Q1502" s="497"/>
    </row>
    <row r="1503" ht="15">
      <c r="Q1503" s="497"/>
    </row>
    <row r="1504" ht="15">
      <c r="Q1504" s="497"/>
    </row>
    <row r="1505" ht="15">
      <c r="Q1505" s="497"/>
    </row>
    <row r="1506" ht="15">
      <c r="Q1506" s="497"/>
    </row>
    <row r="1507" ht="15">
      <c r="Q1507" s="497"/>
    </row>
    <row r="1508" ht="15">
      <c r="Q1508" s="497"/>
    </row>
    <row r="1509" ht="15">
      <c r="Q1509" s="497"/>
    </row>
    <row r="1510" ht="15">
      <c r="Q1510" s="497"/>
    </row>
    <row r="1511" ht="15">
      <c r="Q1511" s="497"/>
    </row>
    <row r="1512" ht="15">
      <c r="Q1512" s="497"/>
    </row>
    <row r="1513" ht="15">
      <c r="Q1513" s="497"/>
    </row>
    <row r="1514" ht="15">
      <c r="Q1514" s="497"/>
    </row>
    <row r="1515" ht="15">
      <c r="Q1515" s="497"/>
    </row>
    <row r="1516" ht="15">
      <c r="Q1516" s="497"/>
    </row>
    <row r="1517" ht="15">
      <c r="Q1517" s="497"/>
    </row>
    <row r="1518" ht="15">
      <c r="Q1518" s="497"/>
    </row>
    <row r="1519" ht="15">
      <c r="Q1519" s="497"/>
    </row>
    <row r="1520" ht="15">
      <c r="Q1520" s="497"/>
    </row>
    <row r="1521" ht="15">
      <c r="Q1521" s="497"/>
    </row>
    <row r="1522" ht="15">
      <c r="Q1522" s="497"/>
    </row>
    <row r="1523" ht="15">
      <c r="Q1523" s="497"/>
    </row>
    <row r="1524" ht="15">
      <c r="Q1524" s="497"/>
    </row>
    <row r="1525" ht="15">
      <c r="Q1525" s="497"/>
    </row>
    <row r="1526" ht="15">
      <c r="Q1526" s="497"/>
    </row>
    <row r="1527" ht="15">
      <c r="Q1527" s="497"/>
    </row>
    <row r="1528" ht="15">
      <c r="Q1528" s="497"/>
    </row>
    <row r="1529" ht="15">
      <c r="Q1529" s="497"/>
    </row>
    <row r="1530" ht="15">
      <c r="Q1530" s="497"/>
    </row>
    <row r="1531" ht="15">
      <c r="Q1531" s="497"/>
    </row>
    <row r="1532" ht="15">
      <c r="Q1532" s="497"/>
    </row>
    <row r="1533" ht="15">
      <c r="Q1533" s="497"/>
    </row>
    <row r="1534" ht="15">
      <c r="Q1534" s="497"/>
    </row>
    <row r="1535" ht="15">
      <c r="Q1535" s="497"/>
    </row>
    <row r="1536" ht="15">
      <c r="Q1536" s="497"/>
    </row>
    <row r="1537" ht="15">
      <c r="Q1537" s="497"/>
    </row>
    <row r="1538" ht="15">
      <c r="Q1538" s="497"/>
    </row>
    <row r="1539" ht="15">
      <c r="Q1539" s="497"/>
    </row>
    <row r="1540" ht="15">
      <c r="Q1540" s="497"/>
    </row>
    <row r="1541" ht="15">
      <c r="Q1541" s="497"/>
    </row>
    <row r="1542" ht="15">
      <c r="Q1542" s="497"/>
    </row>
    <row r="1543" ht="15">
      <c r="Q1543" s="497"/>
    </row>
    <row r="1544" ht="15">
      <c r="Q1544" s="497"/>
    </row>
    <row r="1545" ht="15">
      <c r="Q1545" s="497"/>
    </row>
    <row r="1546" ht="15">
      <c r="Q1546" s="497"/>
    </row>
    <row r="1547" ht="15">
      <c r="Q1547" s="497"/>
    </row>
    <row r="1548" ht="15">
      <c r="Q1548" s="497"/>
    </row>
    <row r="1549" ht="15">
      <c r="Q1549" s="497"/>
    </row>
    <row r="1550" ht="15">
      <c r="Q1550" s="497"/>
    </row>
    <row r="1551" ht="15">
      <c r="Q1551" s="497"/>
    </row>
    <row r="1552" ht="15">
      <c r="Q1552" s="497"/>
    </row>
    <row r="1553" ht="15">
      <c r="Q1553" s="497"/>
    </row>
    <row r="1554" ht="15">
      <c r="Q1554" s="497"/>
    </row>
    <row r="1555" ht="15">
      <c r="Q1555" s="497"/>
    </row>
    <row r="1556" ht="15">
      <c r="Q1556" s="497"/>
    </row>
    <row r="1557" ht="15">
      <c r="Q1557" s="497"/>
    </row>
    <row r="1558" ht="15">
      <c r="Q1558" s="497"/>
    </row>
    <row r="1559" ht="15">
      <c r="Q1559" s="497"/>
    </row>
    <row r="1560" ht="15">
      <c r="Q1560" s="497"/>
    </row>
    <row r="1561" ht="15">
      <c r="Q1561" s="497"/>
    </row>
    <row r="1562" ht="15">
      <c r="Q1562" s="497"/>
    </row>
    <row r="1563" ht="15">
      <c r="Q1563" s="497"/>
    </row>
    <row r="1564" ht="15">
      <c r="Q1564" s="497"/>
    </row>
    <row r="1565" ht="15">
      <c r="Q1565" s="497"/>
    </row>
    <row r="1566" ht="15">
      <c r="Q1566" s="497"/>
    </row>
    <row r="1567" ht="15">
      <c r="Q1567" s="497"/>
    </row>
    <row r="1568" ht="15">
      <c r="Q1568" s="497"/>
    </row>
    <row r="1569" ht="15">
      <c r="Q1569" s="497"/>
    </row>
    <row r="1570" ht="15">
      <c r="Q1570" s="497"/>
    </row>
    <row r="1571" ht="15">
      <c r="Q1571" s="497"/>
    </row>
    <row r="1572" ht="15">
      <c r="Q1572" s="497"/>
    </row>
    <row r="1573" ht="15">
      <c r="Q1573" s="497"/>
    </row>
    <row r="1574" ht="15">
      <c r="Q1574" s="497"/>
    </row>
    <row r="1575" ht="15">
      <c r="Q1575" s="497"/>
    </row>
    <row r="1576" ht="15">
      <c r="Q1576" s="497"/>
    </row>
    <row r="1577" ht="15">
      <c r="Q1577" s="497"/>
    </row>
    <row r="1578" ht="15">
      <c r="Q1578" s="497"/>
    </row>
    <row r="1579" ht="15">
      <c r="Q1579" s="497"/>
    </row>
    <row r="1580" ht="15">
      <c r="Q1580" s="497"/>
    </row>
    <row r="1581" ht="15">
      <c r="Q1581" s="497"/>
    </row>
    <row r="1582" ht="15">
      <c r="Q1582" s="497"/>
    </row>
    <row r="1583" ht="15">
      <c r="Q1583" s="497"/>
    </row>
    <row r="1584" ht="15">
      <c r="Q1584" s="497"/>
    </row>
    <row r="1585" ht="15">
      <c r="Q1585" s="497"/>
    </row>
    <row r="1586" ht="15">
      <c r="Q1586" s="497"/>
    </row>
    <row r="1587" ht="15">
      <c r="Q1587" s="497"/>
    </row>
    <row r="1588" ht="15">
      <c r="Q1588" s="497"/>
    </row>
    <row r="1589" ht="15">
      <c r="Q1589" s="497"/>
    </row>
    <row r="1590" ht="15">
      <c r="Q1590" s="497"/>
    </row>
    <row r="1591" ht="15">
      <c r="Q1591" s="497"/>
    </row>
    <row r="1592" ht="15">
      <c r="Q1592" s="497"/>
    </row>
    <row r="1593" ht="15">
      <c r="Q1593" s="497"/>
    </row>
    <row r="1594" ht="15">
      <c r="Q1594" s="497"/>
    </row>
    <row r="1595" ht="15">
      <c r="Q1595" s="497"/>
    </row>
    <row r="1596" ht="15">
      <c r="Q1596" s="497"/>
    </row>
    <row r="1597" ht="15">
      <c r="Q1597" s="497"/>
    </row>
    <row r="1598" ht="15">
      <c r="Q1598" s="497"/>
    </row>
    <row r="1599" ht="15">
      <c r="Q1599" s="497"/>
    </row>
    <row r="1600" ht="15">
      <c r="Q1600" s="497"/>
    </row>
    <row r="1601" ht="15">
      <c r="Q1601" s="497"/>
    </row>
    <row r="1602" ht="15">
      <c r="Q1602" s="497"/>
    </row>
    <row r="1603" ht="15">
      <c r="Q1603" s="497"/>
    </row>
    <row r="1604" ht="15">
      <c r="Q1604" s="497"/>
    </row>
    <row r="1605" ht="15">
      <c r="Q1605" s="497"/>
    </row>
    <row r="1606" ht="15">
      <c r="Q1606" s="497"/>
    </row>
    <row r="1607" ht="15">
      <c r="Q1607" s="497"/>
    </row>
    <row r="1608" ht="15">
      <c r="Q1608" s="497"/>
    </row>
    <row r="1609" ht="15">
      <c r="Q1609" s="497"/>
    </row>
    <row r="1610" ht="15">
      <c r="Q1610" s="497"/>
    </row>
    <row r="1611" ht="15">
      <c r="Q1611" s="497"/>
    </row>
    <row r="1612" ht="15">
      <c r="Q1612" s="497"/>
    </row>
    <row r="1613" ht="15">
      <c r="Q1613" s="497"/>
    </row>
    <row r="1614" ht="15">
      <c r="Q1614" s="497"/>
    </row>
    <row r="1615" ht="15">
      <c r="Q1615" s="497"/>
    </row>
    <row r="1616" ht="15">
      <c r="Q1616" s="497"/>
    </row>
    <row r="1617" ht="15">
      <c r="Q1617" s="497"/>
    </row>
    <row r="1618" ht="15">
      <c r="Q1618" s="497"/>
    </row>
    <row r="1619" ht="15">
      <c r="Q1619" s="497"/>
    </row>
    <row r="1620" ht="15">
      <c r="Q1620" s="497"/>
    </row>
    <row r="1621" ht="15">
      <c r="Q1621" s="497"/>
    </row>
    <row r="1622" ht="15">
      <c r="Q1622" s="497"/>
    </row>
    <row r="1623" ht="15">
      <c r="Q1623" s="497"/>
    </row>
    <row r="1624" ht="15">
      <c r="Q1624" s="497"/>
    </row>
    <row r="1625" ht="15">
      <c r="Q1625" s="497"/>
    </row>
    <row r="1626" ht="15">
      <c r="Q1626" s="497"/>
    </row>
    <row r="1627" ht="15">
      <c r="Q1627" s="497"/>
    </row>
    <row r="1628" ht="15">
      <c r="Q1628" s="497"/>
    </row>
    <row r="1629" ht="15">
      <c r="Q1629" s="497"/>
    </row>
    <row r="1630" ht="15">
      <c r="Q1630" s="497"/>
    </row>
    <row r="1631" ht="15">
      <c r="Q1631" s="497"/>
    </row>
    <row r="1632" ht="15">
      <c r="Q1632" s="497"/>
    </row>
    <row r="1633" ht="15">
      <c r="Q1633" s="497"/>
    </row>
    <row r="1634" ht="15">
      <c r="Q1634" s="497"/>
    </row>
    <row r="1635" ht="15">
      <c r="Q1635" s="497"/>
    </row>
    <row r="1636" ht="15">
      <c r="Q1636" s="497"/>
    </row>
    <row r="1637" ht="15">
      <c r="Q1637" s="497"/>
    </row>
    <row r="1638" ht="15">
      <c r="Q1638" s="497"/>
    </row>
    <row r="1639" ht="15">
      <c r="Q1639" s="497"/>
    </row>
    <row r="1640" ht="15">
      <c r="Q1640" s="497"/>
    </row>
    <row r="1641" ht="15">
      <c r="Q1641" s="497"/>
    </row>
    <row r="1642" ht="15">
      <c r="Q1642" s="497"/>
    </row>
    <row r="1643" ht="15">
      <c r="Q1643" s="497"/>
    </row>
    <row r="1644" ht="15">
      <c r="Q1644" s="497"/>
    </row>
    <row r="1645" ht="15">
      <c r="Q1645" s="497"/>
    </row>
    <row r="1646" ht="15">
      <c r="Q1646" s="497"/>
    </row>
    <row r="1647" ht="15">
      <c r="Q1647" s="497"/>
    </row>
    <row r="1648" ht="15">
      <c r="Q1648" s="497"/>
    </row>
    <row r="1649" ht="15">
      <c r="Q1649" s="497"/>
    </row>
    <row r="1650" ht="15">
      <c r="Q1650" s="497"/>
    </row>
    <row r="1651" ht="15">
      <c r="Q1651" s="497"/>
    </row>
    <row r="1652" ht="15">
      <c r="Q1652" s="497"/>
    </row>
    <row r="1653" ht="15">
      <c r="Q1653" s="497"/>
    </row>
    <row r="1654" ht="15">
      <c r="Q1654" s="497"/>
    </row>
    <row r="1655" ht="15">
      <c r="Q1655" s="497"/>
    </row>
    <row r="1656" ht="15">
      <c r="Q1656" s="497"/>
    </row>
    <row r="1657" ht="15">
      <c r="Q1657" s="497"/>
    </row>
    <row r="1658" ht="15">
      <c r="Q1658" s="497"/>
    </row>
    <row r="1659" ht="15">
      <c r="Q1659" s="497"/>
    </row>
    <row r="1660" ht="15">
      <c r="Q1660" s="497"/>
    </row>
    <row r="1661" ht="15">
      <c r="Q1661" s="497"/>
    </row>
    <row r="1662" ht="15">
      <c r="Q1662" s="497"/>
    </row>
    <row r="1663" ht="15">
      <c r="Q1663" s="497"/>
    </row>
    <row r="1664" ht="15">
      <c r="Q1664" s="497"/>
    </row>
    <row r="1665" ht="15">
      <c r="Q1665" s="497"/>
    </row>
    <row r="1666" ht="15">
      <c r="Q1666" s="497"/>
    </row>
    <row r="1667" ht="15">
      <c r="Q1667" s="497"/>
    </row>
    <row r="1668" ht="15">
      <c r="Q1668" s="497"/>
    </row>
    <row r="1669" ht="15">
      <c r="Q1669" s="497"/>
    </row>
    <row r="1670" ht="15">
      <c r="Q1670" s="497"/>
    </row>
    <row r="1671" ht="15">
      <c r="Q1671" s="497"/>
    </row>
    <row r="1672" ht="15">
      <c r="Q1672" s="497"/>
    </row>
    <row r="1673" ht="15">
      <c r="Q1673" s="497"/>
    </row>
    <row r="1674" ht="15">
      <c r="Q1674" s="497"/>
    </row>
    <row r="1675" ht="15">
      <c r="Q1675" s="497"/>
    </row>
    <row r="1676" ht="15">
      <c r="Q1676" s="497"/>
    </row>
    <row r="1677" ht="15">
      <c r="Q1677" s="497"/>
    </row>
    <row r="1678" ht="15">
      <c r="Q1678" s="497"/>
    </row>
    <row r="1679" ht="15">
      <c r="Q1679" s="497"/>
    </row>
    <row r="1680" ht="15">
      <c r="Q1680" s="497"/>
    </row>
    <row r="1681" ht="15">
      <c r="Q1681" s="497"/>
    </row>
    <row r="1682" ht="15">
      <c r="Q1682" s="497"/>
    </row>
    <row r="1683" ht="15">
      <c r="Q1683" s="497"/>
    </row>
    <row r="1684" ht="15">
      <c r="Q1684" s="497"/>
    </row>
    <row r="1685" ht="15">
      <c r="Q1685" s="497"/>
    </row>
    <row r="1686" ht="15">
      <c r="Q1686" s="497"/>
    </row>
    <row r="1687" ht="15">
      <c r="Q1687" s="497"/>
    </row>
    <row r="1688" ht="15">
      <c r="Q1688" s="497"/>
    </row>
    <row r="1689" ht="15">
      <c r="Q1689" s="497"/>
    </row>
    <row r="1690" ht="15">
      <c r="Q1690" s="497"/>
    </row>
    <row r="1691" ht="15">
      <c r="Q1691" s="497"/>
    </row>
    <row r="1692" ht="15">
      <c r="Q1692" s="497"/>
    </row>
    <row r="1693" ht="15">
      <c r="Q1693" s="497"/>
    </row>
    <row r="1694" ht="15">
      <c r="Q1694" s="497"/>
    </row>
    <row r="1695" ht="15">
      <c r="Q1695" s="497"/>
    </row>
    <row r="1696" ht="15">
      <c r="Q1696" s="497"/>
    </row>
    <row r="1697" ht="15">
      <c r="Q1697" s="497"/>
    </row>
    <row r="1698" ht="15">
      <c r="Q1698" s="497"/>
    </row>
    <row r="1699" ht="15">
      <c r="Q1699" s="497"/>
    </row>
    <row r="1700" ht="15">
      <c r="Q1700" s="497"/>
    </row>
    <row r="1701" ht="15">
      <c r="Q1701" s="497"/>
    </row>
    <row r="1702" ht="15">
      <c r="Q1702" s="497"/>
    </row>
    <row r="1703" ht="15">
      <c r="Q1703" s="497"/>
    </row>
    <row r="1704" ht="15">
      <c r="Q1704" s="497"/>
    </row>
    <row r="1705" ht="15">
      <c r="Q1705" s="497"/>
    </row>
    <row r="1706" ht="15">
      <c r="Q1706" s="497"/>
    </row>
    <row r="1707" ht="15">
      <c r="Q1707" s="497"/>
    </row>
    <row r="1708" ht="15">
      <c r="Q1708" s="497"/>
    </row>
    <row r="1709" ht="15">
      <c r="Q1709" s="497"/>
    </row>
    <row r="1710" ht="15">
      <c r="Q1710" s="497"/>
    </row>
    <row r="1711" ht="15">
      <c r="Q1711" s="497"/>
    </row>
    <row r="1712" ht="15">
      <c r="Q1712" s="497"/>
    </row>
    <row r="1713" ht="15">
      <c r="Q1713" s="497"/>
    </row>
    <row r="1714" ht="15">
      <c r="Q1714" s="497"/>
    </row>
    <row r="1715" ht="15">
      <c r="Q1715" s="497"/>
    </row>
    <row r="1716" ht="15">
      <c r="Q1716" s="497"/>
    </row>
    <row r="1717" ht="15">
      <c r="Q1717" s="497"/>
    </row>
    <row r="1718" ht="15">
      <c r="Q1718" s="497"/>
    </row>
    <row r="1719" ht="15">
      <c r="Q1719" s="497"/>
    </row>
    <row r="1720" ht="15">
      <c r="Q1720" s="497"/>
    </row>
    <row r="1721" ht="15">
      <c r="Q1721" s="497"/>
    </row>
    <row r="1722" ht="15">
      <c r="Q1722" s="497"/>
    </row>
    <row r="1723" ht="15">
      <c r="Q1723" s="497"/>
    </row>
    <row r="1724" ht="15">
      <c r="Q1724" s="497"/>
    </row>
    <row r="1725" ht="15">
      <c r="Q1725" s="497"/>
    </row>
    <row r="1726" ht="15">
      <c r="Q1726" s="497"/>
    </row>
    <row r="1727" ht="15">
      <c r="Q1727" s="497"/>
    </row>
    <row r="1728" ht="15">
      <c r="Q1728" s="497"/>
    </row>
    <row r="1729" ht="15">
      <c r="Q1729" s="497"/>
    </row>
    <row r="1730" ht="15">
      <c r="Q1730" s="497"/>
    </row>
    <row r="1731" ht="15">
      <c r="Q1731" s="497"/>
    </row>
    <row r="1732" ht="15">
      <c r="Q1732" s="497"/>
    </row>
    <row r="1733" ht="15">
      <c r="Q1733" s="497"/>
    </row>
    <row r="1734" ht="15">
      <c r="Q1734" s="497"/>
    </row>
    <row r="1735" ht="15">
      <c r="Q1735" s="497"/>
    </row>
    <row r="1736" ht="15">
      <c r="Q1736" s="497"/>
    </row>
    <row r="1737" ht="15">
      <c r="Q1737" s="497"/>
    </row>
    <row r="1738" ht="15">
      <c r="Q1738" s="497"/>
    </row>
    <row r="1739" ht="15">
      <c r="Q1739" s="497"/>
    </row>
    <row r="1740" ht="15">
      <c r="Q1740" s="497"/>
    </row>
    <row r="1741" ht="15">
      <c r="Q1741" s="497"/>
    </row>
    <row r="1742" ht="15">
      <c r="Q1742" s="497"/>
    </row>
    <row r="1743" ht="15">
      <c r="Q1743" s="497"/>
    </row>
    <row r="1744" ht="15">
      <c r="Q1744" s="497"/>
    </row>
    <row r="1745" ht="15">
      <c r="Q1745" s="497"/>
    </row>
    <row r="1746" ht="15">
      <c r="Q1746" s="497"/>
    </row>
    <row r="1747" ht="15">
      <c r="Q1747" s="497"/>
    </row>
    <row r="1748" ht="15">
      <c r="Q1748" s="497"/>
    </row>
    <row r="1749" ht="15">
      <c r="Q1749" s="497"/>
    </row>
    <row r="1750" ht="15">
      <c r="Q1750" s="497"/>
    </row>
    <row r="1751" ht="15">
      <c r="Q1751" s="497"/>
    </row>
    <row r="1752" ht="15">
      <c r="Q1752" s="497"/>
    </row>
    <row r="1753" ht="15">
      <c r="Q1753" s="497"/>
    </row>
    <row r="1754" ht="15">
      <c r="Q1754" s="497"/>
    </row>
    <row r="1755" ht="15">
      <c r="Q1755" s="497"/>
    </row>
    <row r="1756" ht="15">
      <c r="Q1756" s="497"/>
    </row>
    <row r="1757" ht="15">
      <c r="Q1757" s="497"/>
    </row>
    <row r="1758" ht="15">
      <c r="Q1758" s="497"/>
    </row>
    <row r="1759" ht="15">
      <c r="Q1759" s="497"/>
    </row>
    <row r="1760" ht="15">
      <c r="Q1760" s="497"/>
    </row>
    <row r="1761" ht="15">
      <c r="Q1761" s="497"/>
    </row>
    <row r="1762" ht="15">
      <c r="Q1762" s="497"/>
    </row>
    <row r="1763" ht="15">
      <c r="Q1763" s="497"/>
    </row>
    <row r="1764" ht="15">
      <c r="Q1764" s="497"/>
    </row>
    <row r="1765" ht="15">
      <c r="Q1765" s="497"/>
    </row>
    <row r="1766" ht="15">
      <c r="Q1766" s="497"/>
    </row>
    <row r="1767" ht="15">
      <c r="Q1767" s="497"/>
    </row>
    <row r="1768" ht="15">
      <c r="Q1768" s="497"/>
    </row>
    <row r="1769" ht="15">
      <c r="Q1769" s="497"/>
    </row>
    <row r="1770" ht="15">
      <c r="Q1770" s="497"/>
    </row>
    <row r="1771" ht="15">
      <c r="Q1771" s="497"/>
    </row>
    <row r="1772" ht="15">
      <c r="Q1772" s="497"/>
    </row>
    <row r="1773" ht="15">
      <c r="Q1773" s="497"/>
    </row>
    <row r="1774" ht="15">
      <c r="Q1774" s="497"/>
    </row>
    <row r="1775" ht="15">
      <c r="Q1775" s="497"/>
    </row>
    <row r="1776" ht="15">
      <c r="Q1776" s="497"/>
    </row>
    <row r="1777" ht="15">
      <c r="Q1777" s="497"/>
    </row>
    <row r="1778" ht="15">
      <c r="Q1778" s="497"/>
    </row>
    <row r="1779" ht="15">
      <c r="Q1779" s="497"/>
    </row>
    <row r="1780" ht="15">
      <c r="Q1780" s="497"/>
    </row>
    <row r="1781" ht="15">
      <c r="Q1781" s="497"/>
    </row>
    <row r="1782" ht="15">
      <c r="Q1782" s="497"/>
    </row>
    <row r="1783" ht="15">
      <c r="Q1783" s="497"/>
    </row>
    <row r="1784" ht="15">
      <c r="Q1784" s="497"/>
    </row>
    <row r="1785" ht="15">
      <c r="Q1785" s="497"/>
    </row>
    <row r="1786" ht="15">
      <c r="Q1786" s="497"/>
    </row>
    <row r="1787" ht="15">
      <c r="Q1787" s="497"/>
    </row>
    <row r="1788" ht="15">
      <c r="Q1788" s="497"/>
    </row>
    <row r="1789" ht="15">
      <c r="Q1789" s="497"/>
    </row>
    <row r="1790" ht="15">
      <c r="Q1790" s="497"/>
    </row>
    <row r="1791" ht="15">
      <c r="Q1791" s="497"/>
    </row>
    <row r="1792" ht="15">
      <c r="Q1792" s="497"/>
    </row>
    <row r="1793" ht="15">
      <c r="Q1793" s="497"/>
    </row>
    <row r="1794" ht="15">
      <c r="Q1794" s="497"/>
    </row>
    <row r="1795" ht="15">
      <c r="Q1795" s="497"/>
    </row>
    <row r="1796" ht="15">
      <c r="Q1796" s="497"/>
    </row>
    <row r="1797" ht="15">
      <c r="Q1797" s="497"/>
    </row>
    <row r="1798" ht="15">
      <c r="Q1798" s="497"/>
    </row>
    <row r="1799" ht="15">
      <c r="Q1799" s="497"/>
    </row>
    <row r="1800" ht="15">
      <c r="Q1800" s="497"/>
    </row>
    <row r="1801" ht="15">
      <c r="Q1801" s="497"/>
    </row>
    <row r="1802" ht="15">
      <c r="Q1802" s="497"/>
    </row>
    <row r="1803" ht="15">
      <c r="Q1803" s="497"/>
    </row>
    <row r="1804" ht="15">
      <c r="Q1804" s="497"/>
    </row>
    <row r="1805" ht="15">
      <c r="Q1805" s="497"/>
    </row>
    <row r="1806" ht="15">
      <c r="Q1806" s="497"/>
    </row>
    <row r="1807" ht="15">
      <c r="Q1807" s="497"/>
    </row>
    <row r="1808" ht="15">
      <c r="Q1808" s="497"/>
    </row>
    <row r="1809" ht="15">
      <c r="Q1809" s="497"/>
    </row>
    <row r="1810" ht="15">
      <c r="Q1810" s="497"/>
    </row>
    <row r="1811" ht="15">
      <c r="Q1811" s="497"/>
    </row>
    <row r="1812" ht="15">
      <c r="Q1812" s="497"/>
    </row>
    <row r="1813" ht="15">
      <c r="Q1813" s="497"/>
    </row>
    <row r="1814" ht="15">
      <c r="Q1814" s="497"/>
    </row>
    <row r="1815" ht="15">
      <c r="Q1815" s="497"/>
    </row>
    <row r="1816" ht="15">
      <c r="Q1816" s="497"/>
    </row>
    <row r="1817" ht="15">
      <c r="Q1817" s="497"/>
    </row>
    <row r="1818" ht="15">
      <c r="Q1818" s="497"/>
    </row>
    <row r="1819" ht="15">
      <c r="Q1819" s="497"/>
    </row>
    <row r="1820" ht="15">
      <c r="Q1820" s="497"/>
    </row>
    <row r="1821" ht="15">
      <c r="Q1821" s="497"/>
    </row>
    <row r="1822" ht="15">
      <c r="Q1822" s="497"/>
    </row>
    <row r="1823" ht="15">
      <c r="Q1823" s="497"/>
    </row>
    <row r="1824" ht="15">
      <c r="Q1824" s="497"/>
    </row>
    <row r="1825" ht="15">
      <c r="Q1825" s="497"/>
    </row>
    <row r="1826" ht="15">
      <c r="Q1826" s="497"/>
    </row>
    <row r="1827" ht="15">
      <c r="Q1827" s="497"/>
    </row>
    <row r="1828" ht="15">
      <c r="Q1828" s="497"/>
    </row>
    <row r="1829" ht="15">
      <c r="Q1829" s="497"/>
    </row>
    <row r="1830" ht="15">
      <c r="Q1830" s="497"/>
    </row>
    <row r="1831" ht="15">
      <c r="Q1831" s="497"/>
    </row>
    <row r="1832" ht="15">
      <c r="Q1832" s="497"/>
    </row>
    <row r="1833" ht="15">
      <c r="Q1833" s="497"/>
    </row>
    <row r="1834" ht="15">
      <c r="Q1834" s="497"/>
    </row>
    <row r="1835" ht="15">
      <c r="Q1835" s="497"/>
    </row>
    <row r="1836" ht="15">
      <c r="Q1836" s="497"/>
    </row>
    <row r="1837" ht="15">
      <c r="Q1837" s="497"/>
    </row>
    <row r="1838" ht="15">
      <c r="Q1838" s="497"/>
    </row>
    <row r="1839" ht="15">
      <c r="Q1839" s="497"/>
    </row>
    <row r="1840" ht="15">
      <c r="Q1840" s="497"/>
    </row>
    <row r="1841" ht="15">
      <c r="Q1841" s="497"/>
    </row>
    <row r="1842" ht="15">
      <c r="Q1842" s="497"/>
    </row>
    <row r="1843" ht="15">
      <c r="Q1843" s="497"/>
    </row>
    <row r="1844" ht="15">
      <c r="Q1844" s="497"/>
    </row>
    <row r="1845" ht="15">
      <c r="Q1845" s="497"/>
    </row>
    <row r="1846" ht="15">
      <c r="Q1846" s="497"/>
    </row>
    <row r="1847" ht="15">
      <c r="Q1847" s="497"/>
    </row>
    <row r="1848" ht="15">
      <c r="Q1848" s="497"/>
    </row>
    <row r="1849" ht="15">
      <c r="Q1849" s="497"/>
    </row>
    <row r="1850" ht="15">
      <c r="Q1850" s="497"/>
    </row>
    <row r="1851" ht="15">
      <c r="Q1851" s="497"/>
    </row>
    <row r="1852" ht="15">
      <c r="Q1852" s="497"/>
    </row>
    <row r="1853" ht="15">
      <c r="Q1853" s="497"/>
    </row>
    <row r="1854" ht="15">
      <c r="Q1854" s="497"/>
    </row>
    <row r="1855" ht="15">
      <c r="Q1855" s="497"/>
    </row>
    <row r="1856" ht="15">
      <c r="Q1856" s="497"/>
    </row>
    <row r="1857" ht="15">
      <c r="Q1857" s="497"/>
    </row>
    <row r="1858" ht="15">
      <c r="Q1858" s="497"/>
    </row>
    <row r="1859" ht="15">
      <c r="Q1859" s="497"/>
    </row>
    <row r="1860" ht="15">
      <c r="Q1860" s="497"/>
    </row>
    <row r="1861" ht="15">
      <c r="Q1861" s="497"/>
    </row>
    <row r="1862" ht="15">
      <c r="Q1862" s="497"/>
    </row>
    <row r="1863" ht="15">
      <c r="Q1863" s="497"/>
    </row>
    <row r="1864" ht="15">
      <c r="Q1864" s="497"/>
    </row>
    <row r="1865" ht="15">
      <c r="Q1865" s="497"/>
    </row>
    <row r="1866" ht="15">
      <c r="Q1866" s="497"/>
    </row>
    <row r="1867" ht="15">
      <c r="Q1867" s="497"/>
    </row>
    <row r="1868" ht="15">
      <c r="Q1868" s="497"/>
    </row>
    <row r="1869" ht="15">
      <c r="Q1869" s="497"/>
    </row>
    <row r="1870" ht="15">
      <c r="Q1870" s="497"/>
    </row>
    <row r="1871" ht="15">
      <c r="Q1871" s="497"/>
    </row>
    <row r="1872" ht="15">
      <c r="Q1872" s="497"/>
    </row>
    <row r="1873" ht="15">
      <c r="Q1873" s="497"/>
    </row>
    <row r="1874" ht="15">
      <c r="Q1874" s="497"/>
    </row>
    <row r="1875" ht="15">
      <c r="Q1875" s="497"/>
    </row>
    <row r="1876" ht="15">
      <c r="Q1876" s="497"/>
    </row>
    <row r="1877" ht="15">
      <c r="Q1877" s="497"/>
    </row>
    <row r="1878" ht="15">
      <c r="Q1878" s="497"/>
    </row>
    <row r="1879" ht="15">
      <c r="Q1879" s="497"/>
    </row>
    <row r="1880" ht="15">
      <c r="Q1880" s="497"/>
    </row>
    <row r="1881" ht="15">
      <c r="Q1881" s="497"/>
    </row>
    <row r="1882" ht="15">
      <c r="Q1882" s="497"/>
    </row>
    <row r="1883" ht="15">
      <c r="Q1883" s="497"/>
    </row>
    <row r="1884" ht="15">
      <c r="Q1884" s="497"/>
    </row>
    <row r="1885" ht="15">
      <c r="Q1885" s="497"/>
    </row>
    <row r="1886" ht="15">
      <c r="Q1886" s="497"/>
    </row>
    <row r="1887" ht="15">
      <c r="Q1887" s="497"/>
    </row>
    <row r="1888" ht="15">
      <c r="Q1888" s="497"/>
    </row>
    <row r="1889" ht="15">
      <c r="Q1889" s="497"/>
    </row>
    <row r="1890" ht="15">
      <c r="Q1890" s="497"/>
    </row>
    <row r="1891" ht="15">
      <c r="Q1891" s="497"/>
    </row>
    <row r="1892" ht="15">
      <c r="Q1892" s="497"/>
    </row>
    <row r="1893" ht="15">
      <c r="Q1893" s="497"/>
    </row>
    <row r="1894" ht="15">
      <c r="Q1894" s="497"/>
    </row>
    <row r="1895" ht="15">
      <c r="Q1895" s="497"/>
    </row>
    <row r="1896" ht="15">
      <c r="Q1896" s="497"/>
    </row>
    <row r="1897" ht="15">
      <c r="Q1897" s="497"/>
    </row>
    <row r="1898" ht="15">
      <c r="Q1898" s="497"/>
    </row>
    <row r="1899" ht="15">
      <c r="Q1899" s="497"/>
    </row>
    <row r="1900" ht="15">
      <c r="Q1900" s="497"/>
    </row>
    <row r="1901" ht="15">
      <c r="Q1901" s="497"/>
    </row>
    <row r="1902" ht="15">
      <c r="Q1902" s="497"/>
    </row>
    <row r="1903" ht="15">
      <c r="Q1903" s="497"/>
    </row>
    <row r="1904" ht="15">
      <c r="Q1904" s="497"/>
    </row>
    <row r="1905" ht="15">
      <c r="Q1905" s="497"/>
    </row>
    <row r="1906" ht="15">
      <c r="Q1906" s="497"/>
    </row>
    <row r="1907" ht="15">
      <c r="Q1907" s="497"/>
    </row>
    <row r="1908" ht="15">
      <c r="Q1908" s="497"/>
    </row>
    <row r="1909" ht="15">
      <c r="Q1909" s="497"/>
    </row>
    <row r="1910" ht="15">
      <c r="Q1910" s="497"/>
    </row>
    <row r="1911" ht="15">
      <c r="Q1911" s="497"/>
    </row>
    <row r="1912" ht="15">
      <c r="Q1912" s="497"/>
    </row>
    <row r="1913" ht="15">
      <c r="Q1913" s="497"/>
    </row>
    <row r="1914" ht="15">
      <c r="Q1914" s="497"/>
    </row>
    <row r="1915" ht="15">
      <c r="Q1915" s="497"/>
    </row>
    <row r="1916" ht="15">
      <c r="Q1916" s="497"/>
    </row>
    <row r="1917" ht="15">
      <c r="Q1917" s="497"/>
    </row>
    <row r="1918" ht="15">
      <c r="Q1918" s="497"/>
    </row>
    <row r="1919" ht="15">
      <c r="Q1919" s="497"/>
    </row>
    <row r="1920" ht="15">
      <c r="Q1920" s="497"/>
    </row>
    <row r="1921" ht="15">
      <c r="Q1921" s="497"/>
    </row>
    <row r="1922" ht="15">
      <c r="Q1922" s="497"/>
    </row>
    <row r="1923" ht="15">
      <c r="Q1923" s="497"/>
    </row>
    <row r="1924" ht="15">
      <c r="Q1924" s="497"/>
    </row>
    <row r="1925" ht="15">
      <c r="Q1925" s="497"/>
    </row>
    <row r="1926" ht="15">
      <c r="Q1926" s="497"/>
    </row>
    <row r="1927" ht="15">
      <c r="Q1927" s="497"/>
    </row>
    <row r="1928" ht="15">
      <c r="Q1928" s="497"/>
    </row>
    <row r="1929" ht="15">
      <c r="Q1929" s="497"/>
    </row>
    <row r="1930" ht="15">
      <c r="Q1930" s="497"/>
    </row>
    <row r="1931" ht="15">
      <c r="Q1931" s="497"/>
    </row>
    <row r="1932" ht="15">
      <c r="Q1932" s="497"/>
    </row>
    <row r="1933" ht="15">
      <c r="Q1933" s="497"/>
    </row>
    <row r="1934" ht="15">
      <c r="Q1934" s="497"/>
    </row>
    <row r="1935" ht="15">
      <c r="Q1935" s="497"/>
    </row>
    <row r="1936" ht="15">
      <c r="Q1936" s="497"/>
    </row>
    <row r="1937" ht="15">
      <c r="Q1937" s="497"/>
    </row>
    <row r="1938" ht="15">
      <c r="Q1938" s="497"/>
    </row>
    <row r="1939" ht="15">
      <c r="Q1939" s="497"/>
    </row>
    <row r="1940" ht="15">
      <c r="Q1940" s="497"/>
    </row>
    <row r="1941" ht="15">
      <c r="Q1941" s="497"/>
    </row>
    <row r="1942" ht="15">
      <c r="Q1942" s="497"/>
    </row>
    <row r="1943" ht="15">
      <c r="Q1943" s="497"/>
    </row>
    <row r="1944" ht="15">
      <c r="Q1944" s="497"/>
    </row>
    <row r="1945" ht="15">
      <c r="Q1945" s="497"/>
    </row>
    <row r="1946" ht="15">
      <c r="Q1946" s="497"/>
    </row>
    <row r="1947" ht="15">
      <c r="Q1947" s="497"/>
    </row>
    <row r="1948" ht="15">
      <c r="Q1948" s="497"/>
    </row>
    <row r="1949" ht="15">
      <c r="Q1949" s="497"/>
    </row>
    <row r="1950" ht="15">
      <c r="Q1950" s="497"/>
    </row>
    <row r="1951" ht="15">
      <c r="Q1951" s="497"/>
    </row>
    <row r="1952" ht="15">
      <c r="Q1952" s="497"/>
    </row>
    <row r="1953" ht="15">
      <c r="Q1953" s="497"/>
    </row>
    <row r="1954" ht="15">
      <c r="Q1954" s="497"/>
    </row>
    <row r="1955" ht="15">
      <c r="Q1955" s="497"/>
    </row>
    <row r="1956" ht="15">
      <c r="Q1956" s="497"/>
    </row>
    <row r="1957" ht="15">
      <c r="Q1957" s="497"/>
    </row>
    <row r="1958" ht="15">
      <c r="Q1958" s="497"/>
    </row>
    <row r="1959" ht="15">
      <c r="Q1959" s="497"/>
    </row>
    <row r="1960" ht="15">
      <c r="Q1960" s="497"/>
    </row>
    <row r="1961" ht="15">
      <c r="Q1961" s="497"/>
    </row>
    <row r="1962" ht="15">
      <c r="Q1962" s="497"/>
    </row>
    <row r="1963" ht="15">
      <c r="Q1963" s="497"/>
    </row>
    <row r="1964" ht="15">
      <c r="Q1964" s="497"/>
    </row>
    <row r="1965" ht="15">
      <c r="Q1965" s="497"/>
    </row>
    <row r="1966" ht="15">
      <c r="Q1966" s="497"/>
    </row>
    <row r="1967" ht="15">
      <c r="Q1967" s="497"/>
    </row>
    <row r="1968" ht="15">
      <c r="Q1968" s="497"/>
    </row>
    <row r="1969" ht="15">
      <c r="Q1969" s="497"/>
    </row>
    <row r="1970" ht="15">
      <c r="Q1970" s="497"/>
    </row>
    <row r="1971" ht="15">
      <c r="Q1971" s="497"/>
    </row>
    <row r="1972" ht="15">
      <c r="Q1972" s="497"/>
    </row>
    <row r="1973" ht="15">
      <c r="Q1973" s="497"/>
    </row>
    <row r="1974" ht="15">
      <c r="Q1974" s="497"/>
    </row>
    <row r="1975" ht="15">
      <c r="Q1975" s="497"/>
    </row>
    <row r="1976" ht="15">
      <c r="Q1976" s="497"/>
    </row>
    <row r="1977" ht="15">
      <c r="Q1977" s="497"/>
    </row>
    <row r="1978" ht="15">
      <c r="Q1978" s="497"/>
    </row>
    <row r="1979" ht="15">
      <c r="Q1979" s="497"/>
    </row>
    <row r="1980" ht="15">
      <c r="Q1980" s="497"/>
    </row>
    <row r="1981" ht="15">
      <c r="Q1981" s="497"/>
    </row>
    <row r="1982" ht="15">
      <c r="Q1982" s="497"/>
    </row>
    <row r="1983" ht="15">
      <c r="Q1983" s="497"/>
    </row>
    <row r="1984" ht="15">
      <c r="Q1984" s="497"/>
    </row>
    <row r="1985" ht="15">
      <c r="Q1985" s="497"/>
    </row>
    <row r="1986" ht="15">
      <c r="Q1986" s="497"/>
    </row>
    <row r="1987" ht="15">
      <c r="Q1987" s="497"/>
    </row>
    <row r="1988" ht="15">
      <c r="Q1988" s="497"/>
    </row>
    <row r="1989" ht="15">
      <c r="Q1989" s="497"/>
    </row>
    <row r="1990" ht="15">
      <c r="Q1990" s="497"/>
    </row>
    <row r="1991" ht="15">
      <c r="Q1991" s="497"/>
    </row>
    <row r="1992" ht="15">
      <c r="Q1992" s="497"/>
    </row>
    <row r="1993" ht="15">
      <c r="Q1993" s="497"/>
    </row>
    <row r="1994" ht="15">
      <c r="Q1994" s="497"/>
    </row>
    <row r="1995" ht="15">
      <c r="Q1995" s="497"/>
    </row>
    <row r="1996" ht="15">
      <c r="Q1996" s="497"/>
    </row>
    <row r="1997" ht="15">
      <c r="Q1997" s="497"/>
    </row>
    <row r="1998" ht="15">
      <c r="Q1998" s="497"/>
    </row>
    <row r="1999" ht="15">
      <c r="Q1999" s="497"/>
    </row>
    <row r="2000" ht="15">
      <c r="Q2000" s="497"/>
    </row>
    <row r="2001" ht="15">
      <c r="Q2001" s="497"/>
    </row>
    <row r="2002" ht="15">
      <c r="Q2002" s="497"/>
    </row>
    <row r="2003" ht="15">
      <c r="Q2003" s="497"/>
    </row>
    <row r="2004" ht="15">
      <c r="Q2004" s="497"/>
    </row>
    <row r="2005" ht="15">
      <c r="Q2005" s="497"/>
    </row>
    <row r="2006" ht="15">
      <c r="Q2006" s="497"/>
    </row>
    <row r="2007" ht="15">
      <c r="Q2007" s="497"/>
    </row>
    <row r="2008" ht="15">
      <c r="Q2008" s="497"/>
    </row>
    <row r="2009" ht="15">
      <c r="Q2009" s="497"/>
    </row>
    <row r="2010" ht="15">
      <c r="Q2010" s="497"/>
    </row>
    <row r="2011" ht="15">
      <c r="Q2011" s="497"/>
    </row>
    <row r="2012" ht="15">
      <c r="Q2012" s="497"/>
    </row>
    <row r="2013" ht="15">
      <c r="Q2013" s="497"/>
    </row>
    <row r="2014" ht="15">
      <c r="Q2014" s="497"/>
    </row>
    <row r="2015" ht="15">
      <c r="Q2015" s="497"/>
    </row>
    <row r="2016" ht="15">
      <c r="Q2016" s="497"/>
    </row>
    <row r="2017" ht="15">
      <c r="Q2017" s="497"/>
    </row>
    <row r="2018" ht="15">
      <c r="Q2018" s="497"/>
    </row>
    <row r="2019" ht="15">
      <c r="Q2019" s="497"/>
    </row>
    <row r="2020" ht="15">
      <c r="Q2020" s="497"/>
    </row>
    <row r="2021" ht="15">
      <c r="Q2021" s="497"/>
    </row>
    <row r="2022" ht="15">
      <c r="Q2022" s="497"/>
    </row>
    <row r="2023" ht="15">
      <c r="Q2023" s="497"/>
    </row>
    <row r="2024" ht="15">
      <c r="Q2024" s="497"/>
    </row>
    <row r="2025" ht="15">
      <c r="Q2025" s="497"/>
    </row>
    <row r="2026" ht="15">
      <c r="Q2026" s="497"/>
    </row>
    <row r="2027" ht="15">
      <c r="Q2027" s="497"/>
    </row>
    <row r="2028" ht="15">
      <c r="Q2028" s="497"/>
    </row>
    <row r="2029" ht="15">
      <c r="Q2029" s="497"/>
    </row>
    <row r="2030" ht="15">
      <c r="Q2030" s="497"/>
    </row>
    <row r="2031" ht="15">
      <c r="Q2031" s="497"/>
    </row>
    <row r="2032" ht="15">
      <c r="Q2032" s="497"/>
    </row>
    <row r="2033" ht="15">
      <c r="Q2033" s="497"/>
    </row>
    <row r="2034" ht="15">
      <c r="Q2034" s="497"/>
    </row>
    <row r="2035" ht="15">
      <c r="Q2035" s="497"/>
    </row>
    <row r="2036" ht="15">
      <c r="Q2036" s="497"/>
    </row>
    <row r="2037" ht="15">
      <c r="Q2037" s="497"/>
    </row>
    <row r="2038" ht="15">
      <c r="Q2038" s="497"/>
    </row>
    <row r="2039" ht="15">
      <c r="Q2039" s="497"/>
    </row>
    <row r="2040" ht="15">
      <c r="Q2040" s="497"/>
    </row>
    <row r="2041" ht="15">
      <c r="Q2041" s="497"/>
    </row>
    <row r="2042" ht="15">
      <c r="Q2042" s="497"/>
    </row>
    <row r="2043" ht="15">
      <c r="Q2043" s="497"/>
    </row>
    <row r="2044" ht="15">
      <c r="Q2044" s="497"/>
    </row>
    <row r="2045" ht="15">
      <c r="Q2045" s="497"/>
    </row>
    <row r="2046" ht="15">
      <c r="Q2046" s="497"/>
    </row>
    <row r="2047" ht="15">
      <c r="Q2047" s="497"/>
    </row>
    <row r="2048" ht="15">
      <c r="Q2048" s="497"/>
    </row>
    <row r="2049" ht="15">
      <c r="Q2049" s="497"/>
    </row>
    <row r="2050" ht="15">
      <c r="Q2050" s="497"/>
    </row>
    <row r="2051" ht="15">
      <c r="Q2051" s="497"/>
    </row>
    <row r="2052" ht="15">
      <c r="Q2052" s="497"/>
    </row>
    <row r="2053" ht="15">
      <c r="Q2053" s="497"/>
    </row>
    <row r="2054" ht="15">
      <c r="Q2054" s="497"/>
    </row>
    <row r="2055" ht="15">
      <c r="Q2055" s="497"/>
    </row>
    <row r="2056" ht="15">
      <c r="Q2056" s="497"/>
    </row>
    <row r="2057" ht="15">
      <c r="Q2057" s="497"/>
    </row>
    <row r="2058" ht="15">
      <c r="Q2058" s="497"/>
    </row>
    <row r="2059" ht="15">
      <c r="Q2059" s="497"/>
    </row>
    <row r="2060" ht="15">
      <c r="Q2060" s="497"/>
    </row>
    <row r="2061" ht="15">
      <c r="Q2061" s="497"/>
    </row>
    <row r="2062" ht="15">
      <c r="Q2062" s="497"/>
    </row>
    <row r="2063" ht="15">
      <c r="Q2063" s="497"/>
    </row>
    <row r="2064" ht="15">
      <c r="Q2064" s="497"/>
    </row>
    <row r="2065" ht="15">
      <c r="Q2065" s="497"/>
    </row>
    <row r="2066" ht="15">
      <c r="Q2066" s="497"/>
    </row>
    <row r="2067" ht="15">
      <c r="Q2067" s="497"/>
    </row>
    <row r="2068" ht="15">
      <c r="Q2068" s="497"/>
    </row>
    <row r="2069" ht="15">
      <c r="Q2069" s="497"/>
    </row>
    <row r="2070" ht="15">
      <c r="Q2070" s="497"/>
    </row>
    <row r="2071" ht="15">
      <c r="Q2071" s="497"/>
    </row>
    <row r="2072" ht="15">
      <c r="Q2072" s="497"/>
    </row>
    <row r="2073" ht="15">
      <c r="Q2073" s="497"/>
    </row>
    <row r="2074" ht="15">
      <c r="Q2074" s="497"/>
    </row>
    <row r="2075" ht="15">
      <c r="Q2075" s="497"/>
    </row>
    <row r="2076" ht="15">
      <c r="Q2076" s="497"/>
    </row>
    <row r="2077" ht="15">
      <c r="Q2077" s="497"/>
    </row>
    <row r="2078" ht="15">
      <c r="Q2078" s="497"/>
    </row>
    <row r="2079" ht="15">
      <c r="Q2079" s="497"/>
    </row>
    <row r="2080" ht="15">
      <c r="Q2080" s="497"/>
    </row>
    <row r="2081" ht="15">
      <c r="Q2081" s="497"/>
    </row>
    <row r="2082" ht="15">
      <c r="Q2082" s="497"/>
    </row>
    <row r="2083" ht="15">
      <c r="Q2083" s="497"/>
    </row>
    <row r="2084" ht="15">
      <c r="Q2084" s="497"/>
    </row>
    <row r="2085" ht="15">
      <c r="Q2085" s="497"/>
    </row>
    <row r="2086" ht="15">
      <c r="Q2086" s="497"/>
    </row>
    <row r="2087" ht="15">
      <c r="Q2087" s="497"/>
    </row>
    <row r="2088" ht="15">
      <c r="Q2088" s="497"/>
    </row>
    <row r="2089" ht="15">
      <c r="Q2089" s="497"/>
    </row>
    <row r="2090" ht="15">
      <c r="Q2090" s="497"/>
    </row>
    <row r="2091" ht="15">
      <c r="Q2091" s="497"/>
    </row>
    <row r="2092" ht="15">
      <c r="Q2092" s="497"/>
    </row>
    <row r="2093" ht="15">
      <c r="Q2093" s="497"/>
    </row>
    <row r="2094" ht="15">
      <c r="Q2094" s="497"/>
    </row>
    <row r="2095" ht="15">
      <c r="Q2095" s="497"/>
    </row>
    <row r="2096" ht="15">
      <c r="Q2096" s="497"/>
    </row>
    <row r="2097" ht="15">
      <c r="Q2097" s="497"/>
    </row>
    <row r="2098" ht="15">
      <c r="Q2098" s="497"/>
    </row>
    <row r="2099" ht="15">
      <c r="Q2099" s="497"/>
    </row>
    <row r="2100" ht="15">
      <c r="Q2100" s="497"/>
    </row>
    <row r="2101" ht="15">
      <c r="Q2101" s="497"/>
    </row>
    <row r="2102" ht="15">
      <c r="Q2102" s="497"/>
    </row>
    <row r="2103" ht="15">
      <c r="Q2103" s="497"/>
    </row>
    <row r="2104" ht="15">
      <c r="Q2104" s="497"/>
    </row>
    <row r="2105" ht="15">
      <c r="Q2105" s="497"/>
    </row>
    <row r="2106" ht="15">
      <c r="Q2106" s="497"/>
    </row>
    <row r="2107" ht="15">
      <c r="Q2107" s="497"/>
    </row>
    <row r="2108" ht="15">
      <c r="Q2108" s="497"/>
    </row>
    <row r="2109" ht="15">
      <c r="Q2109" s="497"/>
    </row>
    <row r="2110" ht="15">
      <c r="Q2110" s="497"/>
    </row>
    <row r="2111" ht="15">
      <c r="Q2111" s="497"/>
    </row>
    <row r="2112" ht="15">
      <c r="Q2112" s="497"/>
    </row>
    <row r="2113" ht="15">
      <c r="Q2113" s="497"/>
    </row>
    <row r="2114" ht="15">
      <c r="Q2114" s="497"/>
    </row>
    <row r="2115" ht="15">
      <c r="Q2115" s="497"/>
    </row>
    <row r="2116" ht="15">
      <c r="Q2116" s="497"/>
    </row>
    <row r="2117" ht="15">
      <c r="Q2117" s="497"/>
    </row>
    <row r="2118" ht="15">
      <c r="Q2118" s="497"/>
    </row>
    <row r="2119" ht="15">
      <c r="Q2119" s="497"/>
    </row>
    <row r="2120" ht="15">
      <c r="Q2120" s="497"/>
    </row>
    <row r="2121" ht="15">
      <c r="Q2121" s="497"/>
    </row>
    <row r="2122" ht="15">
      <c r="Q2122" s="497"/>
    </row>
    <row r="2123" ht="15">
      <c r="Q2123" s="497"/>
    </row>
    <row r="2124" ht="15">
      <c r="Q2124" s="497"/>
    </row>
    <row r="2125" ht="15">
      <c r="Q2125" s="497"/>
    </row>
    <row r="2126" ht="15">
      <c r="Q2126" s="497"/>
    </row>
    <row r="2127" ht="15">
      <c r="Q2127" s="497"/>
    </row>
    <row r="2128" ht="15">
      <c r="Q2128" s="497"/>
    </row>
    <row r="2129" ht="15">
      <c r="Q2129" s="497"/>
    </row>
    <row r="2130" ht="15">
      <c r="Q2130" s="497"/>
    </row>
    <row r="2131" ht="15">
      <c r="Q2131" s="497"/>
    </row>
    <row r="2132" ht="15">
      <c r="Q2132" s="497"/>
    </row>
    <row r="2133" ht="15">
      <c r="Q2133" s="497"/>
    </row>
    <row r="2134" ht="15">
      <c r="Q2134" s="497"/>
    </row>
    <row r="2135" ht="15">
      <c r="Q2135" s="497"/>
    </row>
    <row r="2136" ht="15">
      <c r="Q2136" s="497"/>
    </row>
    <row r="2137" ht="15">
      <c r="Q2137" s="497"/>
    </row>
    <row r="2138" ht="15">
      <c r="Q2138" s="497"/>
    </row>
    <row r="2139" ht="15">
      <c r="Q2139" s="497"/>
    </row>
    <row r="2140" ht="15">
      <c r="Q2140" s="497"/>
    </row>
    <row r="2141" ht="15">
      <c r="Q2141" s="497"/>
    </row>
    <row r="2142" ht="15">
      <c r="Q2142" s="497"/>
    </row>
    <row r="2143" ht="15">
      <c r="Q2143" s="497"/>
    </row>
    <row r="2144" ht="15">
      <c r="Q2144" s="497"/>
    </row>
    <row r="2145" ht="15">
      <c r="Q2145" s="497"/>
    </row>
    <row r="2146" ht="15">
      <c r="Q2146" s="497"/>
    </row>
    <row r="2147" ht="15">
      <c r="Q2147" s="497"/>
    </row>
    <row r="2148" ht="15">
      <c r="Q2148" s="497"/>
    </row>
    <row r="2149" ht="15">
      <c r="Q2149" s="497"/>
    </row>
    <row r="2150" ht="15">
      <c r="Q2150" s="497"/>
    </row>
    <row r="2151" ht="15">
      <c r="Q2151" s="497"/>
    </row>
    <row r="2152" ht="15">
      <c r="Q2152" s="497"/>
    </row>
    <row r="2153" ht="15">
      <c r="Q2153" s="497"/>
    </row>
    <row r="2154" ht="15">
      <c r="Q2154" s="497"/>
    </row>
    <row r="2155" ht="15">
      <c r="Q2155" s="497"/>
    </row>
    <row r="2156" ht="15">
      <c r="Q2156" s="497"/>
    </row>
    <row r="2157" ht="15">
      <c r="Q2157" s="497"/>
    </row>
    <row r="2158" ht="15">
      <c r="Q2158" s="497"/>
    </row>
    <row r="2159" ht="15">
      <c r="Q2159" s="497"/>
    </row>
    <row r="2160" ht="15">
      <c r="Q2160" s="497"/>
    </row>
    <row r="2161" ht="15">
      <c r="Q2161" s="497"/>
    </row>
    <row r="2162" ht="15">
      <c r="Q2162" s="497"/>
    </row>
    <row r="2163" ht="15">
      <c r="Q2163" s="497"/>
    </row>
    <row r="2164" ht="15">
      <c r="Q2164" s="497"/>
    </row>
    <row r="2165" ht="15">
      <c r="Q2165" s="497"/>
    </row>
    <row r="2166" ht="15">
      <c r="Q2166" s="497"/>
    </row>
    <row r="2167" ht="15">
      <c r="Q2167" s="497"/>
    </row>
    <row r="2168" ht="15">
      <c r="Q2168" s="497"/>
    </row>
    <row r="2169" ht="15">
      <c r="Q2169" s="497"/>
    </row>
    <row r="2170" ht="15">
      <c r="Q2170" s="497"/>
    </row>
    <row r="2171" ht="15">
      <c r="Q2171" s="497"/>
    </row>
    <row r="2172" ht="15">
      <c r="Q2172" s="497"/>
    </row>
    <row r="2173" ht="15">
      <c r="Q2173" s="497"/>
    </row>
    <row r="2174" ht="15">
      <c r="Q2174" s="497"/>
    </row>
    <row r="2175" ht="15">
      <c r="Q2175" s="497"/>
    </row>
    <row r="2176" ht="15">
      <c r="Q2176" s="497"/>
    </row>
    <row r="2177" ht="15">
      <c r="Q2177" s="497"/>
    </row>
    <row r="2178" ht="15">
      <c r="Q2178" s="497"/>
    </row>
    <row r="2179" ht="15">
      <c r="Q2179" s="497"/>
    </row>
    <row r="2180" ht="15">
      <c r="Q2180" s="497"/>
    </row>
    <row r="2181" ht="15">
      <c r="Q2181" s="497"/>
    </row>
    <row r="2182" ht="15">
      <c r="Q2182" s="497"/>
    </row>
    <row r="2183" ht="15">
      <c r="Q2183" s="497"/>
    </row>
    <row r="2184" ht="15">
      <c r="Q2184" s="497"/>
    </row>
    <row r="2185" ht="15">
      <c r="Q2185" s="497"/>
    </row>
    <row r="2186" ht="15">
      <c r="Q2186" s="497"/>
    </row>
    <row r="2187" ht="15">
      <c r="Q2187" s="497"/>
    </row>
    <row r="2188" ht="15">
      <c r="Q2188" s="497"/>
    </row>
    <row r="2189" ht="15">
      <c r="Q2189" s="497"/>
    </row>
    <row r="2190" ht="15">
      <c r="Q2190" s="497"/>
    </row>
    <row r="2191" ht="15">
      <c r="Q2191" s="497"/>
    </row>
    <row r="2192" ht="15">
      <c r="Q2192" s="497"/>
    </row>
    <row r="2193" ht="15">
      <c r="Q2193" s="497"/>
    </row>
    <row r="2194" ht="15">
      <c r="Q2194" s="497"/>
    </row>
    <row r="2195" ht="15">
      <c r="Q2195" s="497"/>
    </row>
    <row r="2196" ht="15">
      <c r="Q2196" s="497"/>
    </row>
    <row r="2197" ht="15">
      <c r="Q2197" s="497"/>
    </row>
    <row r="2198" ht="15">
      <c r="Q2198" s="497"/>
    </row>
    <row r="2199" ht="15">
      <c r="Q2199" s="497"/>
    </row>
    <row r="2200" ht="15">
      <c r="Q2200" s="497"/>
    </row>
    <row r="2201" ht="15">
      <c r="Q2201" s="497"/>
    </row>
    <row r="2202" ht="15">
      <c r="Q2202" s="497"/>
    </row>
    <row r="2203" ht="15">
      <c r="Q2203" s="497"/>
    </row>
    <row r="2204" ht="15">
      <c r="Q2204" s="497"/>
    </row>
    <row r="2205" ht="15">
      <c r="Q2205" s="497"/>
    </row>
    <row r="2206" ht="15">
      <c r="Q2206" s="497"/>
    </row>
    <row r="2207" ht="15">
      <c r="Q2207" s="497"/>
    </row>
    <row r="2208" ht="15">
      <c r="Q2208" s="497"/>
    </row>
    <row r="2209" ht="15">
      <c r="Q2209" s="497"/>
    </row>
    <row r="2210" ht="15">
      <c r="Q2210" s="497"/>
    </row>
    <row r="2211" ht="15">
      <c r="Q2211" s="497"/>
    </row>
    <row r="2212" ht="15">
      <c r="Q2212" s="497"/>
    </row>
    <row r="2213" ht="15">
      <c r="Q2213" s="497"/>
    </row>
    <row r="2214" ht="15">
      <c r="Q2214" s="497"/>
    </row>
    <row r="2215" ht="15">
      <c r="Q2215" s="497"/>
    </row>
    <row r="2216" ht="15">
      <c r="Q2216" s="497"/>
    </row>
    <row r="2217" ht="15">
      <c r="Q2217" s="497"/>
    </row>
    <row r="2218" ht="15">
      <c r="Q2218" s="497"/>
    </row>
    <row r="2219" ht="15">
      <c r="Q2219" s="497"/>
    </row>
    <row r="2220" ht="15">
      <c r="Q2220" s="497"/>
    </row>
    <row r="2221" ht="15">
      <c r="Q2221" s="497"/>
    </row>
    <row r="2222" ht="15">
      <c r="Q2222" s="497"/>
    </row>
    <row r="2223" ht="15">
      <c r="Q2223" s="497"/>
    </row>
    <row r="2224" ht="15">
      <c r="Q2224" s="497"/>
    </row>
    <row r="2225" ht="15">
      <c r="Q2225" s="497"/>
    </row>
    <row r="2226" ht="15">
      <c r="Q2226" s="497"/>
    </row>
    <row r="2227" ht="15">
      <c r="Q2227" s="497"/>
    </row>
    <row r="2228" ht="15">
      <c r="Q2228" s="497"/>
    </row>
    <row r="2229" ht="15">
      <c r="Q2229" s="497"/>
    </row>
    <row r="2230" ht="15">
      <c r="Q2230" s="497"/>
    </row>
    <row r="2231" ht="15">
      <c r="Q2231" s="497"/>
    </row>
    <row r="2232" ht="15">
      <c r="Q2232" s="497"/>
    </row>
    <row r="2233" ht="15">
      <c r="Q2233" s="497"/>
    </row>
    <row r="2234" ht="15">
      <c r="Q2234" s="497"/>
    </row>
    <row r="2235" ht="15">
      <c r="Q2235" s="497"/>
    </row>
    <row r="2236" ht="15">
      <c r="Q2236" s="497"/>
    </row>
    <row r="2237" ht="15">
      <c r="Q2237" s="497"/>
    </row>
    <row r="2238" ht="15">
      <c r="Q2238" s="497"/>
    </row>
    <row r="2239" ht="15">
      <c r="Q2239" s="497"/>
    </row>
    <row r="2240" ht="15">
      <c r="Q2240" s="497"/>
    </row>
    <row r="2241" ht="15">
      <c r="Q2241" s="497"/>
    </row>
    <row r="2242" ht="15">
      <c r="Q2242" s="497"/>
    </row>
    <row r="2243" ht="15">
      <c r="Q2243" s="497"/>
    </row>
    <row r="2244" ht="15">
      <c r="Q2244" s="497"/>
    </row>
    <row r="2245" ht="15">
      <c r="Q2245" s="497"/>
    </row>
    <row r="2246" ht="15">
      <c r="Q2246" s="497"/>
    </row>
    <row r="2247" ht="15">
      <c r="Q2247" s="497"/>
    </row>
    <row r="2248" ht="15">
      <c r="Q2248" s="497"/>
    </row>
    <row r="2249" ht="15">
      <c r="Q2249" s="497"/>
    </row>
    <row r="2250" ht="15">
      <c r="Q2250" s="497"/>
    </row>
    <row r="2251" ht="15">
      <c r="Q2251" s="497"/>
    </row>
    <row r="2252" ht="15">
      <c r="Q2252" s="497"/>
    </row>
    <row r="2253" ht="15">
      <c r="Q2253" s="497"/>
    </row>
    <row r="2254" ht="15">
      <c r="Q2254" s="497"/>
    </row>
    <row r="2255" ht="15">
      <c r="Q2255" s="497"/>
    </row>
    <row r="2256" ht="15">
      <c r="Q2256" s="497"/>
    </row>
    <row r="2257" ht="15">
      <c r="Q2257" s="497"/>
    </row>
    <row r="2258" ht="15">
      <c r="Q2258" s="497"/>
    </row>
    <row r="2259" ht="15">
      <c r="Q2259" s="497"/>
    </row>
    <row r="2260" ht="15">
      <c r="Q2260" s="497"/>
    </row>
    <row r="2261" ht="15">
      <c r="Q2261" s="497"/>
    </row>
    <row r="2262" ht="15">
      <c r="Q2262" s="497"/>
    </row>
    <row r="2263" ht="15">
      <c r="Q2263" s="497"/>
    </row>
    <row r="2264" ht="15">
      <c r="Q2264" s="497"/>
    </row>
    <row r="2265" ht="15">
      <c r="Q2265" s="497"/>
    </row>
    <row r="2266" ht="15">
      <c r="Q2266" s="497"/>
    </row>
    <row r="2267" ht="15">
      <c r="Q2267" s="497"/>
    </row>
    <row r="2268" ht="15">
      <c r="Q2268" s="497"/>
    </row>
    <row r="2269" ht="15">
      <c r="Q2269" s="497"/>
    </row>
    <row r="2270" ht="15">
      <c r="Q2270" s="497"/>
    </row>
    <row r="2271" ht="15">
      <c r="Q2271" s="497"/>
    </row>
    <row r="2272" ht="15">
      <c r="Q2272" s="497"/>
    </row>
    <row r="2273" ht="15">
      <c r="Q2273" s="497"/>
    </row>
    <row r="2274" ht="15">
      <c r="Q2274" s="497"/>
    </row>
    <row r="2275" ht="15">
      <c r="Q2275" s="497"/>
    </row>
    <row r="2276" ht="15">
      <c r="Q2276" s="497"/>
    </row>
    <row r="2277" ht="15">
      <c r="Q2277" s="497"/>
    </row>
    <row r="2278" ht="15">
      <c r="Q2278" s="497"/>
    </row>
    <row r="2279" ht="15">
      <c r="Q2279" s="497"/>
    </row>
    <row r="2280" ht="15">
      <c r="Q2280" s="497"/>
    </row>
    <row r="2281" ht="15">
      <c r="Q2281" s="497"/>
    </row>
    <row r="2282" ht="15">
      <c r="Q2282" s="497"/>
    </row>
    <row r="2283" ht="15">
      <c r="Q2283" s="497"/>
    </row>
    <row r="2284" ht="15">
      <c r="Q2284" s="497"/>
    </row>
    <row r="2285" ht="15">
      <c r="Q2285" s="497"/>
    </row>
    <row r="2286" ht="15">
      <c r="Q2286" s="497"/>
    </row>
    <row r="2287" ht="15">
      <c r="Q2287" s="497"/>
    </row>
    <row r="2288" ht="15">
      <c r="Q2288" s="497"/>
    </row>
    <row r="2289" ht="15">
      <c r="Q2289" s="497"/>
    </row>
    <row r="2290" ht="15">
      <c r="Q2290" s="497"/>
    </row>
    <row r="2291" ht="15">
      <c r="Q2291" s="497"/>
    </row>
    <row r="2292" ht="15">
      <c r="Q2292" s="497"/>
    </row>
    <row r="2293" ht="15">
      <c r="Q2293" s="497"/>
    </row>
    <row r="2294" ht="15">
      <c r="Q2294" s="497"/>
    </row>
    <row r="2295" ht="15">
      <c r="Q2295" s="497"/>
    </row>
    <row r="2296" ht="15">
      <c r="Q2296" s="497"/>
    </row>
    <row r="2297" ht="15">
      <c r="Q2297" s="497"/>
    </row>
    <row r="2298" ht="15">
      <c r="Q2298" s="497"/>
    </row>
    <row r="2299" ht="15">
      <c r="Q2299" s="497"/>
    </row>
    <row r="2300" ht="15">
      <c r="Q2300" s="497"/>
    </row>
    <row r="2301" ht="15">
      <c r="Q2301" s="497"/>
    </row>
    <row r="2302" ht="15">
      <c r="Q2302" s="497"/>
    </row>
    <row r="2303" ht="15">
      <c r="Q2303" s="497"/>
    </row>
    <row r="2304" ht="15">
      <c r="Q2304" s="497"/>
    </row>
    <row r="2305" ht="15">
      <c r="Q2305" s="497"/>
    </row>
    <row r="2306" ht="15">
      <c r="Q2306" s="497"/>
    </row>
    <row r="2307" ht="15">
      <c r="Q2307" s="497"/>
    </row>
    <row r="2308" ht="15">
      <c r="Q2308" s="497"/>
    </row>
    <row r="2309" ht="15">
      <c r="Q2309" s="497"/>
    </row>
    <row r="2310" ht="15">
      <c r="Q2310" s="497"/>
    </row>
    <row r="2311" ht="15">
      <c r="Q2311" s="497"/>
    </row>
    <row r="2312" ht="15">
      <c r="Q2312" s="497"/>
    </row>
    <row r="2313" ht="15">
      <c r="Q2313" s="497"/>
    </row>
    <row r="2314" ht="15">
      <c r="Q2314" s="497"/>
    </row>
    <row r="2315" ht="15">
      <c r="Q2315" s="497"/>
    </row>
    <row r="2316" ht="15">
      <c r="Q2316" s="497"/>
    </row>
    <row r="2317" ht="15">
      <c r="Q2317" s="497"/>
    </row>
    <row r="2318" ht="15">
      <c r="Q2318" s="497"/>
    </row>
    <row r="2319" ht="15">
      <c r="Q2319" s="497"/>
    </row>
    <row r="2320" ht="15">
      <c r="Q2320" s="497"/>
    </row>
    <row r="2321" ht="15">
      <c r="Q2321" s="497"/>
    </row>
    <row r="2322" ht="15">
      <c r="Q2322" s="497"/>
    </row>
    <row r="2323" ht="15">
      <c r="Q2323" s="497"/>
    </row>
    <row r="2324" ht="15">
      <c r="Q2324" s="497"/>
    </row>
    <row r="2325" ht="15">
      <c r="Q2325" s="497"/>
    </row>
    <row r="2326" ht="15">
      <c r="Q2326" s="497"/>
    </row>
    <row r="2327" ht="15">
      <c r="Q2327" s="497"/>
    </row>
    <row r="2328" ht="15">
      <c r="Q2328" s="497"/>
    </row>
    <row r="2329" ht="15">
      <c r="Q2329" s="497"/>
    </row>
    <row r="2330" ht="15">
      <c r="Q2330" s="497"/>
    </row>
    <row r="2331" ht="15">
      <c r="Q2331" s="497"/>
    </row>
    <row r="2332" ht="15">
      <c r="Q2332" s="497"/>
    </row>
    <row r="2333" ht="15">
      <c r="Q2333" s="497"/>
    </row>
    <row r="2334" ht="15">
      <c r="Q2334" s="497"/>
    </row>
    <row r="2335" ht="15">
      <c r="Q2335" s="497"/>
    </row>
    <row r="2336" ht="15">
      <c r="Q2336" s="497"/>
    </row>
    <row r="2337" ht="15">
      <c r="Q2337" s="497"/>
    </row>
    <row r="2338" ht="15">
      <c r="Q2338" s="497"/>
    </row>
    <row r="2339" ht="15">
      <c r="Q2339" s="497"/>
    </row>
    <row r="2340" ht="15">
      <c r="Q2340" s="497"/>
    </row>
    <row r="2341" ht="15">
      <c r="Q2341" s="497"/>
    </row>
    <row r="2342" ht="15">
      <c r="Q2342" s="497"/>
    </row>
    <row r="2343" ht="15">
      <c r="Q2343" s="497"/>
    </row>
    <row r="2344" ht="15">
      <c r="Q2344" s="497"/>
    </row>
    <row r="2345" ht="15">
      <c r="Q2345" s="497"/>
    </row>
    <row r="2346" ht="15">
      <c r="Q2346" s="497"/>
    </row>
    <row r="2347" ht="15">
      <c r="Q2347" s="497"/>
    </row>
    <row r="2348" ht="15">
      <c r="Q2348" s="497"/>
    </row>
    <row r="2349" ht="15">
      <c r="Q2349" s="497"/>
    </row>
    <row r="2350" ht="15">
      <c r="Q2350" s="497"/>
    </row>
    <row r="2351" ht="15">
      <c r="Q2351" s="497"/>
    </row>
    <row r="2352" ht="15">
      <c r="Q2352" s="497"/>
    </row>
    <row r="2353" ht="15">
      <c r="Q2353" s="497"/>
    </row>
    <row r="2354" ht="15">
      <c r="Q2354" s="497"/>
    </row>
    <row r="2355" ht="15">
      <c r="Q2355" s="497"/>
    </row>
    <row r="2356" ht="15">
      <c r="Q2356" s="497"/>
    </row>
    <row r="2357" ht="15">
      <c r="Q2357" s="497"/>
    </row>
    <row r="2358" ht="15">
      <c r="Q2358" s="497"/>
    </row>
    <row r="2359" ht="15">
      <c r="Q2359" s="497"/>
    </row>
    <row r="2360" ht="15">
      <c r="Q2360" s="497"/>
    </row>
    <row r="2361" ht="15">
      <c r="Q2361" s="497"/>
    </row>
    <row r="2362" ht="15">
      <c r="Q2362" s="497"/>
    </row>
    <row r="2363" ht="15">
      <c r="Q2363" s="497"/>
    </row>
    <row r="2364" ht="15">
      <c r="Q2364" s="497"/>
    </row>
    <row r="2365" ht="15">
      <c r="Q2365" s="497"/>
    </row>
    <row r="2366" ht="15">
      <c r="Q2366" s="497"/>
    </row>
    <row r="2367" ht="15">
      <c r="Q2367" s="497"/>
    </row>
    <row r="2368" ht="15">
      <c r="Q2368" s="497"/>
    </row>
    <row r="2369" ht="15">
      <c r="Q2369" s="497"/>
    </row>
    <row r="2370" ht="15">
      <c r="Q2370" s="497"/>
    </row>
    <row r="2371" ht="15">
      <c r="Q2371" s="497"/>
    </row>
    <row r="2372" ht="15">
      <c r="Q2372" s="497"/>
    </row>
    <row r="2373" ht="15">
      <c r="Q2373" s="497"/>
    </row>
    <row r="2374" ht="15">
      <c r="Q2374" s="497"/>
    </row>
    <row r="2375" ht="15">
      <c r="Q2375" s="497"/>
    </row>
    <row r="2376" ht="15">
      <c r="Q2376" s="497"/>
    </row>
    <row r="2377" ht="15">
      <c r="Q2377" s="497"/>
    </row>
    <row r="2378" ht="15">
      <c r="Q2378" s="497"/>
    </row>
    <row r="2379" ht="15">
      <c r="Q2379" s="497"/>
    </row>
    <row r="2380" ht="15">
      <c r="Q2380" s="497"/>
    </row>
    <row r="2381" ht="15">
      <c r="Q2381" s="497"/>
    </row>
    <row r="2382" ht="15">
      <c r="Q2382" s="497"/>
    </row>
    <row r="2383" ht="15">
      <c r="Q2383" s="497"/>
    </row>
    <row r="2384" ht="15">
      <c r="Q2384" s="497"/>
    </row>
    <row r="2385" ht="15">
      <c r="Q2385" s="497"/>
    </row>
    <row r="2386" ht="15">
      <c r="Q2386" s="497"/>
    </row>
    <row r="2387" ht="15">
      <c r="Q2387" s="497"/>
    </row>
    <row r="2388" ht="15">
      <c r="Q2388" s="497"/>
    </row>
    <row r="2389" ht="15">
      <c r="Q2389" s="497"/>
    </row>
    <row r="2390" ht="15">
      <c r="Q2390" s="497"/>
    </row>
    <row r="2391" ht="15">
      <c r="Q2391" s="497"/>
    </row>
    <row r="2392" ht="15">
      <c r="Q2392" s="497"/>
    </row>
    <row r="2393" ht="15">
      <c r="Q2393" s="497"/>
    </row>
    <row r="2394" ht="15">
      <c r="Q2394" s="497"/>
    </row>
    <row r="2395" ht="15">
      <c r="Q2395" s="497"/>
    </row>
    <row r="2396" ht="15">
      <c r="Q2396" s="497"/>
    </row>
    <row r="2397" ht="15">
      <c r="Q2397" s="497"/>
    </row>
    <row r="2398" ht="15">
      <c r="Q2398" s="497"/>
    </row>
    <row r="2399" ht="15">
      <c r="Q2399" s="497"/>
    </row>
    <row r="2400" ht="15">
      <c r="Q2400" s="497"/>
    </row>
    <row r="2401" ht="15">
      <c r="Q2401" s="497"/>
    </row>
    <row r="2402" ht="15">
      <c r="Q2402" s="497"/>
    </row>
    <row r="2403" ht="15">
      <c r="Q2403" s="497"/>
    </row>
    <row r="2404" ht="15">
      <c r="Q2404" s="497"/>
    </row>
    <row r="2405" ht="15">
      <c r="Q2405" s="497"/>
    </row>
    <row r="2406" ht="15">
      <c r="Q2406" s="497"/>
    </row>
    <row r="2407" ht="15">
      <c r="Q2407" s="497"/>
    </row>
    <row r="2408" ht="15">
      <c r="Q2408" s="497"/>
    </row>
    <row r="2409" ht="15">
      <c r="Q2409" s="497"/>
    </row>
    <row r="2410" ht="15">
      <c r="Q2410" s="497"/>
    </row>
    <row r="2411" ht="15">
      <c r="Q2411" s="497"/>
    </row>
    <row r="2412" ht="15">
      <c r="Q2412" s="497"/>
    </row>
    <row r="2413" ht="15">
      <c r="Q2413" s="497"/>
    </row>
    <row r="2414" ht="15">
      <c r="Q2414" s="497"/>
    </row>
    <row r="2415" ht="15">
      <c r="Q2415" s="497"/>
    </row>
    <row r="2416" ht="15">
      <c r="Q2416" s="497"/>
    </row>
    <row r="2417" ht="15">
      <c r="Q2417" s="497"/>
    </row>
    <row r="2418" ht="15">
      <c r="Q2418" s="497"/>
    </row>
    <row r="2419" ht="15">
      <c r="Q2419" s="497"/>
    </row>
    <row r="2420" ht="15">
      <c r="Q2420" s="497"/>
    </row>
    <row r="2421" ht="15">
      <c r="Q2421" s="497"/>
    </row>
    <row r="2422" ht="15">
      <c r="Q2422" s="497"/>
    </row>
    <row r="2423" ht="15">
      <c r="Q2423" s="497"/>
    </row>
    <row r="2424" ht="15">
      <c r="Q2424" s="497"/>
    </row>
    <row r="2425" ht="15">
      <c r="Q2425" s="497"/>
    </row>
    <row r="2426" ht="15">
      <c r="Q2426" s="497"/>
    </row>
    <row r="2427" ht="15">
      <c r="Q2427" s="497"/>
    </row>
    <row r="2428" ht="15">
      <c r="Q2428" s="497"/>
    </row>
    <row r="2429" ht="15">
      <c r="Q2429" s="497"/>
    </row>
    <row r="2430" ht="15">
      <c r="Q2430" s="497"/>
    </row>
    <row r="2431" ht="15">
      <c r="Q2431" s="497"/>
    </row>
    <row r="2432" ht="15">
      <c r="Q2432" s="497"/>
    </row>
    <row r="2433" ht="15">
      <c r="Q2433" s="497"/>
    </row>
    <row r="2434" ht="15">
      <c r="Q2434" s="497"/>
    </row>
    <row r="2435" ht="15">
      <c r="Q2435" s="497"/>
    </row>
    <row r="2436" ht="15">
      <c r="Q2436" s="497"/>
    </row>
    <row r="2437" ht="15">
      <c r="Q2437" s="497"/>
    </row>
    <row r="2438" ht="15">
      <c r="Q2438" s="497"/>
    </row>
    <row r="2439" ht="15">
      <c r="Q2439" s="497"/>
    </row>
    <row r="2440" ht="15">
      <c r="Q2440" s="497"/>
    </row>
    <row r="2441" ht="15">
      <c r="Q2441" s="497"/>
    </row>
    <row r="2442" ht="15">
      <c r="Q2442" s="497"/>
    </row>
    <row r="2443" ht="15">
      <c r="Q2443" s="497"/>
    </row>
    <row r="2444" ht="15">
      <c r="Q2444" s="497"/>
    </row>
    <row r="2445" ht="15">
      <c r="Q2445" s="497"/>
    </row>
    <row r="2446" ht="15">
      <c r="Q2446" s="497"/>
    </row>
    <row r="2447" ht="15">
      <c r="Q2447" s="497"/>
    </row>
    <row r="2448" ht="15">
      <c r="Q2448" s="497"/>
    </row>
    <row r="2449" ht="15">
      <c r="Q2449" s="497"/>
    </row>
    <row r="2450" ht="15">
      <c r="Q2450" s="497"/>
    </row>
    <row r="2451" ht="15">
      <c r="Q2451" s="497"/>
    </row>
    <row r="2452" ht="15">
      <c r="Q2452" s="497"/>
    </row>
    <row r="2453" ht="15">
      <c r="Q2453" s="497"/>
    </row>
    <row r="2454" ht="15">
      <c r="Q2454" s="497"/>
    </row>
    <row r="2455" ht="15">
      <c r="Q2455" s="497"/>
    </row>
    <row r="2456" ht="15">
      <c r="Q2456" s="497"/>
    </row>
    <row r="2457" ht="15">
      <c r="Q2457" s="497"/>
    </row>
    <row r="2458" ht="15">
      <c r="Q2458" s="497"/>
    </row>
    <row r="2459" ht="15">
      <c r="Q2459" s="497"/>
    </row>
    <row r="2460" ht="15">
      <c r="Q2460" s="497"/>
    </row>
    <row r="2461" ht="15">
      <c r="Q2461" s="497"/>
    </row>
    <row r="2462" ht="15">
      <c r="Q2462" s="497"/>
    </row>
    <row r="2463" ht="15">
      <c r="Q2463" s="497"/>
    </row>
    <row r="2464" ht="15">
      <c r="Q2464" s="497"/>
    </row>
    <row r="2465" ht="15">
      <c r="Q2465" s="497"/>
    </row>
    <row r="2466" ht="15">
      <c r="Q2466" s="497"/>
    </row>
    <row r="2467" ht="15">
      <c r="Q2467" s="497"/>
    </row>
    <row r="2468" ht="15">
      <c r="Q2468" s="497"/>
    </row>
    <row r="2469" ht="15">
      <c r="Q2469" s="497"/>
    </row>
    <row r="2470" ht="15">
      <c r="Q2470" s="497"/>
    </row>
    <row r="2471" ht="15">
      <c r="Q2471" s="497"/>
    </row>
    <row r="2472" ht="15">
      <c r="Q2472" s="497"/>
    </row>
    <row r="2473" ht="15">
      <c r="Q2473" s="497"/>
    </row>
    <row r="2474" ht="15">
      <c r="Q2474" s="497"/>
    </row>
    <row r="2475" ht="15">
      <c r="Q2475" s="497"/>
    </row>
    <row r="2476" ht="15">
      <c r="Q2476" s="497"/>
    </row>
    <row r="2477" ht="15">
      <c r="Q2477" s="497"/>
    </row>
    <row r="2478" ht="15">
      <c r="Q2478" s="497"/>
    </row>
    <row r="2479" ht="15">
      <c r="Q2479" s="497"/>
    </row>
    <row r="2480" ht="15">
      <c r="Q2480" s="497"/>
    </row>
    <row r="2481" ht="15">
      <c r="Q2481" s="497"/>
    </row>
    <row r="2482" ht="15">
      <c r="Q2482" s="497"/>
    </row>
    <row r="2483" ht="15">
      <c r="Q2483" s="497"/>
    </row>
    <row r="2484" ht="15">
      <c r="Q2484" s="497"/>
    </row>
    <row r="2485" ht="15">
      <c r="Q2485" s="497"/>
    </row>
    <row r="2486" ht="15">
      <c r="Q2486" s="497"/>
    </row>
    <row r="2487" ht="15">
      <c r="Q2487" s="497"/>
    </row>
    <row r="2488" ht="15">
      <c r="Q2488" s="497"/>
    </row>
    <row r="2489" ht="15">
      <c r="Q2489" s="497"/>
    </row>
    <row r="2490" ht="15">
      <c r="Q2490" s="497"/>
    </row>
    <row r="2491" ht="15">
      <c r="Q2491" s="497"/>
    </row>
    <row r="2492" ht="15">
      <c r="Q2492" s="497"/>
    </row>
    <row r="2493" ht="15">
      <c r="Q2493" s="497"/>
    </row>
    <row r="2494" ht="15">
      <c r="Q2494" s="497"/>
    </row>
    <row r="2495" ht="15">
      <c r="Q2495" s="497"/>
    </row>
    <row r="2496" ht="15">
      <c r="Q2496" s="497"/>
    </row>
    <row r="2497" ht="15">
      <c r="Q2497" s="497"/>
    </row>
    <row r="2498" ht="15">
      <c r="Q2498" s="497"/>
    </row>
    <row r="2499" ht="15">
      <c r="Q2499" s="497"/>
    </row>
    <row r="2500" ht="15">
      <c r="Q2500" s="497"/>
    </row>
    <row r="2501" ht="15">
      <c r="Q2501" s="497"/>
    </row>
    <row r="2502" ht="15">
      <c r="Q2502" s="497"/>
    </row>
    <row r="2503" ht="15">
      <c r="Q2503" s="497"/>
    </row>
  </sheetData>
  <sheetProtection password="C25B" sheet="1"/>
  <mergeCells count="103">
    <mergeCell ref="A4:O4"/>
    <mergeCell ref="A5:P5"/>
    <mergeCell ref="Q5:AF5"/>
    <mergeCell ref="AG5:AV5"/>
    <mergeCell ref="AW5:BL5"/>
    <mergeCell ref="BM5:CB5"/>
    <mergeCell ref="CC5:CR5"/>
    <mergeCell ref="CS5:DH5"/>
    <mergeCell ref="DI5:DX5"/>
    <mergeCell ref="DY5:EN5"/>
    <mergeCell ref="EO5:FD5"/>
    <mergeCell ref="FE5:FT5"/>
    <mergeCell ref="FU5:GJ5"/>
    <mergeCell ref="GK5:GZ5"/>
    <mergeCell ref="HA5:HP5"/>
    <mergeCell ref="HQ5:IF5"/>
    <mergeCell ref="IG5:IV5"/>
    <mergeCell ref="A7:A10"/>
    <mergeCell ref="B7:B10"/>
    <mergeCell ref="D7:D10"/>
    <mergeCell ref="E7:E10"/>
    <mergeCell ref="F7:F10"/>
    <mergeCell ref="G7:O7"/>
    <mergeCell ref="G8:L8"/>
    <mergeCell ref="M8:O8"/>
    <mergeCell ref="G9:G10"/>
    <mergeCell ref="H9:I9"/>
    <mergeCell ref="J9:J10"/>
    <mergeCell ref="K9:K10"/>
    <mergeCell ref="L9:L10"/>
    <mergeCell ref="M9:M10"/>
    <mergeCell ref="N9:N10"/>
    <mergeCell ref="O9:O10"/>
    <mergeCell ref="A13:A15"/>
    <mergeCell ref="B13:B15"/>
    <mergeCell ref="A17:A19"/>
    <mergeCell ref="B17:B19"/>
    <mergeCell ref="A21:A23"/>
    <mergeCell ref="B21:B23"/>
    <mergeCell ref="A25:A27"/>
    <mergeCell ref="B25:B27"/>
    <mergeCell ref="A29:A31"/>
    <mergeCell ref="B29:B31"/>
    <mergeCell ref="A33:A35"/>
    <mergeCell ref="B33:B35"/>
    <mergeCell ref="A36:O36"/>
    <mergeCell ref="A37:A39"/>
    <mergeCell ref="B37:B39"/>
    <mergeCell ref="A40:O40"/>
    <mergeCell ref="A41:A43"/>
    <mergeCell ref="B41:B43"/>
    <mergeCell ref="A44:O44"/>
    <mergeCell ref="A45:A47"/>
    <mergeCell ref="B45:B47"/>
    <mergeCell ref="A49:A51"/>
    <mergeCell ref="B49:B51"/>
    <mergeCell ref="A53:A55"/>
    <mergeCell ref="B53:B55"/>
    <mergeCell ref="A57:A59"/>
    <mergeCell ref="B57:B59"/>
    <mergeCell ref="A61:A63"/>
    <mergeCell ref="B61:B63"/>
    <mergeCell ref="A65:A67"/>
    <mergeCell ref="B65:B67"/>
    <mergeCell ref="A69:A71"/>
    <mergeCell ref="B69:B71"/>
    <mergeCell ref="A73:A75"/>
    <mergeCell ref="B73:B75"/>
    <mergeCell ref="A77:A79"/>
    <mergeCell ref="B77:B79"/>
    <mergeCell ref="A81:A83"/>
    <mergeCell ref="B81:B83"/>
    <mergeCell ref="A85:A87"/>
    <mergeCell ref="B85:B87"/>
    <mergeCell ref="A89:A91"/>
    <mergeCell ref="B89:B91"/>
    <mergeCell ref="A93:A95"/>
    <mergeCell ref="B93:B95"/>
    <mergeCell ref="A97:A99"/>
    <mergeCell ref="B97:B99"/>
    <mergeCell ref="A101:A103"/>
    <mergeCell ref="B101:B103"/>
    <mergeCell ref="A105:A107"/>
    <mergeCell ref="B105:B107"/>
    <mergeCell ref="A109:A111"/>
    <mergeCell ref="B109:B111"/>
    <mergeCell ref="A113:A115"/>
    <mergeCell ref="B113:B115"/>
    <mergeCell ref="A117:A119"/>
    <mergeCell ref="B117:B119"/>
    <mergeCell ref="A121:A123"/>
    <mergeCell ref="B121:B123"/>
    <mergeCell ref="A125:A127"/>
    <mergeCell ref="B125:B127"/>
    <mergeCell ref="A141:A143"/>
    <mergeCell ref="B141:B143"/>
    <mergeCell ref="A145:B147"/>
    <mergeCell ref="A129:A131"/>
    <mergeCell ref="B129:B131"/>
    <mergeCell ref="A133:A135"/>
    <mergeCell ref="B133:B135"/>
    <mergeCell ref="A137:A139"/>
    <mergeCell ref="B137:B139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zoomScalePageLayoutView="0" workbookViewId="0" topLeftCell="A1">
      <selection activeCell="K10" sqref="K10"/>
    </sheetView>
  </sheetViews>
  <sheetFormatPr defaultColWidth="8" defaultRowHeight="14.25"/>
  <cols>
    <col min="1" max="1" width="4.59765625" style="756" customWidth="1"/>
    <col min="2" max="2" width="7" style="756" customWidth="1"/>
    <col min="3" max="3" width="15.8984375" style="749" customWidth="1"/>
    <col min="4" max="4" width="43" style="749" customWidth="1"/>
    <col min="5" max="5" width="2.19921875" style="760" customWidth="1"/>
    <col min="6" max="6" width="12.59765625" style="752" customWidth="1"/>
    <col min="7" max="7" width="12.5" style="749" customWidth="1"/>
    <col min="8" max="8" width="2.8984375" style="749" customWidth="1"/>
    <col min="9" max="16384" width="8" style="758" customWidth="1"/>
  </cols>
  <sheetData>
    <row r="1" spans="3:7" ht="15" customHeight="1">
      <c r="C1" s="759"/>
      <c r="D1" s="1456" t="s">
        <v>849</v>
      </c>
      <c r="E1" s="1456"/>
      <c r="F1" s="1456"/>
      <c r="G1" s="1456"/>
    </row>
    <row r="2" spans="3:7" ht="15" customHeight="1">
      <c r="C2" s="759"/>
      <c r="D2" s="1457" t="s">
        <v>850</v>
      </c>
      <c r="E2" s="1457"/>
      <c r="F2" s="1457"/>
      <c r="G2" s="1457"/>
    </row>
    <row r="3" spans="4:7" ht="17.25" customHeight="1">
      <c r="D3" s="1457" t="s">
        <v>851</v>
      </c>
      <c r="E3" s="1457"/>
      <c r="F3" s="1457"/>
      <c r="G3" s="1457"/>
    </row>
    <row r="4" spans="5:7" ht="16.5" customHeight="1">
      <c r="E4" s="750"/>
      <c r="F4" s="759"/>
      <c r="G4" s="759"/>
    </row>
    <row r="5" spans="1:7" ht="40.5" customHeight="1">
      <c r="A5" s="1458" t="s">
        <v>852</v>
      </c>
      <c r="B5" s="1458"/>
      <c r="C5" s="1458"/>
      <c r="D5" s="1458"/>
      <c r="E5" s="1458"/>
      <c r="F5" s="1458"/>
      <c r="G5" s="1458"/>
    </row>
    <row r="6" spans="6:7" ht="11.25" customHeight="1">
      <c r="F6" s="759"/>
      <c r="G6" s="761" t="s">
        <v>0</v>
      </c>
    </row>
    <row r="7" spans="1:8" s="636" customFormat="1" ht="15.75" customHeight="1">
      <c r="A7" s="1459" t="s">
        <v>1</v>
      </c>
      <c r="B7" s="1459" t="s">
        <v>8</v>
      </c>
      <c r="C7" s="1461" t="s">
        <v>183</v>
      </c>
      <c r="D7" s="1462"/>
      <c r="E7" s="1463" t="s">
        <v>18</v>
      </c>
      <c r="F7" s="1465" t="s">
        <v>853</v>
      </c>
      <c r="G7" s="1467" t="s">
        <v>854</v>
      </c>
      <c r="H7" s="763"/>
    </row>
    <row r="8" spans="1:8" s="636" customFormat="1" ht="38.25" customHeight="1">
      <c r="A8" s="1460"/>
      <c r="B8" s="1460"/>
      <c r="C8" s="762" t="s">
        <v>855</v>
      </c>
      <c r="D8" s="762" t="s">
        <v>856</v>
      </c>
      <c r="E8" s="1464"/>
      <c r="F8" s="1466"/>
      <c r="G8" s="1468"/>
      <c r="H8" s="763"/>
    </row>
    <row r="9" spans="1:8" s="661" customFormat="1" ht="11.25">
      <c r="A9" s="764">
        <v>1</v>
      </c>
      <c r="B9" s="764">
        <v>2</v>
      </c>
      <c r="C9" s="765">
        <v>3</v>
      </c>
      <c r="D9" s="765">
        <v>4</v>
      </c>
      <c r="E9" s="766"/>
      <c r="F9" s="767">
        <v>5</v>
      </c>
      <c r="G9" s="765">
        <v>6</v>
      </c>
      <c r="H9" s="768"/>
    </row>
    <row r="10" spans="1:7" s="771" customFormat="1" ht="16.5" customHeight="1">
      <c r="A10" s="1447" t="s">
        <v>19</v>
      </c>
      <c r="B10" s="1448"/>
      <c r="C10" s="1448"/>
      <c r="D10" s="1449"/>
      <c r="E10" s="769" t="s">
        <v>20</v>
      </c>
      <c r="F10" s="770">
        <f aca="true" t="shared" si="0" ref="F10:G12">F14+F17+F20+F23+F26+F29+F32+F35+F38+F41+F44+F47+F50+F53</f>
        <v>9860244</v>
      </c>
      <c r="G10" s="770">
        <f t="shared" si="0"/>
        <v>35664804</v>
      </c>
    </row>
    <row r="11" spans="1:7" s="771" customFormat="1" ht="16.5" customHeight="1">
      <c r="A11" s="1236"/>
      <c r="B11" s="1237"/>
      <c r="C11" s="1237"/>
      <c r="D11" s="1238"/>
      <c r="E11" s="772" t="s">
        <v>21</v>
      </c>
      <c r="F11" s="770">
        <f t="shared" si="0"/>
        <v>355853</v>
      </c>
      <c r="G11" s="770">
        <f t="shared" si="0"/>
        <v>795951</v>
      </c>
    </row>
    <row r="12" spans="1:7" s="771" customFormat="1" ht="16.5" customHeight="1">
      <c r="A12" s="1450"/>
      <c r="B12" s="1451"/>
      <c r="C12" s="1451"/>
      <c r="D12" s="1452"/>
      <c r="E12" s="773" t="s">
        <v>22</v>
      </c>
      <c r="F12" s="770">
        <f t="shared" si="0"/>
        <v>10216097</v>
      </c>
      <c r="G12" s="770">
        <f t="shared" si="0"/>
        <v>36460755</v>
      </c>
    </row>
    <row r="13" spans="1:7" s="771" customFormat="1" ht="9" customHeight="1">
      <c r="A13" s="1453"/>
      <c r="B13" s="1454"/>
      <c r="C13" s="1454"/>
      <c r="D13" s="1454"/>
      <c r="E13" s="1454"/>
      <c r="F13" s="1454"/>
      <c r="G13" s="1455"/>
    </row>
    <row r="14" spans="1:8" s="727" customFormat="1" ht="14.25" customHeight="1" hidden="1">
      <c r="A14" s="1443" t="s">
        <v>27</v>
      </c>
      <c r="B14" s="1443" t="s">
        <v>29</v>
      </c>
      <c r="C14" s="1439" t="s">
        <v>857</v>
      </c>
      <c r="D14" s="1440" t="s">
        <v>789</v>
      </c>
      <c r="E14" s="774" t="s">
        <v>20</v>
      </c>
      <c r="F14" s="775">
        <v>203586</v>
      </c>
      <c r="G14" s="776">
        <v>203586</v>
      </c>
      <c r="H14" s="777"/>
    </row>
    <row r="15" spans="1:8" s="727" customFormat="1" ht="14.25" customHeight="1" hidden="1">
      <c r="A15" s="1437"/>
      <c r="B15" s="1437"/>
      <c r="C15" s="1287"/>
      <c r="D15" s="1441"/>
      <c r="E15" s="778" t="s">
        <v>21</v>
      </c>
      <c r="F15" s="775"/>
      <c r="G15" s="776"/>
      <c r="H15" s="777"/>
    </row>
    <row r="16" spans="1:8" s="727" customFormat="1" ht="14.25" customHeight="1" hidden="1">
      <c r="A16" s="1437"/>
      <c r="B16" s="1437"/>
      <c r="C16" s="1288"/>
      <c r="D16" s="1442"/>
      <c r="E16" s="779" t="s">
        <v>22</v>
      </c>
      <c r="F16" s="775">
        <f>F14+F15</f>
        <v>203586</v>
      </c>
      <c r="G16" s="775">
        <f>G14+G15</f>
        <v>203586</v>
      </c>
      <c r="H16" s="777"/>
    </row>
    <row r="17" spans="1:8" s="727" customFormat="1" ht="14.25" customHeight="1" hidden="1">
      <c r="A17" s="1436"/>
      <c r="B17" s="1436"/>
      <c r="C17" s="1439" t="s">
        <v>858</v>
      </c>
      <c r="D17" s="1440" t="s">
        <v>789</v>
      </c>
      <c r="E17" s="780" t="s">
        <v>20</v>
      </c>
      <c r="F17" s="775">
        <v>2450000</v>
      </c>
      <c r="G17" s="776">
        <v>2450000</v>
      </c>
      <c r="H17" s="777"/>
    </row>
    <row r="18" spans="1:8" s="727" customFormat="1" ht="14.25" customHeight="1" hidden="1">
      <c r="A18" s="1437"/>
      <c r="B18" s="1437"/>
      <c r="C18" s="1287"/>
      <c r="D18" s="1441"/>
      <c r="E18" s="780" t="s">
        <v>21</v>
      </c>
      <c r="F18" s="775"/>
      <c r="G18" s="776"/>
      <c r="H18" s="777"/>
    </row>
    <row r="19" spans="1:8" s="727" customFormat="1" ht="14.25" customHeight="1" hidden="1">
      <c r="A19" s="1437"/>
      <c r="B19" s="1438"/>
      <c r="C19" s="1288"/>
      <c r="D19" s="1442"/>
      <c r="E19" s="780" t="s">
        <v>22</v>
      </c>
      <c r="F19" s="775">
        <f>F17+F18</f>
        <v>2450000</v>
      </c>
      <c r="G19" s="775">
        <f>G17+G18</f>
        <v>2450000</v>
      </c>
      <c r="H19" s="777"/>
    </row>
    <row r="20" spans="1:8" s="727" customFormat="1" ht="14.25" customHeight="1" hidden="1">
      <c r="A20" s="1436"/>
      <c r="B20" s="1443" t="s">
        <v>31</v>
      </c>
      <c r="C20" s="1439" t="s">
        <v>859</v>
      </c>
      <c r="D20" s="1440" t="s">
        <v>860</v>
      </c>
      <c r="E20" s="780" t="s">
        <v>20</v>
      </c>
      <c r="F20" s="775">
        <v>300000</v>
      </c>
      <c r="G20" s="776">
        <v>300000</v>
      </c>
      <c r="H20" s="777"/>
    </row>
    <row r="21" spans="1:8" s="727" customFormat="1" ht="14.25" customHeight="1" hidden="1">
      <c r="A21" s="1437"/>
      <c r="B21" s="1437"/>
      <c r="C21" s="1287"/>
      <c r="D21" s="1441"/>
      <c r="E21" s="780" t="s">
        <v>21</v>
      </c>
      <c r="F21" s="775"/>
      <c r="G21" s="776"/>
      <c r="H21" s="777"/>
    </row>
    <row r="22" spans="1:8" s="727" customFormat="1" ht="14.25" customHeight="1" hidden="1">
      <c r="A22" s="1437"/>
      <c r="B22" s="1437"/>
      <c r="C22" s="1288"/>
      <c r="D22" s="1442"/>
      <c r="E22" s="780" t="s">
        <v>22</v>
      </c>
      <c r="F22" s="775">
        <f>F20+F21</f>
        <v>300000</v>
      </c>
      <c r="G22" s="775">
        <f>G20+G21</f>
        <v>300000</v>
      </c>
      <c r="H22" s="777"/>
    </row>
    <row r="23" spans="1:8" s="624" customFormat="1" ht="14.25" customHeight="1" hidden="1">
      <c r="A23" s="1444"/>
      <c r="B23" s="1444"/>
      <c r="C23" s="1439" t="s">
        <v>861</v>
      </c>
      <c r="D23" s="1440" t="s">
        <v>862</v>
      </c>
      <c r="E23" s="780" t="s">
        <v>20</v>
      </c>
      <c r="F23" s="775">
        <v>1277808</v>
      </c>
      <c r="G23" s="776">
        <v>2129680</v>
      </c>
      <c r="H23" s="630"/>
    </row>
    <row r="24" spans="1:8" s="624" customFormat="1" ht="14.25" customHeight="1" hidden="1">
      <c r="A24" s="1445"/>
      <c r="B24" s="1445"/>
      <c r="C24" s="1287"/>
      <c r="D24" s="1441"/>
      <c r="E24" s="780" t="s">
        <v>21</v>
      </c>
      <c r="F24" s="775"/>
      <c r="G24" s="776"/>
      <c r="H24" s="630"/>
    </row>
    <row r="25" spans="1:8" s="624" customFormat="1" ht="14.25" customHeight="1" hidden="1">
      <c r="A25" s="1446"/>
      <c r="B25" s="1446"/>
      <c r="C25" s="1288"/>
      <c r="D25" s="1442"/>
      <c r="E25" s="780" t="s">
        <v>22</v>
      </c>
      <c r="F25" s="775">
        <f>F23+F24</f>
        <v>1277808</v>
      </c>
      <c r="G25" s="775">
        <f>G23+G24</f>
        <v>2129680</v>
      </c>
      <c r="H25" s="630"/>
    </row>
    <row r="26" spans="1:8" s="727" customFormat="1" ht="18" customHeight="1">
      <c r="A26" s="1443" t="s">
        <v>27</v>
      </c>
      <c r="B26" s="1443" t="s">
        <v>31</v>
      </c>
      <c r="C26" s="1439" t="s">
        <v>863</v>
      </c>
      <c r="D26" s="1440" t="s">
        <v>864</v>
      </c>
      <c r="E26" s="780" t="s">
        <v>20</v>
      </c>
      <c r="F26" s="775">
        <v>0</v>
      </c>
      <c r="G26" s="776">
        <v>0</v>
      </c>
      <c r="H26" s="777"/>
    </row>
    <row r="27" spans="1:8" s="727" customFormat="1" ht="18" customHeight="1">
      <c r="A27" s="1437"/>
      <c r="B27" s="1437"/>
      <c r="C27" s="1287"/>
      <c r="D27" s="1441"/>
      <c r="E27" s="780" t="s">
        <v>21</v>
      </c>
      <c r="F27" s="775">
        <v>123132</v>
      </c>
      <c r="G27" s="776">
        <v>513052</v>
      </c>
      <c r="H27" s="777"/>
    </row>
    <row r="28" spans="1:8" s="727" customFormat="1" ht="18" customHeight="1">
      <c r="A28" s="1437"/>
      <c r="B28" s="1437"/>
      <c r="C28" s="1288"/>
      <c r="D28" s="1442"/>
      <c r="E28" s="780" t="s">
        <v>22</v>
      </c>
      <c r="F28" s="775">
        <f>F26+F27</f>
        <v>123132</v>
      </c>
      <c r="G28" s="775">
        <f>G26+G27</f>
        <v>513052</v>
      </c>
      <c r="H28" s="777"/>
    </row>
    <row r="29" spans="1:8" s="727" customFormat="1" ht="14.25" customHeight="1">
      <c r="A29" s="1443" t="s">
        <v>317</v>
      </c>
      <c r="B29" s="1443" t="s">
        <v>319</v>
      </c>
      <c r="C29" s="1439" t="s">
        <v>861</v>
      </c>
      <c r="D29" s="1440" t="s">
        <v>865</v>
      </c>
      <c r="E29" s="780" t="s">
        <v>20</v>
      </c>
      <c r="F29" s="775">
        <v>660740</v>
      </c>
      <c r="G29" s="776">
        <v>2322415</v>
      </c>
      <c r="H29" s="777"/>
    </row>
    <row r="30" spans="1:8" s="727" customFormat="1" ht="14.25" customHeight="1">
      <c r="A30" s="1437"/>
      <c r="B30" s="1437"/>
      <c r="C30" s="1287"/>
      <c r="D30" s="1441"/>
      <c r="E30" s="780" t="s">
        <v>21</v>
      </c>
      <c r="F30" s="775">
        <v>94789</v>
      </c>
      <c r="G30" s="776">
        <v>118289</v>
      </c>
      <c r="H30" s="777"/>
    </row>
    <row r="31" spans="1:8" s="727" customFormat="1" ht="14.25" customHeight="1">
      <c r="A31" s="1438"/>
      <c r="B31" s="1438"/>
      <c r="C31" s="1288"/>
      <c r="D31" s="1442"/>
      <c r="E31" s="780" t="s">
        <v>22</v>
      </c>
      <c r="F31" s="775">
        <f>F29+F30</f>
        <v>755529</v>
      </c>
      <c r="G31" s="775">
        <f>G29+G30</f>
        <v>2440704</v>
      </c>
      <c r="H31" s="777"/>
    </row>
    <row r="32" spans="1:8" s="727" customFormat="1" ht="14.25" customHeight="1" hidden="1">
      <c r="A32" s="1443" t="s">
        <v>38</v>
      </c>
      <c r="B32" s="1443" t="s">
        <v>325</v>
      </c>
      <c r="C32" s="1439" t="s">
        <v>861</v>
      </c>
      <c r="D32" s="1440" t="s">
        <v>866</v>
      </c>
      <c r="E32" s="780" t="s">
        <v>20</v>
      </c>
      <c r="F32" s="775">
        <v>565326</v>
      </c>
      <c r="G32" s="776">
        <v>5084274</v>
      </c>
      <c r="H32" s="777"/>
    </row>
    <row r="33" spans="1:8" s="727" customFormat="1" ht="14.25" customHeight="1" hidden="1">
      <c r="A33" s="1437"/>
      <c r="B33" s="1437"/>
      <c r="C33" s="1287"/>
      <c r="D33" s="1441"/>
      <c r="E33" s="780" t="s">
        <v>21</v>
      </c>
      <c r="F33" s="775"/>
      <c r="G33" s="776"/>
      <c r="H33" s="777"/>
    </row>
    <row r="34" spans="1:8" s="727" customFormat="1" ht="14.25" customHeight="1" hidden="1">
      <c r="A34" s="1437"/>
      <c r="B34" s="1437"/>
      <c r="C34" s="1288"/>
      <c r="D34" s="1442"/>
      <c r="E34" s="780" t="s">
        <v>22</v>
      </c>
      <c r="F34" s="775">
        <f>F32+F33</f>
        <v>565326</v>
      </c>
      <c r="G34" s="775">
        <f>G32+G33</f>
        <v>5084274</v>
      </c>
      <c r="H34" s="777"/>
    </row>
    <row r="35" spans="1:8" s="727" customFormat="1" ht="14.25" customHeight="1" hidden="1">
      <c r="A35" s="1436"/>
      <c r="B35" s="1436"/>
      <c r="C35" s="1439" t="s">
        <v>861</v>
      </c>
      <c r="D35" s="1440" t="s">
        <v>867</v>
      </c>
      <c r="E35" s="780" t="s">
        <v>20</v>
      </c>
      <c r="F35" s="775">
        <v>506654</v>
      </c>
      <c r="G35" s="776">
        <v>3857719</v>
      </c>
      <c r="H35" s="777"/>
    </row>
    <row r="36" spans="1:8" s="727" customFormat="1" ht="14.25" customHeight="1" hidden="1">
      <c r="A36" s="1437"/>
      <c r="B36" s="1437"/>
      <c r="C36" s="1287"/>
      <c r="D36" s="1441"/>
      <c r="E36" s="780" t="s">
        <v>21</v>
      </c>
      <c r="F36" s="775"/>
      <c r="G36" s="776"/>
      <c r="H36" s="777"/>
    </row>
    <row r="37" spans="1:8" s="727" customFormat="1" ht="14.25" customHeight="1" hidden="1">
      <c r="A37" s="1438"/>
      <c r="B37" s="1438"/>
      <c r="C37" s="1288"/>
      <c r="D37" s="1442"/>
      <c r="E37" s="780" t="s">
        <v>22</v>
      </c>
      <c r="F37" s="775">
        <f>F35+F36</f>
        <v>506654</v>
      </c>
      <c r="G37" s="775">
        <f>G35+G36</f>
        <v>3857719</v>
      </c>
      <c r="H37" s="777"/>
    </row>
    <row r="38" spans="1:8" s="727" customFormat="1" ht="14.25" customHeight="1" hidden="1">
      <c r="A38" s="1443" t="s">
        <v>41</v>
      </c>
      <c r="B38" s="1443" t="s">
        <v>359</v>
      </c>
      <c r="C38" s="1439" t="s">
        <v>863</v>
      </c>
      <c r="D38" s="1440" t="s">
        <v>868</v>
      </c>
      <c r="E38" s="780" t="s">
        <v>20</v>
      </c>
      <c r="F38" s="775">
        <v>680000</v>
      </c>
      <c r="G38" s="776">
        <v>680000</v>
      </c>
      <c r="H38" s="777"/>
    </row>
    <row r="39" spans="1:8" s="727" customFormat="1" ht="14.25" customHeight="1" hidden="1">
      <c r="A39" s="1437"/>
      <c r="B39" s="1437"/>
      <c r="C39" s="1287"/>
      <c r="D39" s="1441"/>
      <c r="E39" s="780" t="s">
        <v>21</v>
      </c>
      <c r="F39" s="775"/>
      <c r="G39" s="776"/>
      <c r="H39" s="777"/>
    </row>
    <row r="40" spans="1:8" s="727" customFormat="1" ht="14.25" customHeight="1" hidden="1">
      <c r="A40" s="1438"/>
      <c r="B40" s="1438"/>
      <c r="C40" s="1288"/>
      <c r="D40" s="1442"/>
      <c r="E40" s="780" t="s">
        <v>22</v>
      </c>
      <c r="F40" s="775">
        <f>F38+F39</f>
        <v>680000</v>
      </c>
      <c r="G40" s="775">
        <f>G38+G39</f>
        <v>680000</v>
      </c>
      <c r="H40" s="777"/>
    </row>
    <row r="41" spans="1:8" s="727" customFormat="1" ht="14.25" customHeight="1" hidden="1">
      <c r="A41" s="1443" t="s">
        <v>56</v>
      </c>
      <c r="B41" s="1443" t="s">
        <v>809</v>
      </c>
      <c r="C41" s="1439" t="s">
        <v>861</v>
      </c>
      <c r="D41" s="1440" t="s">
        <v>869</v>
      </c>
      <c r="E41" s="780" t="s">
        <v>20</v>
      </c>
      <c r="F41" s="775">
        <v>73000</v>
      </c>
      <c r="G41" s="776">
        <v>360000</v>
      </c>
      <c r="H41" s="777"/>
    </row>
    <row r="42" spans="1:8" s="727" customFormat="1" ht="14.25" customHeight="1" hidden="1">
      <c r="A42" s="1437"/>
      <c r="B42" s="1437"/>
      <c r="C42" s="1287"/>
      <c r="D42" s="1441"/>
      <c r="E42" s="780" t="s">
        <v>21</v>
      </c>
      <c r="F42" s="775"/>
      <c r="G42" s="776"/>
      <c r="H42" s="777"/>
    </row>
    <row r="43" spans="1:8" s="727" customFormat="1" ht="14.25" customHeight="1" hidden="1">
      <c r="A43" s="1438"/>
      <c r="B43" s="1438"/>
      <c r="C43" s="1288"/>
      <c r="D43" s="1442"/>
      <c r="E43" s="780" t="s">
        <v>22</v>
      </c>
      <c r="F43" s="775">
        <f>F41+F42</f>
        <v>73000</v>
      </c>
      <c r="G43" s="775">
        <f>G41+G42</f>
        <v>360000</v>
      </c>
      <c r="H43" s="777"/>
    </row>
    <row r="44" spans="1:8" s="727" customFormat="1" ht="14.25" customHeight="1">
      <c r="A44" s="1436" t="s">
        <v>147</v>
      </c>
      <c r="B44" s="1443" t="s">
        <v>157</v>
      </c>
      <c r="C44" s="1439" t="s">
        <v>870</v>
      </c>
      <c r="D44" s="1440" t="s">
        <v>871</v>
      </c>
      <c r="E44" s="780" t="s">
        <v>20</v>
      </c>
      <c r="F44" s="775">
        <v>0</v>
      </c>
      <c r="G44" s="776">
        <v>0</v>
      </c>
      <c r="H44" s="777"/>
    </row>
    <row r="45" spans="1:8" s="727" customFormat="1" ht="14.25" customHeight="1">
      <c r="A45" s="1437"/>
      <c r="B45" s="1437"/>
      <c r="C45" s="1287"/>
      <c r="D45" s="1441"/>
      <c r="E45" s="780" t="s">
        <v>21</v>
      </c>
      <c r="F45" s="775">
        <v>137932</v>
      </c>
      <c r="G45" s="776">
        <v>164610</v>
      </c>
      <c r="H45" s="777"/>
    </row>
    <row r="46" spans="1:8" s="727" customFormat="1" ht="14.25" customHeight="1">
      <c r="A46" s="1438"/>
      <c r="B46" s="1438"/>
      <c r="C46" s="1288"/>
      <c r="D46" s="1442"/>
      <c r="E46" s="780" t="s">
        <v>22</v>
      </c>
      <c r="F46" s="775">
        <f>F44+F45</f>
        <v>137932</v>
      </c>
      <c r="G46" s="775">
        <f>G44+G45</f>
        <v>164610</v>
      </c>
      <c r="H46" s="777"/>
    </row>
    <row r="47" spans="1:8" s="727" customFormat="1" ht="14.25" customHeight="1" hidden="1">
      <c r="A47" s="1443" t="s">
        <v>147</v>
      </c>
      <c r="B47" s="1443" t="s">
        <v>746</v>
      </c>
      <c r="C47" s="1439" t="s">
        <v>872</v>
      </c>
      <c r="D47" s="1440" t="s">
        <v>873</v>
      </c>
      <c r="E47" s="780" t="s">
        <v>20</v>
      </c>
      <c r="F47" s="775">
        <v>65130</v>
      </c>
      <c r="G47" s="776">
        <v>785130</v>
      </c>
      <c r="H47" s="777"/>
    </row>
    <row r="48" spans="1:8" s="727" customFormat="1" ht="14.25" customHeight="1" hidden="1">
      <c r="A48" s="1437"/>
      <c r="B48" s="1437"/>
      <c r="C48" s="1287"/>
      <c r="D48" s="1441"/>
      <c r="E48" s="780" t="s">
        <v>21</v>
      </c>
      <c r="F48" s="775"/>
      <c r="G48" s="776"/>
      <c r="H48" s="777"/>
    </row>
    <row r="49" spans="1:8" s="727" customFormat="1" ht="14.25" customHeight="1" hidden="1">
      <c r="A49" s="1437"/>
      <c r="B49" s="1438"/>
      <c r="C49" s="1288"/>
      <c r="D49" s="1442"/>
      <c r="E49" s="780" t="s">
        <v>22</v>
      </c>
      <c r="F49" s="775">
        <f>F47+F48</f>
        <v>65130</v>
      </c>
      <c r="G49" s="775">
        <f>G47+G48</f>
        <v>785130</v>
      </c>
      <c r="H49" s="777"/>
    </row>
    <row r="50" spans="1:8" s="727" customFormat="1" ht="14.25" customHeight="1" hidden="1">
      <c r="A50" s="1436"/>
      <c r="B50" s="1443" t="s">
        <v>157</v>
      </c>
      <c r="C50" s="1439" t="s">
        <v>870</v>
      </c>
      <c r="D50" s="1440" t="s">
        <v>874</v>
      </c>
      <c r="E50" s="780" t="s">
        <v>20</v>
      </c>
      <c r="F50" s="775">
        <v>1878000</v>
      </c>
      <c r="G50" s="776">
        <v>8614000</v>
      </c>
      <c r="H50" s="777"/>
    </row>
    <row r="51" spans="1:8" s="727" customFormat="1" ht="14.25" customHeight="1" hidden="1">
      <c r="A51" s="1437"/>
      <c r="B51" s="1437"/>
      <c r="C51" s="1287"/>
      <c r="D51" s="1441"/>
      <c r="E51" s="780" t="s">
        <v>21</v>
      </c>
      <c r="F51" s="775"/>
      <c r="G51" s="776"/>
      <c r="H51" s="777"/>
    </row>
    <row r="52" spans="1:8" s="727" customFormat="1" ht="14.25" customHeight="1" hidden="1">
      <c r="A52" s="1437"/>
      <c r="B52" s="1437"/>
      <c r="C52" s="1288"/>
      <c r="D52" s="1442"/>
      <c r="E52" s="780" t="s">
        <v>22</v>
      </c>
      <c r="F52" s="775">
        <f>F50+F51</f>
        <v>1878000</v>
      </c>
      <c r="G52" s="775">
        <f>G50+G51</f>
        <v>8614000</v>
      </c>
      <c r="H52" s="777"/>
    </row>
    <row r="53" spans="1:8" s="727" customFormat="1" ht="14.25" customHeight="1" hidden="1">
      <c r="A53" s="1436"/>
      <c r="B53" s="1436"/>
      <c r="C53" s="1439" t="s">
        <v>875</v>
      </c>
      <c r="D53" s="1440" t="s">
        <v>876</v>
      </c>
      <c r="E53" s="780" t="s">
        <v>20</v>
      </c>
      <c r="F53" s="775">
        <v>1200000</v>
      </c>
      <c r="G53" s="776">
        <v>8878000</v>
      </c>
      <c r="H53" s="777"/>
    </row>
    <row r="54" spans="1:8" s="727" customFormat="1" ht="14.25" customHeight="1" hidden="1">
      <c r="A54" s="1437"/>
      <c r="B54" s="1437"/>
      <c r="C54" s="1287"/>
      <c r="D54" s="1441"/>
      <c r="E54" s="780" t="s">
        <v>21</v>
      </c>
      <c r="F54" s="775"/>
      <c r="G54" s="776"/>
      <c r="H54" s="777"/>
    </row>
    <row r="55" spans="1:8" s="727" customFormat="1" ht="14.25" customHeight="1" hidden="1">
      <c r="A55" s="1438"/>
      <c r="B55" s="1438"/>
      <c r="C55" s="1288"/>
      <c r="D55" s="1442"/>
      <c r="E55" s="780" t="s">
        <v>22</v>
      </c>
      <c r="F55" s="775">
        <f>F53+F54</f>
        <v>1200000</v>
      </c>
      <c r="G55" s="775">
        <f>G53+G54</f>
        <v>8878000</v>
      </c>
      <c r="H55" s="777"/>
    </row>
    <row r="56" spans="1:5" ht="17.25" customHeight="1">
      <c r="A56" s="781" t="s">
        <v>842</v>
      </c>
      <c r="B56" s="782"/>
      <c r="C56" s="630"/>
      <c r="E56" s="632"/>
    </row>
    <row r="57" spans="1:5" ht="15" customHeight="1">
      <c r="A57" s="783" t="s">
        <v>877</v>
      </c>
      <c r="B57" s="631"/>
      <c r="C57" s="630"/>
      <c r="E57" s="632"/>
    </row>
    <row r="58" spans="1:8" s="784" customFormat="1" ht="15" customHeight="1">
      <c r="A58" s="783" t="s">
        <v>878</v>
      </c>
      <c r="B58" s="631"/>
      <c r="C58" s="630"/>
      <c r="D58" s="749"/>
      <c r="E58" s="632"/>
      <c r="F58" s="752"/>
      <c r="G58" s="755"/>
      <c r="H58" s="755"/>
    </row>
    <row r="59" spans="1:5" ht="15" customHeight="1">
      <c r="A59" s="783" t="s">
        <v>879</v>
      </c>
      <c r="B59" s="631"/>
      <c r="C59" s="630"/>
      <c r="E59" s="632"/>
    </row>
    <row r="60" ht="9" customHeight="1"/>
    <row r="61" spans="1:6" s="698" customFormat="1" ht="35.25" customHeight="1">
      <c r="A61" s="756"/>
      <c r="B61" s="756"/>
      <c r="C61" s="749"/>
      <c r="D61" s="749"/>
      <c r="E61" s="760"/>
      <c r="F61" s="752"/>
    </row>
    <row r="62" spans="1:8" s="784" customFormat="1" ht="22.5" customHeight="1">
      <c r="A62" s="756"/>
      <c r="B62" s="756"/>
      <c r="C62" s="749"/>
      <c r="D62" s="749"/>
      <c r="E62" s="760"/>
      <c r="F62" s="752"/>
      <c r="G62" s="755"/>
      <c r="H62" s="755"/>
    </row>
    <row r="63" ht="41.25" customHeight="1"/>
    <row r="64" spans="1:6" s="698" customFormat="1" ht="21.75" customHeight="1">
      <c r="A64" s="756"/>
      <c r="B64" s="756"/>
      <c r="C64" s="749"/>
      <c r="D64" s="749"/>
      <c r="E64" s="760"/>
      <c r="F64" s="752"/>
    </row>
    <row r="65" spans="7:8" ht="21.75" customHeight="1">
      <c r="G65" s="758"/>
      <c r="H65" s="758"/>
    </row>
    <row r="66" spans="7:8" ht="24.75" customHeight="1">
      <c r="G66" s="758"/>
      <c r="H66" s="758"/>
    </row>
    <row r="67" spans="7:8" ht="12" customHeight="1">
      <c r="G67" s="758"/>
      <c r="H67" s="758"/>
    </row>
    <row r="68" spans="1:6" s="785" customFormat="1" ht="30.75" customHeight="1">
      <c r="A68" s="756"/>
      <c r="B68" s="756"/>
      <c r="C68" s="749"/>
      <c r="D68" s="749"/>
      <c r="E68" s="760"/>
      <c r="F68" s="752"/>
    </row>
    <row r="69" spans="1:6" s="698" customFormat="1" ht="21.75" customHeight="1">
      <c r="A69" s="756"/>
      <c r="B69" s="756"/>
      <c r="C69" s="749"/>
      <c r="D69" s="749"/>
      <c r="E69" s="760"/>
      <c r="F69" s="752"/>
    </row>
    <row r="70" spans="1:6" s="786" customFormat="1" ht="21.75" customHeight="1">
      <c r="A70" s="756"/>
      <c r="B70" s="756"/>
      <c r="C70" s="749"/>
      <c r="D70" s="749"/>
      <c r="E70" s="760"/>
      <c r="F70" s="752"/>
    </row>
    <row r="71" spans="1:6" s="786" customFormat="1" ht="21.75" customHeight="1">
      <c r="A71" s="756"/>
      <c r="B71" s="756"/>
      <c r="C71" s="749"/>
      <c r="D71" s="749"/>
      <c r="E71" s="760"/>
      <c r="F71" s="752"/>
    </row>
    <row r="73" spans="1:8" s="636" customFormat="1" ht="24" customHeight="1">
      <c r="A73" s="756"/>
      <c r="B73" s="756"/>
      <c r="C73" s="749"/>
      <c r="D73" s="749"/>
      <c r="E73" s="760"/>
      <c r="F73" s="752"/>
      <c r="G73" s="763"/>
      <c r="H73" s="763"/>
    </row>
    <row r="74" spans="1:8" s="636" customFormat="1" ht="24" customHeight="1">
      <c r="A74" s="756"/>
      <c r="B74" s="756"/>
      <c r="C74" s="749"/>
      <c r="D74" s="749"/>
      <c r="E74" s="760"/>
      <c r="F74" s="752"/>
      <c r="G74" s="763"/>
      <c r="H74" s="763"/>
    </row>
    <row r="75" spans="1:8" s="624" customFormat="1" ht="24" customHeight="1">
      <c r="A75" s="756"/>
      <c r="B75" s="756"/>
      <c r="C75" s="749"/>
      <c r="D75" s="749"/>
      <c r="E75" s="760"/>
      <c r="F75" s="752"/>
      <c r="G75" s="630"/>
      <c r="H75" s="630"/>
    </row>
    <row r="76" spans="1:8" s="624" customFormat="1" ht="24" customHeight="1">
      <c r="A76" s="756"/>
      <c r="B76" s="756"/>
      <c r="C76" s="749"/>
      <c r="D76" s="749"/>
      <c r="E76" s="760"/>
      <c r="F76" s="752"/>
      <c r="G76" s="630"/>
      <c r="H76" s="630"/>
    </row>
    <row r="77" spans="1:8" s="636" customFormat="1" ht="21" customHeight="1">
      <c r="A77" s="756"/>
      <c r="B77" s="756"/>
      <c r="C77" s="749"/>
      <c r="D77" s="749"/>
      <c r="E77" s="760"/>
      <c r="F77" s="752"/>
      <c r="G77" s="763"/>
      <c r="H77" s="763"/>
    </row>
    <row r="78" ht="19.5" customHeight="1"/>
    <row r="79" ht="21.75" customHeight="1"/>
  </sheetData>
  <sheetProtection password="C25B" sheet="1"/>
  <mergeCells count="68">
    <mergeCell ref="D1:G1"/>
    <mergeCell ref="D2:G2"/>
    <mergeCell ref="D3:G3"/>
    <mergeCell ref="A5:G5"/>
    <mergeCell ref="A7:A8"/>
    <mergeCell ref="B7:B8"/>
    <mergeCell ref="C7:D7"/>
    <mergeCell ref="E7:E8"/>
    <mergeCell ref="F7:F8"/>
    <mergeCell ref="G7:G8"/>
    <mergeCell ref="A10:D12"/>
    <mergeCell ref="A13:G13"/>
    <mergeCell ref="A14:A16"/>
    <mergeCell ref="B14:B16"/>
    <mergeCell ref="C14:C16"/>
    <mergeCell ref="D14:D16"/>
    <mergeCell ref="A17:A19"/>
    <mergeCell ref="B17:B19"/>
    <mergeCell ref="C17:C19"/>
    <mergeCell ref="D17:D19"/>
    <mergeCell ref="A20:A22"/>
    <mergeCell ref="B20:B22"/>
    <mergeCell ref="C20:C22"/>
    <mergeCell ref="D20:D22"/>
    <mergeCell ref="A23:A25"/>
    <mergeCell ref="B23:B25"/>
    <mergeCell ref="C23:C25"/>
    <mergeCell ref="D23:D25"/>
    <mergeCell ref="A26:A28"/>
    <mergeCell ref="B26:B28"/>
    <mergeCell ref="C26:C28"/>
    <mergeCell ref="D26:D28"/>
    <mergeCell ref="A29:A31"/>
    <mergeCell ref="B29:B31"/>
    <mergeCell ref="C29:C31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38:A40"/>
    <mergeCell ref="B38:B40"/>
    <mergeCell ref="C38:C40"/>
    <mergeCell ref="D38:D40"/>
    <mergeCell ref="C50:C52"/>
    <mergeCell ref="D50:D52"/>
    <mergeCell ref="A41:A43"/>
    <mergeCell ref="B41:B43"/>
    <mergeCell ref="C41:C43"/>
    <mergeCell ref="D41:D43"/>
    <mergeCell ref="A44:A46"/>
    <mergeCell ref="B44:B46"/>
    <mergeCell ref="C44:C46"/>
    <mergeCell ref="D44:D46"/>
    <mergeCell ref="A53:A55"/>
    <mergeCell ref="B53:B55"/>
    <mergeCell ref="C53:C55"/>
    <mergeCell ref="D53:D55"/>
    <mergeCell ref="A47:A49"/>
    <mergeCell ref="B47:B49"/>
    <mergeCell ref="C47:C49"/>
    <mergeCell ref="D47:D49"/>
    <mergeCell ref="A50:A52"/>
    <mergeCell ref="B50:B52"/>
  </mergeCells>
  <printOptions horizontalCentered="1"/>
  <pageMargins left="0.7874015748031497" right="0.7086614173228347" top="0.984251968503937" bottom="0.984251968503937" header="0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8" defaultRowHeight="14.25"/>
  <cols>
    <col min="1" max="1" width="3.59765625" style="1477" customWidth="1"/>
    <col min="2" max="2" width="44.69921875" style="1478" customWidth="1"/>
    <col min="3" max="3" width="6.8984375" style="1479" customWidth="1"/>
    <col min="4" max="4" width="2" style="1479" customWidth="1"/>
    <col min="5" max="5" width="11.09765625" style="1480" customWidth="1"/>
    <col min="6" max="6" width="10.5" style="1480" customWidth="1"/>
    <col min="7" max="7" width="10.59765625" style="1480" customWidth="1"/>
    <col min="8" max="8" width="13.09765625" style="1480" customWidth="1"/>
    <col min="9" max="16384" width="8" style="1481" customWidth="1"/>
  </cols>
  <sheetData>
    <row r="1" spans="1:7" s="1473" customFormat="1" ht="12.75">
      <c r="A1" s="1469"/>
      <c r="B1" s="1470"/>
      <c r="C1" s="1471"/>
      <c r="D1" s="1471"/>
      <c r="E1" s="1472"/>
      <c r="F1" s="1472" t="s">
        <v>932</v>
      </c>
      <c r="G1" s="1472"/>
    </row>
    <row r="2" spans="1:7" s="1473" customFormat="1" ht="12.75">
      <c r="A2" s="1469"/>
      <c r="B2" s="1470"/>
      <c r="C2" s="1471"/>
      <c r="D2" s="1471"/>
      <c r="E2" s="1474"/>
      <c r="F2" s="1474" t="s">
        <v>933</v>
      </c>
      <c r="G2" s="1474"/>
    </row>
    <row r="3" spans="1:7" s="1473" customFormat="1" ht="12.75">
      <c r="A3" s="1469"/>
      <c r="B3" s="1470"/>
      <c r="C3" s="1471"/>
      <c r="D3" s="1471"/>
      <c r="E3" s="1475"/>
      <c r="F3" s="1475" t="s">
        <v>934</v>
      </c>
      <c r="G3" s="1475"/>
    </row>
    <row r="4" spans="1:8" s="1473" customFormat="1" ht="18.75" customHeight="1">
      <c r="A4" s="1469"/>
      <c r="B4" s="1470"/>
      <c r="C4" s="1475"/>
      <c r="D4" s="1475"/>
      <c r="E4" s="1475"/>
      <c r="F4" s="1475"/>
      <c r="G4" s="1475"/>
      <c r="H4" s="1475"/>
    </row>
    <row r="5" spans="1:8" s="1473" customFormat="1" ht="39" customHeight="1">
      <c r="A5" s="1476" t="s">
        <v>935</v>
      </c>
      <c r="B5" s="1476"/>
      <c r="C5" s="1476"/>
      <c r="D5" s="1476"/>
      <c r="E5" s="1476"/>
      <c r="F5" s="1476"/>
      <c r="G5" s="1476"/>
      <c r="H5" s="1476"/>
    </row>
    <row r="6" ht="17.25" customHeight="1"/>
    <row r="7" ht="15.75" customHeight="1">
      <c r="H7" s="1477" t="s">
        <v>0</v>
      </c>
    </row>
    <row r="8" spans="1:8" s="1483" customFormat="1" ht="56.25" customHeight="1">
      <c r="A8" s="1482" t="s">
        <v>882</v>
      </c>
      <c r="B8" s="1482" t="s">
        <v>936</v>
      </c>
      <c r="C8" s="1482" t="s">
        <v>8</v>
      </c>
      <c r="D8" s="1482" t="s">
        <v>18</v>
      </c>
      <c r="E8" s="1482" t="s">
        <v>937</v>
      </c>
      <c r="F8" s="1482" t="s">
        <v>884</v>
      </c>
      <c r="G8" s="1482" t="s">
        <v>897</v>
      </c>
      <c r="H8" s="1482" t="s">
        <v>938</v>
      </c>
    </row>
    <row r="9" spans="1:8" s="1485" customFormat="1" ht="12.75">
      <c r="A9" s="1484" t="s">
        <v>10</v>
      </c>
      <c r="B9" s="1484" t="s">
        <v>11</v>
      </c>
      <c r="C9" s="1484" t="s">
        <v>12</v>
      </c>
      <c r="D9" s="1484"/>
      <c r="E9" s="1484" t="s">
        <v>13</v>
      </c>
      <c r="F9" s="1484" t="s">
        <v>14</v>
      </c>
      <c r="G9" s="1484" t="s">
        <v>15</v>
      </c>
      <c r="H9" s="1484" t="s">
        <v>16</v>
      </c>
    </row>
    <row r="10" spans="1:8" s="1492" customFormat="1" ht="15" customHeight="1" hidden="1">
      <c r="A10" s="1486" t="s">
        <v>10</v>
      </c>
      <c r="B10" s="1487" t="s">
        <v>939</v>
      </c>
      <c r="C10" s="1488">
        <v>80147</v>
      </c>
      <c r="D10" s="1489" t="s">
        <v>20</v>
      </c>
      <c r="E10" s="1490">
        <v>0</v>
      </c>
      <c r="F10" s="1491">
        <v>40150</v>
      </c>
      <c r="G10" s="1491">
        <v>40150</v>
      </c>
      <c r="H10" s="1490">
        <v>0</v>
      </c>
    </row>
    <row r="11" spans="1:8" s="1492" customFormat="1" ht="15" customHeight="1" hidden="1">
      <c r="A11" s="1493"/>
      <c r="B11" s="1494"/>
      <c r="C11" s="1495"/>
      <c r="D11" s="1489" t="s">
        <v>21</v>
      </c>
      <c r="E11" s="1490">
        <v>0</v>
      </c>
      <c r="F11" s="1490">
        <v>0</v>
      </c>
      <c r="G11" s="1490">
        <v>0</v>
      </c>
      <c r="H11" s="1490">
        <v>0</v>
      </c>
    </row>
    <row r="12" spans="1:8" s="1492" customFormat="1" ht="15" customHeight="1" hidden="1">
      <c r="A12" s="1496"/>
      <c r="B12" s="1497"/>
      <c r="C12" s="1498"/>
      <c r="D12" s="1489" t="s">
        <v>22</v>
      </c>
      <c r="E12" s="1490">
        <f>E10+E11</f>
        <v>0</v>
      </c>
      <c r="F12" s="1490">
        <f>F10+F11</f>
        <v>40150</v>
      </c>
      <c r="G12" s="1490">
        <f>G10+G11</f>
        <v>40150</v>
      </c>
      <c r="H12" s="1490">
        <f>H10+H11</f>
        <v>0</v>
      </c>
    </row>
    <row r="13" spans="1:8" s="1492" customFormat="1" ht="15" customHeight="1" hidden="1">
      <c r="A13" s="1486" t="s">
        <v>11</v>
      </c>
      <c r="B13" s="1487" t="s">
        <v>940</v>
      </c>
      <c r="C13" s="1488">
        <v>80146</v>
      </c>
      <c r="D13" s="1489" t="s">
        <v>20</v>
      </c>
      <c r="E13" s="1490">
        <v>0</v>
      </c>
      <c r="F13" s="1491">
        <v>600000</v>
      </c>
      <c r="G13" s="1491">
        <v>600000</v>
      </c>
      <c r="H13" s="1490">
        <v>0</v>
      </c>
    </row>
    <row r="14" spans="1:8" s="1492" customFormat="1" ht="15" customHeight="1" hidden="1">
      <c r="A14" s="1493"/>
      <c r="B14" s="1494"/>
      <c r="C14" s="1495"/>
      <c r="D14" s="1489" t="s">
        <v>21</v>
      </c>
      <c r="E14" s="1490">
        <v>0</v>
      </c>
      <c r="F14" s="1490">
        <v>0</v>
      </c>
      <c r="G14" s="1490">
        <v>0</v>
      </c>
      <c r="H14" s="1490">
        <v>0</v>
      </c>
    </row>
    <row r="15" spans="1:8" s="1492" customFormat="1" ht="15" customHeight="1" hidden="1">
      <c r="A15" s="1496"/>
      <c r="B15" s="1497"/>
      <c r="C15" s="1498"/>
      <c r="D15" s="1489" t="s">
        <v>22</v>
      </c>
      <c r="E15" s="1490">
        <f>E13+E14</f>
        <v>0</v>
      </c>
      <c r="F15" s="1490">
        <f>F13+F14</f>
        <v>600000</v>
      </c>
      <c r="G15" s="1490">
        <f>G13+G14</f>
        <v>600000</v>
      </c>
      <c r="H15" s="1490">
        <f>H13+H14</f>
        <v>0</v>
      </c>
    </row>
    <row r="16" spans="1:8" s="1492" customFormat="1" ht="15" customHeight="1" hidden="1">
      <c r="A16" s="1486" t="s">
        <v>12</v>
      </c>
      <c r="B16" s="1487" t="s">
        <v>941</v>
      </c>
      <c r="C16" s="1488">
        <v>80146</v>
      </c>
      <c r="D16" s="1489" t="s">
        <v>20</v>
      </c>
      <c r="E16" s="1490">
        <v>0</v>
      </c>
      <c r="F16" s="1490">
        <v>320000</v>
      </c>
      <c r="G16" s="1490">
        <v>320000</v>
      </c>
      <c r="H16" s="1490">
        <v>0</v>
      </c>
    </row>
    <row r="17" spans="1:8" s="1492" customFormat="1" ht="15" customHeight="1" hidden="1">
      <c r="A17" s="1493"/>
      <c r="B17" s="1494"/>
      <c r="C17" s="1495"/>
      <c r="D17" s="1489" t="s">
        <v>21</v>
      </c>
      <c r="E17" s="1490">
        <v>0</v>
      </c>
      <c r="F17" s="1490"/>
      <c r="G17" s="1490"/>
      <c r="H17" s="1490">
        <v>0</v>
      </c>
    </row>
    <row r="18" spans="1:8" s="1492" customFormat="1" ht="15" customHeight="1" hidden="1">
      <c r="A18" s="1496"/>
      <c r="B18" s="1497"/>
      <c r="C18" s="1498"/>
      <c r="D18" s="1489" t="s">
        <v>22</v>
      </c>
      <c r="E18" s="1490">
        <f>E16+E17</f>
        <v>0</v>
      </c>
      <c r="F18" s="1490">
        <f>F16+F17</f>
        <v>320000</v>
      </c>
      <c r="G18" s="1490">
        <f>G16+G17</f>
        <v>320000</v>
      </c>
      <c r="H18" s="1490">
        <f>H16+H17</f>
        <v>0</v>
      </c>
    </row>
    <row r="19" spans="1:8" s="1492" customFormat="1" ht="15" customHeight="1" hidden="1">
      <c r="A19" s="1486" t="s">
        <v>13</v>
      </c>
      <c r="B19" s="1487" t="s">
        <v>942</v>
      </c>
      <c r="C19" s="1488">
        <v>80146</v>
      </c>
      <c r="D19" s="1489" t="s">
        <v>20</v>
      </c>
      <c r="E19" s="1490">
        <v>0</v>
      </c>
      <c r="F19" s="1490">
        <v>116500</v>
      </c>
      <c r="G19" s="1490">
        <v>116500</v>
      </c>
      <c r="H19" s="1490">
        <v>0</v>
      </c>
    </row>
    <row r="20" spans="1:8" s="1492" customFormat="1" ht="15" customHeight="1" hidden="1">
      <c r="A20" s="1493"/>
      <c r="B20" s="1494"/>
      <c r="C20" s="1495"/>
      <c r="D20" s="1489" t="s">
        <v>21</v>
      </c>
      <c r="E20" s="1490">
        <v>0</v>
      </c>
      <c r="F20" s="1490"/>
      <c r="G20" s="1490"/>
      <c r="H20" s="1490">
        <v>0</v>
      </c>
    </row>
    <row r="21" spans="1:8" s="1492" customFormat="1" ht="15" customHeight="1" hidden="1">
      <c r="A21" s="1496"/>
      <c r="B21" s="1497"/>
      <c r="C21" s="1498"/>
      <c r="D21" s="1489" t="s">
        <v>22</v>
      </c>
      <c r="E21" s="1490">
        <v>0</v>
      </c>
      <c r="F21" s="1490">
        <f>F19+F20</f>
        <v>116500</v>
      </c>
      <c r="G21" s="1490">
        <f>G19+G20</f>
        <v>116500</v>
      </c>
      <c r="H21" s="1490">
        <v>0</v>
      </c>
    </row>
    <row r="22" spans="1:8" s="1492" customFormat="1" ht="15" customHeight="1" hidden="1">
      <c r="A22" s="1486" t="s">
        <v>14</v>
      </c>
      <c r="B22" s="1487" t="s">
        <v>943</v>
      </c>
      <c r="C22" s="1499">
        <v>80130</v>
      </c>
      <c r="D22" s="1500" t="s">
        <v>20</v>
      </c>
      <c r="E22" s="1490">
        <v>0</v>
      </c>
      <c r="F22" s="1490">
        <v>5000</v>
      </c>
      <c r="G22" s="1490">
        <v>5000</v>
      </c>
      <c r="H22" s="1490">
        <v>0</v>
      </c>
    </row>
    <row r="23" spans="1:8" s="1492" customFormat="1" ht="15" customHeight="1" hidden="1">
      <c r="A23" s="1493"/>
      <c r="B23" s="1494"/>
      <c r="C23" s="1501"/>
      <c r="D23" s="1500" t="s">
        <v>21</v>
      </c>
      <c r="E23" s="1490">
        <v>0</v>
      </c>
      <c r="F23" s="1490"/>
      <c r="G23" s="1490"/>
      <c r="H23" s="1490">
        <v>0</v>
      </c>
    </row>
    <row r="24" spans="1:8" s="1492" customFormat="1" ht="15" customHeight="1" hidden="1">
      <c r="A24" s="1496"/>
      <c r="B24" s="1494"/>
      <c r="C24" s="1502"/>
      <c r="D24" s="1500" t="s">
        <v>22</v>
      </c>
      <c r="E24" s="1490">
        <f>E22+E23</f>
        <v>0</v>
      </c>
      <c r="F24" s="1490">
        <f>F22+F23</f>
        <v>5000</v>
      </c>
      <c r="G24" s="1490">
        <f>G22+G23</f>
        <v>5000</v>
      </c>
      <c r="H24" s="1490">
        <f>H22+H23</f>
        <v>0</v>
      </c>
    </row>
    <row r="25" spans="1:8" s="1492" customFormat="1" ht="15" customHeight="1" hidden="1">
      <c r="A25" s="1486" t="s">
        <v>15</v>
      </c>
      <c r="B25" s="1487" t="s">
        <v>944</v>
      </c>
      <c r="C25" s="1488">
        <v>80130</v>
      </c>
      <c r="D25" s="1489" t="s">
        <v>20</v>
      </c>
      <c r="E25" s="1490">
        <v>0</v>
      </c>
      <c r="F25" s="1490">
        <v>8700</v>
      </c>
      <c r="G25" s="1490">
        <v>8700</v>
      </c>
      <c r="H25" s="1490">
        <v>0</v>
      </c>
    </row>
    <row r="26" spans="1:8" s="1492" customFormat="1" ht="15" customHeight="1" hidden="1">
      <c r="A26" s="1493"/>
      <c r="B26" s="1494"/>
      <c r="C26" s="1495"/>
      <c r="D26" s="1489" t="s">
        <v>21</v>
      </c>
      <c r="E26" s="1490">
        <v>0</v>
      </c>
      <c r="F26" s="1490"/>
      <c r="G26" s="1490"/>
      <c r="H26" s="1490">
        <v>0</v>
      </c>
    </row>
    <row r="27" spans="1:8" s="1492" customFormat="1" ht="15" customHeight="1" hidden="1">
      <c r="A27" s="1496"/>
      <c r="B27" s="1497"/>
      <c r="C27" s="1498"/>
      <c r="D27" s="1489" t="s">
        <v>22</v>
      </c>
      <c r="E27" s="1490">
        <f>E25+E26</f>
        <v>0</v>
      </c>
      <c r="F27" s="1490">
        <f>F25+F26</f>
        <v>8700</v>
      </c>
      <c r="G27" s="1490">
        <f>G25+G26</f>
        <v>8700</v>
      </c>
      <c r="H27" s="1490">
        <f>H25+H26</f>
        <v>0</v>
      </c>
    </row>
    <row r="28" spans="1:8" s="1492" customFormat="1" ht="15" customHeight="1" hidden="1">
      <c r="A28" s="1486" t="s">
        <v>16</v>
      </c>
      <c r="B28" s="1487" t="s">
        <v>945</v>
      </c>
      <c r="C28" s="1488">
        <v>85410</v>
      </c>
      <c r="D28" s="1489" t="s">
        <v>20</v>
      </c>
      <c r="E28" s="1490">
        <v>0</v>
      </c>
      <c r="F28" s="1490">
        <v>445150</v>
      </c>
      <c r="G28" s="1490">
        <v>445150</v>
      </c>
      <c r="H28" s="1490">
        <v>0</v>
      </c>
    </row>
    <row r="29" spans="1:8" s="1492" customFormat="1" ht="15" customHeight="1" hidden="1">
      <c r="A29" s="1493"/>
      <c r="B29" s="1494"/>
      <c r="C29" s="1495"/>
      <c r="D29" s="1489" t="s">
        <v>21</v>
      </c>
      <c r="E29" s="1490">
        <v>0</v>
      </c>
      <c r="F29" s="1490"/>
      <c r="G29" s="1490"/>
      <c r="H29" s="1490">
        <v>0</v>
      </c>
    </row>
    <row r="30" spans="1:8" s="1492" customFormat="1" ht="15" customHeight="1" hidden="1">
      <c r="A30" s="1496"/>
      <c r="B30" s="1497"/>
      <c r="C30" s="1498"/>
      <c r="D30" s="1489" t="s">
        <v>22</v>
      </c>
      <c r="E30" s="1490">
        <f>E28+E29</f>
        <v>0</v>
      </c>
      <c r="F30" s="1490">
        <f>F28+F29</f>
        <v>445150</v>
      </c>
      <c r="G30" s="1490">
        <f>G28+G29</f>
        <v>445150</v>
      </c>
      <c r="H30" s="1490">
        <f>H28+H29</f>
        <v>0</v>
      </c>
    </row>
    <row r="31" spans="1:8" s="1492" customFormat="1" ht="15" customHeight="1" hidden="1">
      <c r="A31" s="1486" t="s">
        <v>946</v>
      </c>
      <c r="B31" s="1487" t="s">
        <v>947</v>
      </c>
      <c r="C31" s="1488">
        <v>80147</v>
      </c>
      <c r="D31" s="1489" t="s">
        <v>20</v>
      </c>
      <c r="E31" s="1490">
        <v>0</v>
      </c>
      <c r="F31" s="1490">
        <v>32200</v>
      </c>
      <c r="G31" s="1490">
        <v>32200</v>
      </c>
      <c r="H31" s="1490">
        <v>0</v>
      </c>
    </row>
    <row r="32" spans="1:8" s="1492" customFormat="1" ht="15" customHeight="1" hidden="1">
      <c r="A32" s="1493"/>
      <c r="B32" s="1494"/>
      <c r="C32" s="1495"/>
      <c r="D32" s="1489" t="s">
        <v>21</v>
      </c>
      <c r="E32" s="1490">
        <v>0</v>
      </c>
      <c r="F32" s="1490">
        <v>0</v>
      </c>
      <c r="G32" s="1490">
        <v>0</v>
      </c>
      <c r="H32" s="1490">
        <v>0</v>
      </c>
    </row>
    <row r="33" spans="1:8" s="1492" customFormat="1" ht="15" customHeight="1" hidden="1">
      <c r="A33" s="1496"/>
      <c r="B33" s="1497"/>
      <c r="C33" s="1498"/>
      <c r="D33" s="1489" t="s">
        <v>22</v>
      </c>
      <c r="E33" s="1490">
        <f>E31+E32</f>
        <v>0</v>
      </c>
      <c r="F33" s="1490">
        <f>F31+F32</f>
        <v>32200</v>
      </c>
      <c r="G33" s="1490">
        <f>G31+G32</f>
        <v>32200</v>
      </c>
      <c r="H33" s="1490">
        <f>H31+H32</f>
        <v>0</v>
      </c>
    </row>
    <row r="34" spans="1:8" s="1492" customFormat="1" ht="15" customHeight="1" hidden="1">
      <c r="A34" s="1486" t="s">
        <v>948</v>
      </c>
      <c r="B34" s="1487" t="s">
        <v>949</v>
      </c>
      <c r="C34" s="1488"/>
      <c r="D34" s="1489" t="s">
        <v>20</v>
      </c>
      <c r="E34" s="1490">
        <f aca="true" t="shared" si="0" ref="E34:H36">E37+E40</f>
        <v>0</v>
      </c>
      <c r="F34" s="1490">
        <f t="shared" si="0"/>
        <v>252000</v>
      </c>
      <c r="G34" s="1490">
        <f t="shared" si="0"/>
        <v>252000</v>
      </c>
      <c r="H34" s="1490">
        <f t="shared" si="0"/>
        <v>0</v>
      </c>
    </row>
    <row r="35" spans="1:8" s="1492" customFormat="1" ht="15" customHeight="1" hidden="1">
      <c r="A35" s="1493"/>
      <c r="B35" s="1494"/>
      <c r="C35" s="1495"/>
      <c r="D35" s="1489" t="s">
        <v>21</v>
      </c>
      <c r="E35" s="1490">
        <f t="shared" si="0"/>
        <v>0</v>
      </c>
      <c r="F35" s="1490">
        <f t="shared" si="0"/>
        <v>0</v>
      </c>
      <c r="G35" s="1490">
        <f t="shared" si="0"/>
        <v>0</v>
      </c>
      <c r="H35" s="1490">
        <f t="shared" si="0"/>
        <v>0</v>
      </c>
    </row>
    <row r="36" spans="1:8" s="1492" customFormat="1" ht="15" customHeight="1" hidden="1">
      <c r="A36" s="1493"/>
      <c r="B36" s="1494"/>
      <c r="C36" s="1498"/>
      <c r="D36" s="1489" t="s">
        <v>22</v>
      </c>
      <c r="E36" s="1490">
        <f t="shared" si="0"/>
        <v>0</v>
      </c>
      <c r="F36" s="1490">
        <f t="shared" si="0"/>
        <v>252000</v>
      </c>
      <c r="G36" s="1490">
        <f t="shared" si="0"/>
        <v>252000</v>
      </c>
      <c r="H36" s="1490">
        <f t="shared" si="0"/>
        <v>0</v>
      </c>
    </row>
    <row r="37" spans="1:8" s="1492" customFormat="1" ht="15" customHeight="1" hidden="1">
      <c r="A37" s="1493"/>
      <c r="B37" s="1503"/>
      <c r="C37" s="1504">
        <v>80113</v>
      </c>
      <c r="D37" s="1505" t="s">
        <v>20</v>
      </c>
      <c r="E37" s="1506">
        <v>0</v>
      </c>
      <c r="F37" s="1506">
        <v>0</v>
      </c>
      <c r="G37" s="1506">
        <v>0</v>
      </c>
      <c r="H37" s="1506">
        <v>0</v>
      </c>
    </row>
    <row r="38" spans="1:8" s="1492" customFormat="1" ht="15" customHeight="1" hidden="1">
      <c r="A38" s="1493"/>
      <c r="B38" s="1507"/>
      <c r="C38" s="1508"/>
      <c r="D38" s="1505" t="s">
        <v>21</v>
      </c>
      <c r="E38" s="1506">
        <v>0</v>
      </c>
      <c r="F38" s="1506"/>
      <c r="G38" s="1506"/>
      <c r="H38" s="1506">
        <v>0</v>
      </c>
    </row>
    <row r="39" spans="1:8" s="1492" customFormat="1" ht="15" customHeight="1" hidden="1">
      <c r="A39" s="1493"/>
      <c r="B39" s="1507"/>
      <c r="C39" s="1509"/>
      <c r="D39" s="1505" t="s">
        <v>22</v>
      </c>
      <c r="E39" s="1506">
        <f>E37+E38</f>
        <v>0</v>
      </c>
      <c r="F39" s="1506">
        <f>F37+F38</f>
        <v>0</v>
      </c>
      <c r="G39" s="1506">
        <f>G37+G38</f>
        <v>0</v>
      </c>
      <c r="H39" s="1506">
        <f>H37+H38</f>
        <v>0</v>
      </c>
    </row>
    <row r="40" spans="1:8" s="1492" customFormat="1" ht="15" customHeight="1" hidden="1">
      <c r="A40" s="1493"/>
      <c r="B40" s="1510"/>
      <c r="C40" s="1511">
        <v>85403</v>
      </c>
      <c r="D40" s="1512" t="s">
        <v>20</v>
      </c>
      <c r="E40" s="1513"/>
      <c r="F40" s="1513">
        <v>252000</v>
      </c>
      <c r="G40" s="1513">
        <v>252000</v>
      </c>
      <c r="H40" s="1513">
        <v>0</v>
      </c>
    </row>
    <row r="41" spans="1:8" s="1492" customFormat="1" ht="15" customHeight="1" hidden="1">
      <c r="A41" s="1493"/>
      <c r="B41" s="1510"/>
      <c r="C41" s="1514"/>
      <c r="D41" s="1512" t="s">
        <v>21</v>
      </c>
      <c r="E41" s="1513">
        <v>0</v>
      </c>
      <c r="F41" s="1513"/>
      <c r="G41" s="1513"/>
      <c r="H41" s="1513">
        <v>0</v>
      </c>
    </row>
    <row r="42" spans="1:8" s="1492" customFormat="1" ht="15" customHeight="1" hidden="1">
      <c r="A42" s="1496"/>
      <c r="B42" s="1510"/>
      <c r="C42" s="1515"/>
      <c r="D42" s="1512" t="s">
        <v>22</v>
      </c>
      <c r="E42" s="1513">
        <f>E40+E41</f>
        <v>0</v>
      </c>
      <c r="F42" s="1513">
        <f>F40+F41</f>
        <v>252000</v>
      </c>
      <c r="G42" s="1513">
        <f>G40+G41</f>
        <v>252000</v>
      </c>
      <c r="H42" s="1513">
        <f>H40+H41</f>
        <v>0</v>
      </c>
    </row>
    <row r="43" spans="1:8" s="1516" customFormat="1" ht="15" customHeight="1" hidden="1">
      <c r="A43" s="1486" t="s">
        <v>950</v>
      </c>
      <c r="B43" s="1487" t="s">
        <v>951</v>
      </c>
      <c r="C43" s="1488">
        <v>85403</v>
      </c>
      <c r="D43" s="1489" t="s">
        <v>20</v>
      </c>
      <c r="E43" s="1490">
        <v>0</v>
      </c>
      <c r="F43" s="1490">
        <v>350000</v>
      </c>
      <c r="G43" s="1490">
        <v>350000</v>
      </c>
      <c r="H43" s="1490">
        <v>0</v>
      </c>
    </row>
    <row r="44" spans="1:8" s="1516" customFormat="1" ht="15" customHeight="1" hidden="1">
      <c r="A44" s="1493"/>
      <c r="B44" s="1494"/>
      <c r="C44" s="1495"/>
      <c r="D44" s="1489" t="s">
        <v>21</v>
      </c>
      <c r="E44" s="1490">
        <v>0</v>
      </c>
      <c r="F44" s="1490"/>
      <c r="G44" s="1490"/>
      <c r="H44" s="1490">
        <v>0</v>
      </c>
    </row>
    <row r="45" spans="1:8" s="1516" customFormat="1" ht="15" customHeight="1" hidden="1">
      <c r="A45" s="1496"/>
      <c r="B45" s="1497"/>
      <c r="C45" s="1498"/>
      <c r="D45" s="1489" t="s">
        <v>22</v>
      </c>
      <c r="E45" s="1490">
        <f>E43+E44</f>
        <v>0</v>
      </c>
      <c r="F45" s="1490">
        <f>F43+F44</f>
        <v>350000</v>
      </c>
      <c r="G45" s="1490">
        <f>G43+G44</f>
        <v>350000</v>
      </c>
      <c r="H45" s="1490">
        <f>H43+H44</f>
        <v>0</v>
      </c>
    </row>
    <row r="46" spans="1:8" s="1517" customFormat="1" ht="15" customHeight="1" hidden="1">
      <c r="A46" s="1486" t="s">
        <v>952</v>
      </c>
      <c r="B46" s="1487" t="s">
        <v>953</v>
      </c>
      <c r="C46" s="1488">
        <v>85403</v>
      </c>
      <c r="D46" s="1489" t="s">
        <v>20</v>
      </c>
      <c r="E46" s="1490">
        <v>0</v>
      </c>
      <c r="F46" s="1490">
        <v>255500</v>
      </c>
      <c r="G46" s="1490">
        <v>255500</v>
      </c>
      <c r="H46" s="1490">
        <v>0</v>
      </c>
    </row>
    <row r="47" spans="1:8" s="1517" customFormat="1" ht="15" customHeight="1" hidden="1">
      <c r="A47" s="1493"/>
      <c r="B47" s="1494"/>
      <c r="C47" s="1495"/>
      <c r="D47" s="1489" t="s">
        <v>21</v>
      </c>
      <c r="E47" s="1490">
        <v>0</v>
      </c>
      <c r="F47" s="1490"/>
      <c r="G47" s="1490"/>
      <c r="H47" s="1490">
        <v>0</v>
      </c>
    </row>
    <row r="48" spans="1:8" s="1517" customFormat="1" ht="15" customHeight="1" hidden="1">
      <c r="A48" s="1496"/>
      <c r="B48" s="1497"/>
      <c r="C48" s="1498"/>
      <c r="D48" s="1489" t="s">
        <v>22</v>
      </c>
      <c r="E48" s="1490">
        <f>E46+E47</f>
        <v>0</v>
      </c>
      <c r="F48" s="1490">
        <f>F46+F47</f>
        <v>255500</v>
      </c>
      <c r="G48" s="1490">
        <f>G46+G47</f>
        <v>255500</v>
      </c>
      <c r="H48" s="1490">
        <f>H46+H47</f>
        <v>0</v>
      </c>
    </row>
    <row r="49" spans="1:8" s="1516" customFormat="1" ht="15" customHeight="1">
      <c r="A49" s="1486" t="s">
        <v>954</v>
      </c>
      <c r="B49" s="1487" t="s">
        <v>955</v>
      </c>
      <c r="C49" s="1488">
        <v>80102</v>
      </c>
      <c r="D49" s="1489" t="s">
        <v>20</v>
      </c>
      <c r="E49" s="1490">
        <v>0</v>
      </c>
      <c r="F49" s="1490">
        <v>0</v>
      </c>
      <c r="G49" s="1490">
        <v>0</v>
      </c>
      <c r="H49" s="1490">
        <v>0</v>
      </c>
    </row>
    <row r="50" spans="1:8" s="1516" customFormat="1" ht="15" customHeight="1">
      <c r="A50" s="1493"/>
      <c r="B50" s="1494"/>
      <c r="C50" s="1495"/>
      <c r="D50" s="1489" t="s">
        <v>21</v>
      </c>
      <c r="E50" s="1490">
        <v>0</v>
      </c>
      <c r="F50" s="1490">
        <v>7000</v>
      </c>
      <c r="G50" s="1490">
        <v>7000</v>
      </c>
      <c r="H50" s="1490">
        <v>0</v>
      </c>
    </row>
    <row r="51" spans="1:8" s="1516" customFormat="1" ht="15" customHeight="1">
      <c r="A51" s="1496"/>
      <c r="B51" s="1497"/>
      <c r="C51" s="1498"/>
      <c r="D51" s="1489" t="s">
        <v>22</v>
      </c>
      <c r="E51" s="1490">
        <f>E49+E50</f>
        <v>0</v>
      </c>
      <c r="F51" s="1490">
        <f>F49+F50</f>
        <v>7000</v>
      </c>
      <c r="G51" s="1490">
        <f>G49+G50</f>
        <v>7000</v>
      </c>
      <c r="H51" s="1490">
        <f>H49+H50</f>
        <v>0</v>
      </c>
    </row>
    <row r="52" spans="1:8" s="1523" customFormat="1" ht="20.25" customHeight="1">
      <c r="A52" s="1518"/>
      <c r="B52" s="1519" t="s">
        <v>113</v>
      </c>
      <c r="C52" s="1520"/>
      <c r="D52" s="1521" t="s">
        <v>20</v>
      </c>
      <c r="E52" s="1522">
        <f aca="true" t="shared" si="1" ref="E52:H54">E10+E13+E16+E19+E28+E31+E34+E43+E46+E49+E22+E25</f>
        <v>0</v>
      </c>
      <c r="F52" s="1522">
        <f t="shared" si="1"/>
        <v>2425200</v>
      </c>
      <c r="G52" s="1522">
        <f t="shared" si="1"/>
        <v>2425200</v>
      </c>
      <c r="H52" s="1522">
        <f t="shared" si="1"/>
        <v>0</v>
      </c>
    </row>
    <row r="53" spans="1:8" s="1473" customFormat="1" ht="20.25" customHeight="1">
      <c r="A53" s="1518"/>
      <c r="B53" s="1519"/>
      <c r="C53" s="1520"/>
      <c r="D53" s="1521" t="s">
        <v>21</v>
      </c>
      <c r="E53" s="1522">
        <f t="shared" si="1"/>
        <v>0</v>
      </c>
      <c r="F53" s="1522">
        <f t="shared" si="1"/>
        <v>7000</v>
      </c>
      <c r="G53" s="1522">
        <f t="shared" si="1"/>
        <v>7000</v>
      </c>
      <c r="H53" s="1522">
        <f t="shared" si="1"/>
        <v>0</v>
      </c>
    </row>
    <row r="54" spans="1:8" s="1473" customFormat="1" ht="20.25" customHeight="1">
      <c r="A54" s="1518"/>
      <c r="B54" s="1519"/>
      <c r="C54" s="1520"/>
      <c r="D54" s="1521" t="s">
        <v>22</v>
      </c>
      <c r="E54" s="1522">
        <f t="shared" si="1"/>
        <v>0</v>
      </c>
      <c r="F54" s="1522">
        <f t="shared" si="1"/>
        <v>2432200</v>
      </c>
      <c r="G54" s="1522">
        <f t="shared" si="1"/>
        <v>2432200</v>
      </c>
      <c r="H54" s="1522">
        <f t="shared" si="1"/>
        <v>0</v>
      </c>
    </row>
    <row r="55" spans="1:8" s="1473" customFormat="1" ht="12.75" customHeight="1">
      <c r="A55" s="1469"/>
      <c r="B55" s="1470"/>
      <c r="C55" s="1471"/>
      <c r="D55" s="1471"/>
      <c r="E55" s="1475"/>
      <c r="F55" s="1475"/>
      <c r="G55" s="1475"/>
      <c r="H55" s="1475"/>
    </row>
    <row r="56" spans="1:8" s="1473" customFormat="1" ht="6.75" customHeight="1">
      <c r="A56" s="1469"/>
      <c r="B56" s="1470"/>
      <c r="C56" s="1471"/>
      <c r="D56" s="1471"/>
      <c r="E56" s="1475"/>
      <c r="F56" s="1475"/>
      <c r="G56" s="1475"/>
      <c r="H56" s="1475"/>
    </row>
    <row r="57" spans="1:8" s="1528" customFormat="1" ht="15" customHeight="1">
      <c r="A57" s="1524" t="s">
        <v>18</v>
      </c>
      <c r="B57" s="1525" t="s">
        <v>956</v>
      </c>
      <c r="C57" s="1526"/>
      <c r="D57" s="1527"/>
      <c r="E57" s="1527"/>
      <c r="F57" s="1527"/>
      <c r="G57" s="1527"/>
      <c r="H57" s="1527"/>
    </row>
    <row r="58" spans="1:8" s="1528" customFormat="1" ht="15" customHeight="1">
      <c r="A58" s="1524"/>
      <c r="B58" s="1525" t="s">
        <v>957</v>
      </c>
      <c r="C58" s="1526"/>
      <c r="D58" s="1527"/>
      <c r="E58" s="1527"/>
      <c r="F58" s="1527"/>
      <c r="G58" s="1527"/>
      <c r="H58" s="1527"/>
    </row>
    <row r="59" spans="1:8" s="1473" customFormat="1" ht="15" customHeight="1">
      <c r="A59" s="1524"/>
      <c r="B59" s="1525" t="s">
        <v>53</v>
      </c>
      <c r="C59" s="1526"/>
      <c r="D59" s="1471"/>
      <c r="E59" s="1475"/>
      <c r="F59" s="1475"/>
      <c r="G59" s="1475"/>
      <c r="H59" s="1475"/>
    </row>
  </sheetData>
  <sheetProtection password="C25B" sheet="1" objects="1" scenarios="1"/>
  <mergeCells count="42">
    <mergeCell ref="A52:A54"/>
    <mergeCell ref="B52:B54"/>
    <mergeCell ref="C52:C54"/>
    <mergeCell ref="A46:A48"/>
    <mergeCell ref="B46:B48"/>
    <mergeCell ref="C46:C48"/>
    <mergeCell ref="A49:A51"/>
    <mergeCell ref="B49:B51"/>
    <mergeCell ref="C49:C51"/>
    <mergeCell ref="A34:A42"/>
    <mergeCell ref="B34:B36"/>
    <mergeCell ref="C34:C36"/>
    <mergeCell ref="C37:C39"/>
    <mergeCell ref="C40:C42"/>
    <mergeCell ref="A43:A45"/>
    <mergeCell ref="B43:B45"/>
    <mergeCell ref="C43:C45"/>
    <mergeCell ref="A28:A30"/>
    <mergeCell ref="B28:B30"/>
    <mergeCell ref="C28:C30"/>
    <mergeCell ref="A31:A33"/>
    <mergeCell ref="B31:B33"/>
    <mergeCell ref="C31:C33"/>
    <mergeCell ref="A22:A24"/>
    <mergeCell ref="B22:B24"/>
    <mergeCell ref="C22:C24"/>
    <mergeCell ref="A25:A27"/>
    <mergeCell ref="B25:B27"/>
    <mergeCell ref="C25:C27"/>
    <mergeCell ref="A16:A18"/>
    <mergeCell ref="B16:B18"/>
    <mergeCell ref="C16:C18"/>
    <mergeCell ref="A19:A21"/>
    <mergeCell ref="B19:B21"/>
    <mergeCell ref="C19:C21"/>
    <mergeCell ref="A5:H5"/>
    <mergeCell ref="A10:A12"/>
    <mergeCell ref="B10:B12"/>
    <mergeCell ref="C10:C12"/>
    <mergeCell ref="A13:A15"/>
    <mergeCell ref="B13:B15"/>
    <mergeCell ref="C13:C15"/>
  </mergeCells>
  <printOptions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G46" sqref="A1:G46"/>
    </sheetView>
  </sheetViews>
  <sheetFormatPr defaultColWidth="8.796875" defaultRowHeight="14.25"/>
  <cols>
    <col min="1" max="1" width="7.59765625" style="623" customWidth="1"/>
    <col min="2" max="2" width="7.09765625" style="592" customWidth="1"/>
    <col min="3" max="3" width="37.3984375" style="593" customWidth="1"/>
    <col min="4" max="4" width="12.5" style="593" customWidth="1"/>
    <col min="5" max="5" width="10.8984375" style="593" customWidth="1"/>
    <col min="6" max="6" width="10.5" style="593" customWidth="1"/>
    <col min="7" max="7" width="12.5" style="593" customWidth="1"/>
    <col min="8" max="16384" width="9" style="593" customWidth="1"/>
  </cols>
  <sheetData>
    <row r="1" spans="1:7" ht="12.75">
      <c r="A1" s="591"/>
      <c r="D1" s="594"/>
      <c r="E1" s="595" t="s">
        <v>723</v>
      </c>
      <c r="F1" s="594"/>
      <c r="G1" s="594"/>
    </row>
    <row r="2" spans="1:7" ht="12.75">
      <c r="A2" s="591"/>
      <c r="D2" s="594"/>
      <c r="E2" s="595" t="s">
        <v>694</v>
      </c>
      <c r="F2" s="594"/>
      <c r="G2" s="594"/>
    </row>
    <row r="3" spans="1:7" ht="12.75">
      <c r="A3" s="591"/>
      <c r="D3" s="594"/>
      <c r="E3" s="595" t="s">
        <v>695</v>
      </c>
      <c r="F3" s="594"/>
      <c r="G3" s="594"/>
    </row>
    <row r="4" spans="1:7" ht="3" customHeight="1">
      <c r="A4" s="591"/>
      <c r="D4" s="594"/>
      <c r="E4" s="594"/>
      <c r="F4" s="594"/>
      <c r="G4" s="594"/>
    </row>
    <row r="5" spans="1:7" ht="48.75" customHeight="1">
      <c r="A5" s="980" t="s">
        <v>696</v>
      </c>
      <c r="B5" s="980"/>
      <c r="C5" s="980"/>
      <c r="D5" s="980"/>
      <c r="E5" s="980"/>
      <c r="F5" s="980"/>
      <c r="G5" s="980"/>
    </row>
    <row r="6" spans="1:7" ht="9.75" customHeight="1">
      <c r="A6" s="591"/>
      <c r="D6" s="594"/>
      <c r="E6" s="594"/>
      <c r="F6" s="594"/>
      <c r="G6" s="596" t="s">
        <v>0</v>
      </c>
    </row>
    <row r="7" spans="1:7" ht="34.5" customHeight="1">
      <c r="A7" s="597" t="s">
        <v>697</v>
      </c>
      <c r="B7" s="597" t="s">
        <v>2</v>
      </c>
      <c r="C7" s="249" t="s">
        <v>3</v>
      </c>
      <c r="D7" s="598" t="s">
        <v>698</v>
      </c>
      <c r="E7" s="598" t="s">
        <v>699</v>
      </c>
      <c r="F7" s="598" t="s">
        <v>6</v>
      </c>
      <c r="G7" s="598" t="s">
        <v>700</v>
      </c>
    </row>
    <row r="8" spans="1:7" ht="12.75">
      <c r="A8" s="599" t="s">
        <v>10</v>
      </c>
      <c r="B8" s="600" t="s">
        <v>11</v>
      </c>
      <c r="C8" s="601" t="s">
        <v>12</v>
      </c>
      <c r="D8" s="602" t="s">
        <v>13</v>
      </c>
      <c r="E8" s="602" t="s">
        <v>14</v>
      </c>
      <c r="F8" s="602" t="s">
        <v>15</v>
      </c>
      <c r="G8" s="602" t="s">
        <v>16</v>
      </c>
    </row>
    <row r="9" spans="1:7" s="607" customFormat="1" ht="16.5" customHeight="1">
      <c r="A9" s="603"/>
      <c r="B9" s="603"/>
      <c r="C9" s="604" t="s">
        <v>701</v>
      </c>
      <c r="D9" s="605">
        <v>849420465</v>
      </c>
      <c r="E9" s="606">
        <f>E10+E14+E18+E21+E28+E32+E39+E42</f>
        <v>7429683</v>
      </c>
      <c r="F9" s="606">
        <f>F10+F14+F18+F21+F28+F32+F39+F42</f>
        <v>3357328</v>
      </c>
      <c r="G9" s="606">
        <f>D9+E9-F9</f>
        <v>853492820</v>
      </c>
    </row>
    <row r="10" spans="1:7" s="248" customFormat="1" ht="15" customHeight="1">
      <c r="A10" s="608">
        <v>600</v>
      </c>
      <c r="B10" s="608" t="s">
        <v>403</v>
      </c>
      <c r="C10" s="609" t="s">
        <v>28</v>
      </c>
      <c r="D10" s="610">
        <v>76323699</v>
      </c>
      <c r="E10" s="610">
        <f>E11</f>
        <v>123132</v>
      </c>
      <c r="F10" s="610">
        <f>F11</f>
        <v>0</v>
      </c>
      <c r="G10" s="610">
        <f>D10+E10-F10</f>
        <v>76446831</v>
      </c>
    </row>
    <row r="11" spans="1:7" s="248" customFormat="1" ht="18.75" customHeight="1">
      <c r="A11" s="611">
        <v>60013</v>
      </c>
      <c r="B11" s="611" t="s">
        <v>403</v>
      </c>
      <c r="C11" s="612" t="s">
        <v>306</v>
      </c>
      <c r="D11" s="613">
        <v>20334260</v>
      </c>
      <c r="E11" s="613">
        <f>E12+E13</f>
        <v>123132</v>
      </c>
      <c r="F11" s="613">
        <v>0</v>
      </c>
      <c r="G11" s="613">
        <f aca="true" t="shared" si="0" ref="G11:G46">D11+E11-F11</f>
        <v>20457392</v>
      </c>
    </row>
    <row r="12" spans="1:7" ht="54" customHeight="1">
      <c r="A12" s="614" t="s">
        <v>403</v>
      </c>
      <c r="B12" s="614">
        <v>6619</v>
      </c>
      <c r="C12" s="615" t="s">
        <v>702</v>
      </c>
      <c r="D12" s="616">
        <v>0</v>
      </c>
      <c r="E12" s="616">
        <v>108746</v>
      </c>
      <c r="F12" s="616">
        <v>0</v>
      </c>
      <c r="G12" s="616">
        <f t="shared" si="0"/>
        <v>108746</v>
      </c>
    </row>
    <row r="13" spans="1:7" ht="54" customHeight="1">
      <c r="A13" s="614" t="s">
        <v>403</v>
      </c>
      <c r="B13" s="614">
        <v>6629</v>
      </c>
      <c r="C13" s="615" t="s">
        <v>703</v>
      </c>
      <c r="D13" s="616">
        <v>0</v>
      </c>
      <c r="E13" s="616">
        <v>14386</v>
      </c>
      <c r="F13" s="616">
        <v>0</v>
      </c>
      <c r="G13" s="616">
        <f t="shared" si="0"/>
        <v>14386</v>
      </c>
    </row>
    <row r="14" spans="1:7" s="248" customFormat="1" ht="15.75" customHeight="1">
      <c r="A14" s="608">
        <v>710</v>
      </c>
      <c r="B14" s="608" t="s">
        <v>403</v>
      </c>
      <c r="C14" s="609" t="s">
        <v>704</v>
      </c>
      <c r="D14" s="610">
        <v>162000</v>
      </c>
      <c r="E14" s="610">
        <f>E15</f>
        <v>2910</v>
      </c>
      <c r="F14" s="610">
        <f>F15</f>
        <v>2910</v>
      </c>
      <c r="G14" s="610">
        <f t="shared" si="0"/>
        <v>162000</v>
      </c>
    </row>
    <row r="15" spans="1:7" s="248" customFormat="1" ht="15.75" customHeight="1">
      <c r="A15" s="611">
        <v>71003</v>
      </c>
      <c r="B15" s="611" t="s">
        <v>403</v>
      </c>
      <c r="C15" s="612" t="s">
        <v>313</v>
      </c>
      <c r="D15" s="613">
        <v>3000</v>
      </c>
      <c r="E15" s="613">
        <f>E16+E17</f>
        <v>2910</v>
      </c>
      <c r="F15" s="613">
        <f>F16+F17</f>
        <v>2910</v>
      </c>
      <c r="G15" s="613">
        <f t="shared" si="0"/>
        <v>3000</v>
      </c>
    </row>
    <row r="16" spans="1:7" ht="15.75" customHeight="1">
      <c r="A16" s="614" t="s">
        <v>403</v>
      </c>
      <c r="B16" s="617" t="s">
        <v>705</v>
      </c>
      <c r="C16" s="615" t="s">
        <v>706</v>
      </c>
      <c r="D16" s="616">
        <v>0</v>
      </c>
      <c r="E16" s="616">
        <v>2910</v>
      </c>
      <c r="F16" s="616">
        <v>0</v>
      </c>
      <c r="G16" s="616">
        <f t="shared" si="0"/>
        <v>2910</v>
      </c>
    </row>
    <row r="17" spans="1:7" ht="15.75" customHeight="1">
      <c r="A17" s="614" t="s">
        <v>403</v>
      </c>
      <c r="B17" s="617" t="s">
        <v>707</v>
      </c>
      <c r="C17" s="615" t="s">
        <v>708</v>
      </c>
      <c r="D17" s="616">
        <v>3000</v>
      </c>
      <c r="E17" s="616">
        <v>0</v>
      </c>
      <c r="F17" s="616">
        <v>2910</v>
      </c>
      <c r="G17" s="616">
        <f t="shared" si="0"/>
        <v>90</v>
      </c>
    </row>
    <row r="18" spans="1:7" s="248" customFormat="1" ht="15" customHeight="1">
      <c r="A18" s="608">
        <v>720</v>
      </c>
      <c r="B18" s="608" t="s">
        <v>403</v>
      </c>
      <c r="C18" s="609" t="s">
        <v>318</v>
      </c>
      <c r="D18" s="610">
        <v>660740</v>
      </c>
      <c r="E18" s="610">
        <f>E19</f>
        <v>94789</v>
      </c>
      <c r="F18" s="610">
        <v>0</v>
      </c>
      <c r="G18" s="610">
        <f t="shared" si="0"/>
        <v>755529</v>
      </c>
    </row>
    <row r="19" spans="1:7" s="248" customFormat="1" ht="15" customHeight="1">
      <c r="A19" s="611">
        <v>72095</v>
      </c>
      <c r="B19" s="611" t="s">
        <v>403</v>
      </c>
      <c r="C19" s="612" t="s">
        <v>210</v>
      </c>
      <c r="D19" s="613">
        <v>660740</v>
      </c>
      <c r="E19" s="613">
        <f>E20</f>
        <v>94789</v>
      </c>
      <c r="F19" s="613">
        <v>0</v>
      </c>
      <c r="G19" s="613">
        <f t="shared" si="0"/>
        <v>755529</v>
      </c>
    </row>
    <row r="20" spans="1:7" ht="42" customHeight="1">
      <c r="A20" s="614" t="s">
        <v>403</v>
      </c>
      <c r="B20" s="614">
        <v>2310</v>
      </c>
      <c r="C20" s="615" t="s">
        <v>709</v>
      </c>
      <c r="D20" s="616">
        <v>660740</v>
      </c>
      <c r="E20" s="616">
        <v>94789</v>
      </c>
      <c r="F20" s="616">
        <v>0</v>
      </c>
      <c r="G20" s="616">
        <f t="shared" si="0"/>
        <v>755529</v>
      </c>
    </row>
    <row r="21" spans="1:7" s="248" customFormat="1" ht="15.75" customHeight="1">
      <c r="A21" s="608">
        <v>758</v>
      </c>
      <c r="B21" s="608" t="s">
        <v>403</v>
      </c>
      <c r="C21" s="609" t="s">
        <v>338</v>
      </c>
      <c r="D21" s="610">
        <v>431186829</v>
      </c>
      <c r="E21" s="610">
        <f>E22+E24</f>
        <v>3221235</v>
      </c>
      <c r="F21" s="610">
        <f>F22+F24</f>
        <v>2213242</v>
      </c>
      <c r="G21" s="610">
        <f t="shared" si="0"/>
        <v>432194822</v>
      </c>
    </row>
    <row r="22" spans="1:7" s="248" customFormat="1" ht="30" customHeight="1">
      <c r="A22" s="611">
        <v>75801</v>
      </c>
      <c r="B22" s="611" t="s">
        <v>403</v>
      </c>
      <c r="C22" s="612" t="s">
        <v>710</v>
      </c>
      <c r="D22" s="613">
        <v>57402408</v>
      </c>
      <c r="E22" s="613">
        <f>E23</f>
        <v>0</v>
      </c>
      <c r="F22" s="613">
        <v>1016150</v>
      </c>
      <c r="G22" s="613">
        <f t="shared" si="0"/>
        <v>56386258</v>
      </c>
    </row>
    <row r="23" spans="1:7" ht="18" customHeight="1">
      <c r="A23" s="614" t="s">
        <v>403</v>
      </c>
      <c r="B23" s="614">
        <v>2920</v>
      </c>
      <c r="C23" s="615" t="s">
        <v>711</v>
      </c>
      <c r="D23" s="616">
        <v>57402408</v>
      </c>
      <c r="E23" s="616">
        <v>0</v>
      </c>
      <c r="F23" s="616">
        <v>1016150</v>
      </c>
      <c r="G23" s="616">
        <f t="shared" si="0"/>
        <v>56386258</v>
      </c>
    </row>
    <row r="24" spans="1:7" s="248" customFormat="1" ht="44.25" customHeight="1">
      <c r="A24" s="611">
        <v>75863</v>
      </c>
      <c r="B24" s="611" t="s">
        <v>403</v>
      </c>
      <c r="C24" s="612" t="s">
        <v>712</v>
      </c>
      <c r="D24" s="613">
        <v>169461295</v>
      </c>
      <c r="E24" s="613">
        <f>SUM(E25:E27)</f>
        <v>3221235</v>
      </c>
      <c r="F24" s="613">
        <f>SUM(F25:F27)</f>
        <v>1197092</v>
      </c>
      <c r="G24" s="613">
        <f t="shared" si="0"/>
        <v>171485438</v>
      </c>
    </row>
    <row r="25" spans="1:7" ht="82.5" customHeight="1">
      <c r="A25" s="614" t="s">
        <v>403</v>
      </c>
      <c r="B25" s="614">
        <v>2007</v>
      </c>
      <c r="C25" s="615" t="s">
        <v>713</v>
      </c>
      <c r="D25" s="616">
        <v>5276065</v>
      </c>
      <c r="E25" s="616">
        <v>0</v>
      </c>
      <c r="F25" s="616">
        <v>1190395</v>
      </c>
      <c r="G25" s="616">
        <f t="shared" si="0"/>
        <v>4085670</v>
      </c>
    </row>
    <row r="26" spans="1:7" ht="82.5" customHeight="1">
      <c r="A26" s="614" t="s">
        <v>403</v>
      </c>
      <c r="B26" s="614">
        <v>2057</v>
      </c>
      <c r="C26" s="615" t="s">
        <v>714</v>
      </c>
      <c r="D26" s="616">
        <v>14346828</v>
      </c>
      <c r="E26" s="616">
        <v>3221235</v>
      </c>
      <c r="F26" s="616">
        <v>0</v>
      </c>
      <c r="G26" s="616">
        <f t="shared" si="0"/>
        <v>17568063</v>
      </c>
    </row>
    <row r="27" spans="1:7" ht="82.5" customHeight="1">
      <c r="A27" s="614" t="s">
        <v>403</v>
      </c>
      <c r="B27" s="614">
        <v>6257</v>
      </c>
      <c r="C27" s="615" t="s">
        <v>714</v>
      </c>
      <c r="D27" s="616">
        <v>131414076</v>
      </c>
      <c r="E27" s="616">
        <v>0</v>
      </c>
      <c r="F27" s="616">
        <v>6697</v>
      </c>
      <c r="G27" s="616">
        <f t="shared" si="0"/>
        <v>131407379</v>
      </c>
    </row>
    <row r="28" spans="1:7" s="248" customFormat="1" ht="30.75" customHeight="1">
      <c r="A28" s="608">
        <v>853</v>
      </c>
      <c r="B28" s="608" t="s">
        <v>403</v>
      </c>
      <c r="C28" s="609" t="s">
        <v>47</v>
      </c>
      <c r="D28" s="610">
        <v>4307593</v>
      </c>
      <c r="E28" s="610">
        <f>E29</f>
        <v>1748685</v>
      </c>
      <c r="F28" s="610">
        <v>0</v>
      </c>
      <c r="G28" s="610">
        <f t="shared" si="0"/>
        <v>6056278</v>
      </c>
    </row>
    <row r="29" spans="1:7" s="248" customFormat="1" ht="30.75" customHeight="1">
      <c r="A29" s="611">
        <v>85324</v>
      </c>
      <c r="B29" s="611" t="s">
        <v>403</v>
      </c>
      <c r="C29" s="612" t="s">
        <v>377</v>
      </c>
      <c r="D29" s="613">
        <v>243379</v>
      </c>
      <c r="E29" s="613">
        <f>E30+E31</f>
        <v>1748685</v>
      </c>
      <c r="F29" s="613">
        <v>0</v>
      </c>
      <c r="G29" s="613">
        <f t="shared" si="0"/>
        <v>1992064</v>
      </c>
    </row>
    <row r="30" spans="1:7" ht="67.5" customHeight="1">
      <c r="A30" s="614" t="s">
        <v>403</v>
      </c>
      <c r="B30" s="617" t="s">
        <v>715</v>
      </c>
      <c r="C30" s="615" t="s">
        <v>716</v>
      </c>
      <c r="D30" s="616">
        <v>0</v>
      </c>
      <c r="E30" s="616">
        <v>748685</v>
      </c>
      <c r="F30" s="616">
        <v>0</v>
      </c>
      <c r="G30" s="616">
        <f t="shared" si="0"/>
        <v>748685</v>
      </c>
    </row>
    <row r="31" spans="1:7" ht="30" customHeight="1">
      <c r="A31" s="618" t="s">
        <v>403</v>
      </c>
      <c r="B31" s="618">
        <v>6690</v>
      </c>
      <c r="C31" s="619" t="s">
        <v>717</v>
      </c>
      <c r="D31" s="620">
        <v>0</v>
      </c>
      <c r="E31" s="620">
        <v>1000000</v>
      </c>
      <c r="F31" s="620">
        <v>0</v>
      </c>
      <c r="G31" s="620">
        <f t="shared" si="0"/>
        <v>1000000</v>
      </c>
    </row>
    <row r="32" spans="1:7" s="248" customFormat="1" ht="16.5" customHeight="1">
      <c r="A32" s="608">
        <v>855</v>
      </c>
      <c r="B32" s="608" t="s">
        <v>403</v>
      </c>
      <c r="C32" s="609" t="s">
        <v>236</v>
      </c>
      <c r="D32" s="610">
        <v>1217000</v>
      </c>
      <c r="E32" s="610">
        <f>E33+E35+E37</f>
        <v>2101000</v>
      </c>
      <c r="F32" s="610">
        <v>0</v>
      </c>
      <c r="G32" s="610">
        <f t="shared" si="0"/>
        <v>3318000</v>
      </c>
    </row>
    <row r="33" spans="1:7" s="248" customFormat="1" ht="16.5" customHeight="1">
      <c r="A33" s="611">
        <v>85501</v>
      </c>
      <c r="B33" s="611" t="s">
        <v>403</v>
      </c>
      <c r="C33" s="612" t="s">
        <v>238</v>
      </c>
      <c r="D33" s="613">
        <v>187000</v>
      </c>
      <c r="E33" s="613">
        <v>343000</v>
      </c>
      <c r="F33" s="613">
        <v>0</v>
      </c>
      <c r="G33" s="613">
        <f t="shared" si="0"/>
        <v>530000</v>
      </c>
    </row>
    <row r="34" spans="1:7" ht="72" customHeight="1">
      <c r="A34" s="614" t="s">
        <v>403</v>
      </c>
      <c r="B34" s="614">
        <v>2380</v>
      </c>
      <c r="C34" s="615" t="s">
        <v>718</v>
      </c>
      <c r="D34" s="616">
        <v>187000</v>
      </c>
      <c r="E34" s="616">
        <v>343000</v>
      </c>
      <c r="F34" s="616">
        <v>0</v>
      </c>
      <c r="G34" s="616">
        <f t="shared" si="0"/>
        <v>530000</v>
      </c>
    </row>
    <row r="35" spans="1:7" s="248" customFormat="1" ht="51" customHeight="1">
      <c r="A35" s="611">
        <v>85502</v>
      </c>
      <c r="B35" s="611" t="s">
        <v>403</v>
      </c>
      <c r="C35" s="612" t="s">
        <v>241</v>
      </c>
      <c r="D35" s="613">
        <v>190000</v>
      </c>
      <c r="E35" s="613">
        <v>918000</v>
      </c>
      <c r="F35" s="613">
        <v>0</v>
      </c>
      <c r="G35" s="613">
        <f t="shared" si="0"/>
        <v>1108000</v>
      </c>
    </row>
    <row r="36" spans="1:7" ht="55.5" customHeight="1">
      <c r="A36" s="614" t="s">
        <v>403</v>
      </c>
      <c r="B36" s="614">
        <v>2210</v>
      </c>
      <c r="C36" s="615" t="s">
        <v>719</v>
      </c>
      <c r="D36" s="616">
        <v>190000</v>
      </c>
      <c r="E36" s="616">
        <v>918000</v>
      </c>
      <c r="F36" s="616">
        <v>0</v>
      </c>
      <c r="G36" s="616">
        <f t="shared" si="0"/>
        <v>1108000</v>
      </c>
    </row>
    <row r="37" spans="1:7" s="248" customFormat="1" ht="15.75" customHeight="1">
      <c r="A37" s="611">
        <v>85509</v>
      </c>
      <c r="B37" s="611" t="s">
        <v>403</v>
      </c>
      <c r="C37" s="612" t="s">
        <v>244</v>
      </c>
      <c r="D37" s="613">
        <v>840000</v>
      </c>
      <c r="E37" s="613">
        <v>840000</v>
      </c>
      <c r="F37" s="613">
        <v>0</v>
      </c>
      <c r="G37" s="613">
        <f t="shared" si="0"/>
        <v>1680000</v>
      </c>
    </row>
    <row r="38" spans="1:7" ht="56.25" customHeight="1">
      <c r="A38" s="614" t="s">
        <v>403</v>
      </c>
      <c r="B38" s="614">
        <v>2210</v>
      </c>
      <c r="C38" s="615" t="s">
        <v>719</v>
      </c>
      <c r="D38" s="616">
        <v>840000</v>
      </c>
      <c r="E38" s="616">
        <v>840000</v>
      </c>
      <c r="F38" s="616">
        <v>0</v>
      </c>
      <c r="G38" s="616">
        <f t="shared" si="0"/>
        <v>1680000</v>
      </c>
    </row>
    <row r="39" spans="1:7" s="248" customFormat="1" ht="30" customHeight="1">
      <c r="A39" s="608">
        <v>921</v>
      </c>
      <c r="B39" s="608" t="s">
        <v>403</v>
      </c>
      <c r="C39" s="609" t="s">
        <v>49</v>
      </c>
      <c r="D39" s="610">
        <v>3143130</v>
      </c>
      <c r="E39" s="610">
        <f>E40</f>
        <v>137932</v>
      </c>
      <c r="F39" s="610">
        <v>0</v>
      </c>
      <c r="G39" s="610">
        <f t="shared" si="0"/>
        <v>3281062</v>
      </c>
    </row>
    <row r="40" spans="1:7" s="248" customFormat="1" ht="17.25" customHeight="1">
      <c r="A40" s="611">
        <v>92116</v>
      </c>
      <c r="B40" s="611" t="s">
        <v>403</v>
      </c>
      <c r="C40" s="612" t="s">
        <v>395</v>
      </c>
      <c r="D40" s="613">
        <v>3078000</v>
      </c>
      <c r="E40" s="613">
        <f>E41</f>
        <v>137932</v>
      </c>
      <c r="F40" s="613">
        <v>0</v>
      </c>
      <c r="G40" s="613">
        <f t="shared" si="0"/>
        <v>3215932</v>
      </c>
    </row>
    <row r="41" spans="1:7" ht="57.75" customHeight="1">
      <c r="A41" s="614" t="s">
        <v>403</v>
      </c>
      <c r="B41" s="614">
        <v>6300</v>
      </c>
      <c r="C41" s="615" t="s">
        <v>720</v>
      </c>
      <c r="D41" s="616">
        <v>0</v>
      </c>
      <c r="E41" s="616">
        <v>137932</v>
      </c>
      <c r="F41" s="616">
        <v>0</v>
      </c>
      <c r="G41" s="616">
        <f t="shared" si="0"/>
        <v>137932</v>
      </c>
    </row>
    <row r="42" spans="1:7" s="248" customFormat="1" ht="45.75" customHeight="1">
      <c r="A42" s="608">
        <v>925</v>
      </c>
      <c r="B42" s="608" t="s">
        <v>403</v>
      </c>
      <c r="C42" s="609" t="s">
        <v>50</v>
      </c>
      <c r="D42" s="610">
        <v>5563503</v>
      </c>
      <c r="E42" s="610">
        <v>0</v>
      </c>
      <c r="F42" s="610">
        <f>F43</f>
        <v>1141176</v>
      </c>
      <c r="G42" s="610">
        <f t="shared" si="0"/>
        <v>4422327</v>
      </c>
    </row>
    <row r="43" spans="1:7" s="248" customFormat="1" ht="20.25" customHeight="1">
      <c r="A43" s="611">
        <v>92502</v>
      </c>
      <c r="B43" s="611" t="s">
        <v>403</v>
      </c>
      <c r="C43" s="612" t="s">
        <v>398</v>
      </c>
      <c r="D43" s="613">
        <v>5563503</v>
      </c>
      <c r="E43" s="613">
        <v>0</v>
      </c>
      <c r="F43" s="613">
        <f>F44+F45+F46</f>
        <v>1141176</v>
      </c>
      <c r="G43" s="613">
        <f t="shared" si="0"/>
        <v>4422327</v>
      </c>
    </row>
    <row r="44" spans="1:7" ht="57.75" customHeight="1">
      <c r="A44" s="614" t="s">
        <v>403</v>
      </c>
      <c r="B44" s="614">
        <v>2460</v>
      </c>
      <c r="C44" s="615" t="s">
        <v>721</v>
      </c>
      <c r="D44" s="616">
        <v>2436000</v>
      </c>
      <c r="E44" s="616">
        <v>0</v>
      </c>
      <c r="F44" s="616">
        <v>1036000</v>
      </c>
      <c r="G44" s="616">
        <f t="shared" si="0"/>
        <v>1400000</v>
      </c>
    </row>
    <row r="45" spans="1:7" ht="57.75" customHeight="1">
      <c r="A45" s="614" t="s">
        <v>403</v>
      </c>
      <c r="B45" s="614">
        <v>2469</v>
      </c>
      <c r="C45" s="615" t="s">
        <v>721</v>
      </c>
      <c r="D45" s="616">
        <v>161118</v>
      </c>
      <c r="E45" s="616">
        <v>0</v>
      </c>
      <c r="F45" s="616">
        <v>8398</v>
      </c>
      <c r="G45" s="616">
        <f t="shared" si="0"/>
        <v>152720</v>
      </c>
    </row>
    <row r="46" spans="1:7" ht="71.25" customHeight="1">
      <c r="A46" s="618" t="s">
        <v>403</v>
      </c>
      <c r="B46" s="618">
        <v>6289</v>
      </c>
      <c r="C46" s="619" t="s">
        <v>722</v>
      </c>
      <c r="D46" s="620">
        <v>315278</v>
      </c>
      <c r="E46" s="620">
        <v>0</v>
      </c>
      <c r="F46" s="620">
        <v>96778</v>
      </c>
      <c r="G46" s="620">
        <f t="shared" si="0"/>
        <v>218500</v>
      </c>
    </row>
    <row r="47" spans="1:7" ht="12.75">
      <c r="A47" s="621"/>
      <c r="C47" s="622"/>
      <c r="D47" s="622"/>
      <c r="E47" s="622"/>
      <c r="F47" s="622"/>
      <c r="G47" s="622"/>
    </row>
  </sheetData>
  <sheetProtection password="C25B" sheet="1"/>
  <mergeCells count="1">
    <mergeCell ref="A5:G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0"/>
  <sheetViews>
    <sheetView view="pageBreakPreview" zoomScaleSheetLayoutView="100" zoomScalePageLayoutView="0" workbookViewId="0" topLeftCell="A454">
      <selection activeCell="A1" sqref="A1:P520"/>
    </sheetView>
  </sheetViews>
  <sheetFormatPr defaultColWidth="8.796875" defaultRowHeight="14.25"/>
  <cols>
    <col min="1" max="1" width="7" style="1" customWidth="1"/>
    <col min="2" max="2" width="31.5" style="2" customWidth="1"/>
    <col min="3" max="3" width="3" style="1" customWidth="1"/>
    <col min="4" max="4" width="12.8984375" style="3" customWidth="1"/>
    <col min="5" max="5" width="12.3984375" style="2" customWidth="1"/>
    <col min="6" max="6" width="12.09765625" style="2" customWidth="1"/>
    <col min="7" max="7" width="12.19921875" style="2" customWidth="1"/>
    <col min="8" max="8" width="11.8984375" style="2" customWidth="1"/>
    <col min="9" max="9" width="11.3984375" style="2" customWidth="1"/>
    <col min="10" max="10" width="11.19921875" style="2" customWidth="1"/>
    <col min="11" max="11" width="13.3984375" style="2" customWidth="1"/>
    <col min="12" max="12" width="11.19921875" style="2" customWidth="1"/>
    <col min="13" max="13" width="11.69921875" style="2" customWidth="1"/>
    <col min="14" max="14" width="12.3984375" style="2" customWidth="1"/>
    <col min="15" max="15" width="13.09765625" style="2" customWidth="1"/>
    <col min="16" max="16" width="10.8984375" style="2" customWidth="1"/>
    <col min="17" max="16384" width="9" style="2" customWidth="1"/>
  </cols>
  <sheetData>
    <row r="1" spans="13:14" ht="12.75">
      <c r="M1" s="6" t="s">
        <v>434</v>
      </c>
      <c r="N1" s="6"/>
    </row>
    <row r="2" spans="13:14" ht="12.75">
      <c r="M2" s="4" t="s">
        <v>437</v>
      </c>
      <c r="N2" s="4"/>
    </row>
    <row r="3" spans="4:15" ht="12.75">
      <c r="D3" s="5"/>
      <c r="E3" s="7"/>
      <c r="F3" s="7"/>
      <c r="G3" s="7"/>
      <c r="H3" s="7"/>
      <c r="I3" s="7"/>
      <c r="J3" s="7"/>
      <c r="K3" s="7"/>
      <c r="L3" s="7"/>
      <c r="M3" s="4" t="s">
        <v>438</v>
      </c>
      <c r="N3" s="4"/>
      <c r="O3" s="7"/>
    </row>
    <row r="4" spans="4:15" ht="3" customHeight="1"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41.25" customHeight="1">
      <c r="A5" s="986" t="s">
        <v>66</v>
      </c>
      <c r="B5" s="986"/>
      <c r="C5" s="986"/>
      <c r="D5" s="986"/>
      <c r="E5" s="986"/>
      <c r="F5" s="986"/>
      <c r="G5" s="986"/>
      <c r="H5" s="986"/>
      <c r="I5" s="986"/>
      <c r="J5" s="986"/>
      <c r="K5" s="986"/>
      <c r="L5" s="986"/>
      <c r="M5" s="986"/>
      <c r="N5" s="986"/>
      <c r="O5" s="986"/>
      <c r="P5" s="986"/>
    </row>
    <row r="6" ht="23.25" customHeight="1" thickBot="1">
      <c r="O6" s="417" t="s">
        <v>0</v>
      </c>
    </row>
    <row r="7" spans="1:16" s="248" customFormat="1" ht="12.75">
      <c r="A7" s="987" t="s">
        <v>266</v>
      </c>
      <c r="B7" s="990" t="s">
        <v>267</v>
      </c>
      <c r="C7" s="991" t="s">
        <v>18</v>
      </c>
      <c r="D7" s="994" t="s">
        <v>186</v>
      </c>
      <c r="E7" s="997" t="s">
        <v>268</v>
      </c>
      <c r="F7" s="998"/>
      <c r="G7" s="998"/>
      <c r="H7" s="998"/>
      <c r="I7" s="998"/>
      <c r="J7" s="998"/>
      <c r="K7" s="998"/>
      <c r="L7" s="998"/>
      <c r="M7" s="998"/>
      <c r="N7" s="998"/>
      <c r="O7" s="998"/>
      <c r="P7" s="999"/>
    </row>
    <row r="8" spans="1:16" s="248" customFormat="1" ht="14.25" customHeight="1">
      <c r="A8" s="988"/>
      <c r="B8" s="981"/>
      <c r="C8" s="992"/>
      <c r="D8" s="995"/>
      <c r="E8" s="981" t="s">
        <v>203</v>
      </c>
      <c r="F8" s="1000" t="s">
        <v>187</v>
      </c>
      <c r="G8" s="1000"/>
      <c r="H8" s="1000"/>
      <c r="I8" s="1000"/>
      <c r="J8" s="1000"/>
      <c r="K8" s="1000"/>
      <c r="L8" s="1000"/>
      <c r="M8" s="981" t="s">
        <v>269</v>
      </c>
      <c r="N8" s="983" t="s">
        <v>187</v>
      </c>
      <c r="O8" s="984"/>
      <c r="P8" s="985"/>
    </row>
    <row r="9" spans="1:16" s="248" customFormat="1" ht="14.25" customHeight="1">
      <c r="A9" s="988"/>
      <c r="B9" s="981"/>
      <c r="C9" s="992"/>
      <c r="D9" s="995"/>
      <c r="E9" s="981"/>
      <c r="F9" s="981" t="s">
        <v>270</v>
      </c>
      <c r="G9" s="1000" t="s">
        <v>187</v>
      </c>
      <c r="H9" s="1000"/>
      <c r="I9" s="981" t="s">
        <v>271</v>
      </c>
      <c r="J9" s="981" t="s">
        <v>272</v>
      </c>
      <c r="K9" s="981" t="s">
        <v>273</v>
      </c>
      <c r="L9" s="981" t="s">
        <v>274</v>
      </c>
      <c r="M9" s="981"/>
      <c r="N9" s="981" t="s">
        <v>275</v>
      </c>
      <c r="O9" s="250" t="s">
        <v>187</v>
      </c>
      <c r="P9" s="1001" t="s">
        <v>276</v>
      </c>
    </row>
    <row r="10" spans="1:16" s="248" customFormat="1" ht="76.5" customHeight="1" thickBot="1">
      <c r="A10" s="989"/>
      <c r="B10" s="982"/>
      <c r="C10" s="993"/>
      <c r="D10" s="996"/>
      <c r="E10" s="982"/>
      <c r="F10" s="982"/>
      <c r="G10" s="251" t="s">
        <v>199</v>
      </c>
      <c r="H10" s="251" t="s">
        <v>277</v>
      </c>
      <c r="I10" s="982"/>
      <c r="J10" s="982"/>
      <c r="K10" s="982"/>
      <c r="L10" s="982"/>
      <c r="M10" s="982"/>
      <c r="N10" s="982"/>
      <c r="O10" s="252" t="s">
        <v>273</v>
      </c>
      <c r="P10" s="1002"/>
    </row>
    <row r="11" spans="1:16" s="257" customFormat="1" ht="15" customHeight="1" thickBot="1">
      <c r="A11" s="253">
        <v>1</v>
      </c>
      <c r="B11" s="254">
        <v>2</v>
      </c>
      <c r="C11" s="254"/>
      <c r="D11" s="255">
        <v>3</v>
      </c>
      <c r="E11" s="254">
        <v>4</v>
      </c>
      <c r="F11" s="254">
        <v>5</v>
      </c>
      <c r="G11" s="254">
        <v>6</v>
      </c>
      <c r="H11" s="254">
        <v>7</v>
      </c>
      <c r="I11" s="254">
        <v>8</v>
      </c>
      <c r="J11" s="254">
        <v>9</v>
      </c>
      <c r="K11" s="254">
        <v>10</v>
      </c>
      <c r="L11" s="254">
        <v>11</v>
      </c>
      <c r="M11" s="254">
        <v>12</v>
      </c>
      <c r="N11" s="254">
        <v>13</v>
      </c>
      <c r="O11" s="254">
        <v>14</v>
      </c>
      <c r="P11" s="256">
        <v>15</v>
      </c>
    </row>
    <row r="12" spans="1:16" s="261" customFormat="1" ht="5.25" customHeight="1" thickBot="1">
      <c r="A12" s="258"/>
      <c r="B12" s="259"/>
      <c r="C12" s="258"/>
      <c r="D12" s="260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</row>
    <row r="13" spans="1:17" s="266" customFormat="1" ht="15.75">
      <c r="A13" s="1003"/>
      <c r="B13" s="1006" t="s">
        <v>19</v>
      </c>
      <c r="C13" s="262" t="s">
        <v>20</v>
      </c>
      <c r="D13" s="263">
        <f aca="true" t="shared" si="0" ref="D13:P13">D17+D49+D57+D89+D117+D125+D133+D153+D161+D193+D201+D209+D221+D229+D289+D325+D345+D369+D421+D453+D493+D501+D73+D81+D405</f>
        <v>849420465</v>
      </c>
      <c r="E13" s="263">
        <f t="shared" si="0"/>
        <v>578870857</v>
      </c>
      <c r="F13" s="263">
        <f t="shared" si="0"/>
        <v>248744989</v>
      </c>
      <c r="G13" s="263">
        <f t="shared" si="0"/>
        <v>133355183</v>
      </c>
      <c r="H13" s="263">
        <f t="shared" si="0"/>
        <v>115389806</v>
      </c>
      <c r="I13" s="263">
        <f t="shared" si="0"/>
        <v>180407924</v>
      </c>
      <c r="J13" s="263">
        <f t="shared" si="0"/>
        <v>2694981</v>
      </c>
      <c r="K13" s="263">
        <f t="shared" si="0"/>
        <v>116564298</v>
      </c>
      <c r="L13" s="263">
        <f t="shared" si="0"/>
        <v>30458665</v>
      </c>
      <c r="M13" s="263">
        <f t="shared" si="0"/>
        <v>270549608</v>
      </c>
      <c r="N13" s="263">
        <f t="shared" si="0"/>
        <v>263146197</v>
      </c>
      <c r="O13" s="263">
        <f t="shared" si="0"/>
        <v>183223154</v>
      </c>
      <c r="P13" s="264">
        <f t="shared" si="0"/>
        <v>7403411</v>
      </c>
      <c r="Q13" s="265"/>
    </row>
    <row r="14" spans="1:17" s="266" customFormat="1" ht="15.75">
      <c r="A14" s="1004"/>
      <c r="B14" s="1007"/>
      <c r="C14" s="267" t="s">
        <v>21</v>
      </c>
      <c r="D14" s="268">
        <f aca="true" t="shared" si="1" ref="D14:P14">D18+D50+D58+D90+D118+D126+D134+D154+D162+D194+D202+D210+D222+D230+D290+D326+D346+D370+D422+D454+D494+D502+D74+D82+D406</f>
        <v>4072355</v>
      </c>
      <c r="E14" s="268">
        <f t="shared" si="1"/>
        <v>4119926</v>
      </c>
      <c r="F14" s="268">
        <f t="shared" si="1"/>
        <v>2002608</v>
      </c>
      <c r="G14" s="268">
        <f t="shared" si="1"/>
        <v>1817753</v>
      </c>
      <c r="H14" s="268">
        <f t="shared" si="1"/>
        <v>184855</v>
      </c>
      <c r="I14" s="268">
        <f t="shared" si="1"/>
        <v>0</v>
      </c>
      <c r="J14" s="268">
        <f t="shared" si="1"/>
        <v>1000</v>
      </c>
      <c r="K14" s="268">
        <f t="shared" si="1"/>
        <v>2116318</v>
      </c>
      <c r="L14" s="268">
        <f t="shared" si="1"/>
        <v>0</v>
      </c>
      <c r="M14" s="268">
        <f t="shared" si="1"/>
        <v>-47571</v>
      </c>
      <c r="N14" s="268">
        <f t="shared" si="1"/>
        <v>-47571</v>
      </c>
      <c r="O14" s="268">
        <f t="shared" si="1"/>
        <v>-18844</v>
      </c>
      <c r="P14" s="269">
        <f t="shared" si="1"/>
        <v>0</v>
      </c>
      <c r="Q14" s="265"/>
    </row>
    <row r="15" spans="1:17" s="266" customFormat="1" ht="16.5" thickBot="1">
      <c r="A15" s="1005"/>
      <c r="B15" s="1008"/>
      <c r="C15" s="270" t="s">
        <v>22</v>
      </c>
      <c r="D15" s="271">
        <f>D13+D14</f>
        <v>853492820</v>
      </c>
      <c r="E15" s="271">
        <f aca="true" t="shared" si="2" ref="E15:P15">E13+E14</f>
        <v>582990783</v>
      </c>
      <c r="F15" s="271">
        <f t="shared" si="2"/>
        <v>250747597</v>
      </c>
      <c r="G15" s="271">
        <f t="shared" si="2"/>
        <v>135172936</v>
      </c>
      <c r="H15" s="271">
        <f t="shared" si="2"/>
        <v>115574661</v>
      </c>
      <c r="I15" s="271">
        <f t="shared" si="2"/>
        <v>180407924</v>
      </c>
      <c r="J15" s="271">
        <f t="shared" si="2"/>
        <v>2695981</v>
      </c>
      <c r="K15" s="271">
        <f t="shared" si="2"/>
        <v>118680616</v>
      </c>
      <c r="L15" s="271">
        <f t="shared" si="2"/>
        <v>30458665</v>
      </c>
      <c r="M15" s="271">
        <f t="shared" si="2"/>
        <v>270502037</v>
      </c>
      <c r="N15" s="271">
        <f t="shared" si="2"/>
        <v>263098626</v>
      </c>
      <c r="O15" s="271">
        <f t="shared" si="2"/>
        <v>183204310</v>
      </c>
      <c r="P15" s="272">
        <f t="shared" si="2"/>
        <v>7403411</v>
      </c>
      <c r="Q15" s="265"/>
    </row>
    <row r="16" spans="1:17" s="261" customFormat="1" ht="5.25" customHeight="1" thickBot="1">
      <c r="A16" s="273"/>
      <c r="B16" s="274"/>
      <c r="C16" s="275"/>
      <c r="D16" s="276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8"/>
    </row>
    <row r="17" spans="1:17" s="284" customFormat="1" ht="14.25">
      <c r="A17" s="1009" t="s">
        <v>23</v>
      </c>
      <c r="B17" s="1012" t="s">
        <v>24</v>
      </c>
      <c r="C17" s="279" t="s">
        <v>20</v>
      </c>
      <c r="D17" s="280">
        <f>D21+D25+D29+D37+D45+D41+D33</f>
        <v>67369557</v>
      </c>
      <c r="E17" s="281">
        <f>E21+E25+E29+E37+E45+E41+E33</f>
        <v>20862995</v>
      </c>
      <c r="F17" s="281">
        <f aca="true" t="shared" si="3" ref="F17:P17">F21+F25+F29+F37+F45+F41+F33</f>
        <v>13938823</v>
      </c>
      <c r="G17" s="281">
        <f t="shared" si="3"/>
        <v>7132086</v>
      </c>
      <c r="H17" s="281">
        <f t="shared" si="3"/>
        <v>6806737</v>
      </c>
      <c r="I17" s="281">
        <f t="shared" si="3"/>
        <v>1140000</v>
      </c>
      <c r="J17" s="281">
        <f t="shared" si="3"/>
        <v>19100</v>
      </c>
      <c r="K17" s="281">
        <f t="shared" si="3"/>
        <v>5765072</v>
      </c>
      <c r="L17" s="281">
        <f t="shared" si="3"/>
        <v>0</v>
      </c>
      <c r="M17" s="281">
        <f t="shared" si="3"/>
        <v>46506562</v>
      </c>
      <c r="N17" s="281">
        <f t="shared" si="3"/>
        <v>46506562</v>
      </c>
      <c r="O17" s="281">
        <f t="shared" si="3"/>
        <v>38247262</v>
      </c>
      <c r="P17" s="282">
        <f t="shared" si="3"/>
        <v>0</v>
      </c>
      <c r="Q17" s="283"/>
    </row>
    <row r="18" spans="1:17" s="284" customFormat="1" ht="14.25">
      <c r="A18" s="1010"/>
      <c r="B18" s="1013"/>
      <c r="C18" s="286" t="s">
        <v>21</v>
      </c>
      <c r="D18" s="287">
        <f>D22+D26+D30+D38+D46+D42+D34</f>
        <v>59263</v>
      </c>
      <c r="E18" s="288">
        <f aca="true" t="shared" si="4" ref="E18:P19">E22+E26+E30+E38+E46+E42+E34</f>
        <v>0</v>
      </c>
      <c r="F18" s="288">
        <f t="shared" si="4"/>
        <v>0</v>
      </c>
      <c r="G18" s="288">
        <f t="shared" si="4"/>
        <v>0</v>
      </c>
      <c r="H18" s="288">
        <f t="shared" si="4"/>
        <v>0</v>
      </c>
      <c r="I18" s="288">
        <f t="shared" si="4"/>
        <v>0</v>
      </c>
      <c r="J18" s="288">
        <f t="shared" si="4"/>
        <v>0</v>
      </c>
      <c r="K18" s="288">
        <f t="shared" si="4"/>
        <v>0</v>
      </c>
      <c r="L18" s="288">
        <f t="shared" si="4"/>
        <v>0</v>
      </c>
      <c r="M18" s="288">
        <f t="shared" si="4"/>
        <v>59263</v>
      </c>
      <c r="N18" s="288">
        <f t="shared" si="4"/>
        <v>59263</v>
      </c>
      <c r="O18" s="288">
        <f t="shared" si="4"/>
        <v>0</v>
      </c>
      <c r="P18" s="289">
        <f t="shared" si="4"/>
        <v>0</v>
      </c>
      <c r="Q18" s="283"/>
    </row>
    <row r="19" spans="1:17" s="284" customFormat="1" ht="15" thickBot="1">
      <c r="A19" s="1011"/>
      <c r="B19" s="1014"/>
      <c r="C19" s="290" t="s">
        <v>22</v>
      </c>
      <c r="D19" s="291">
        <f>D17+D18</f>
        <v>67428820</v>
      </c>
      <c r="E19" s="374">
        <f t="shared" si="4"/>
        <v>20862995</v>
      </c>
      <c r="F19" s="374">
        <f t="shared" si="4"/>
        <v>13938823</v>
      </c>
      <c r="G19" s="374">
        <f t="shared" si="4"/>
        <v>7132086</v>
      </c>
      <c r="H19" s="374">
        <f t="shared" si="4"/>
        <v>6806737</v>
      </c>
      <c r="I19" s="374">
        <f t="shared" si="4"/>
        <v>1140000</v>
      </c>
      <c r="J19" s="374">
        <f t="shared" si="4"/>
        <v>19100</v>
      </c>
      <c r="K19" s="374">
        <f t="shared" si="4"/>
        <v>5765072</v>
      </c>
      <c r="L19" s="374">
        <f t="shared" si="4"/>
        <v>0</v>
      </c>
      <c r="M19" s="374">
        <f t="shared" si="4"/>
        <v>46565825</v>
      </c>
      <c r="N19" s="374">
        <f t="shared" si="4"/>
        <v>46565825</v>
      </c>
      <c r="O19" s="374">
        <f t="shared" si="4"/>
        <v>38247262</v>
      </c>
      <c r="P19" s="375">
        <f t="shared" si="4"/>
        <v>0</v>
      </c>
      <c r="Q19" s="283"/>
    </row>
    <row r="20" spans="1:17" s="261" customFormat="1" ht="12.75" hidden="1">
      <c r="A20" s="294"/>
      <c r="B20" s="295"/>
      <c r="C20" s="296"/>
      <c r="D20" s="297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78"/>
    </row>
    <row r="21" spans="1:17" s="261" customFormat="1" ht="12.75" hidden="1">
      <c r="A21" s="1015" t="s">
        <v>278</v>
      </c>
      <c r="B21" s="1018" t="s">
        <v>279</v>
      </c>
      <c r="C21" s="301" t="s">
        <v>20</v>
      </c>
      <c r="D21" s="302">
        <f>E21+M21</f>
        <v>6358292</v>
      </c>
      <c r="E21" s="303">
        <f>F21+I21+J21+K21+L21</f>
        <v>6358292</v>
      </c>
      <c r="F21" s="303">
        <f>G21+H21</f>
        <v>6353292</v>
      </c>
      <c r="G21" s="303">
        <v>5617960</v>
      </c>
      <c r="H21" s="303">
        <f>12500+204976+5000+90000+9000+3000+170000+29000+9524+3000+37000+120332+22000+14000+3000+3000</f>
        <v>735332</v>
      </c>
      <c r="I21" s="303">
        <v>0</v>
      </c>
      <c r="J21" s="303">
        <v>5000</v>
      </c>
      <c r="K21" s="303">
        <v>0</v>
      </c>
      <c r="L21" s="303">
        <v>0</v>
      </c>
      <c r="M21" s="303">
        <f>N21+P21</f>
        <v>0</v>
      </c>
      <c r="N21" s="303">
        <v>0</v>
      </c>
      <c r="O21" s="303">
        <v>0</v>
      </c>
      <c r="P21" s="303">
        <v>0</v>
      </c>
      <c r="Q21" s="278"/>
    </row>
    <row r="22" spans="1:17" s="261" customFormat="1" ht="12.75" hidden="1">
      <c r="A22" s="1016"/>
      <c r="B22" s="1019"/>
      <c r="C22" s="301" t="s">
        <v>21</v>
      </c>
      <c r="D22" s="302">
        <f>E22+M22</f>
        <v>0</v>
      </c>
      <c r="E22" s="303">
        <f>F22+I22+J22+K22+L22</f>
        <v>0</v>
      </c>
      <c r="F22" s="303">
        <f>G22+H22</f>
        <v>0</v>
      </c>
      <c r="G22" s="303"/>
      <c r="H22" s="303"/>
      <c r="I22" s="303"/>
      <c r="J22" s="303"/>
      <c r="K22" s="303"/>
      <c r="L22" s="303"/>
      <c r="M22" s="303">
        <f>N22+P22</f>
        <v>0</v>
      </c>
      <c r="N22" s="303"/>
      <c r="O22" s="303"/>
      <c r="P22" s="303"/>
      <c r="Q22" s="278"/>
    </row>
    <row r="23" spans="1:17" s="261" customFormat="1" ht="12.75" hidden="1">
      <c r="A23" s="1017"/>
      <c r="B23" s="1020"/>
      <c r="C23" s="301" t="s">
        <v>22</v>
      </c>
      <c r="D23" s="302">
        <f>D21+D22</f>
        <v>6358292</v>
      </c>
      <c r="E23" s="303">
        <f aca="true" t="shared" si="5" ref="E23:P23">E21+E22</f>
        <v>6358292</v>
      </c>
      <c r="F23" s="303">
        <f t="shared" si="5"/>
        <v>6353292</v>
      </c>
      <c r="G23" s="303">
        <f t="shared" si="5"/>
        <v>5617960</v>
      </c>
      <c r="H23" s="303">
        <f t="shared" si="5"/>
        <v>735332</v>
      </c>
      <c r="I23" s="303">
        <f t="shared" si="5"/>
        <v>0</v>
      </c>
      <c r="J23" s="303">
        <f t="shared" si="5"/>
        <v>5000</v>
      </c>
      <c r="K23" s="303">
        <f t="shared" si="5"/>
        <v>0</v>
      </c>
      <c r="L23" s="303">
        <f t="shared" si="5"/>
        <v>0</v>
      </c>
      <c r="M23" s="303">
        <f t="shared" si="5"/>
        <v>0</v>
      </c>
      <c r="N23" s="303">
        <f t="shared" si="5"/>
        <v>0</v>
      </c>
      <c r="O23" s="303">
        <f t="shared" si="5"/>
        <v>0</v>
      </c>
      <c r="P23" s="303">
        <f t="shared" si="5"/>
        <v>0</v>
      </c>
      <c r="Q23" s="278"/>
    </row>
    <row r="24" spans="1:17" s="261" customFormat="1" ht="12.75" hidden="1">
      <c r="A24" s="306"/>
      <c r="B24" s="307"/>
      <c r="C24" s="308"/>
      <c r="D24" s="302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278"/>
    </row>
    <row r="25" spans="1:17" s="261" customFormat="1" ht="12.75" hidden="1">
      <c r="A25" s="1015" t="s">
        <v>25</v>
      </c>
      <c r="B25" s="1018" t="s">
        <v>191</v>
      </c>
      <c r="C25" s="301" t="s">
        <v>20</v>
      </c>
      <c r="D25" s="302">
        <f>E25+M25</f>
        <v>46426115</v>
      </c>
      <c r="E25" s="303">
        <f>F25+I25+J25+K25+L25</f>
        <v>7398853</v>
      </c>
      <c r="F25" s="303">
        <f>G25+H25</f>
        <v>6744681</v>
      </c>
      <c r="G25" s="303">
        <v>915926</v>
      </c>
      <c r="H25" s="303">
        <v>5828755</v>
      </c>
      <c r="I25" s="303">
        <v>0</v>
      </c>
      <c r="J25" s="303">
        <v>14100</v>
      </c>
      <c r="K25" s="303">
        <f>37400+6600+6432+1136+920+164+499307+88113</f>
        <v>640072</v>
      </c>
      <c r="L25" s="303">
        <v>0</v>
      </c>
      <c r="M25" s="303">
        <f>N25+P25</f>
        <v>39027262</v>
      </c>
      <c r="N25" s="303">
        <v>39027262</v>
      </c>
      <c r="O25" s="303">
        <v>38227262</v>
      </c>
      <c r="P25" s="303">
        <v>0</v>
      </c>
      <c r="Q25" s="278"/>
    </row>
    <row r="26" spans="1:17" s="261" customFormat="1" ht="12.75" hidden="1">
      <c r="A26" s="1016"/>
      <c r="B26" s="1019"/>
      <c r="C26" s="301" t="s">
        <v>21</v>
      </c>
      <c r="D26" s="302">
        <f>E26+M26</f>
        <v>0</v>
      </c>
      <c r="E26" s="303">
        <f>F26+I26+J26+K26+L26</f>
        <v>0</v>
      </c>
      <c r="F26" s="303">
        <f>G26+H26</f>
        <v>0</v>
      </c>
      <c r="G26" s="303"/>
      <c r="H26" s="303"/>
      <c r="I26" s="303"/>
      <c r="J26" s="303"/>
      <c r="K26" s="303"/>
      <c r="L26" s="303"/>
      <c r="M26" s="303">
        <f>N26+P26</f>
        <v>0</v>
      </c>
      <c r="N26" s="303"/>
      <c r="O26" s="303"/>
      <c r="P26" s="303"/>
      <c r="Q26" s="278"/>
    </row>
    <row r="27" spans="1:17" s="261" customFormat="1" ht="12.75" hidden="1">
      <c r="A27" s="1017"/>
      <c r="B27" s="1020"/>
      <c r="C27" s="301" t="s">
        <v>22</v>
      </c>
      <c r="D27" s="302">
        <f>D25+D26</f>
        <v>46426115</v>
      </c>
      <c r="E27" s="303">
        <f aca="true" t="shared" si="6" ref="E27:P27">E25+E26</f>
        <v>7398853</v>
      </c>
      <c r="F27" s="303">
        <f t="shared" si="6"/>
        <v>6744681</v>
      </c>
      <c r="G27" s="303">
        <f t="shared" si="6"/>
        <v>915926</v>
      </c>
      <c r="H27" s="303">
        <f t="shared" si="6"/>
        <v>5828755</v>
      </c>
      <c r="I27" s="303">
        <f t="shared" si="6"/>
        <v>0</v>
      </c>
      <c r="J27" s="303">
        <f t="shared" si="6"/>
        <v>14100</v>
      </c>
      <c r="K27" s="303">
        <f t="shared" si="6"/>
        <v>640072</v>
      </c>
      <c r="L27" s="303">
        <f t="shared" si="6"/>
        <v>0</v>
      </c>
      <c r="M27" s="303">
        <f t="shared" si="6"/>
        <v>39027262</v>
      </c>
      <c r="N27" s="303">
        <f t="shared" si="6"/>
        <v>39027262</v>
      </c>
      <c r="O27" s="303">
        <f t="shared" si="6"/>
        <v>38227262</v>
      </c>
      <c r="P27" s="303">
        <f t="shared" si="6"/>
        <v>0</v>
      </c>
      <c r="Q27" s="278"/>
    </row>
    <row r="28" spans="1:17" s="261" customFormat="1" ht="12.75" hidden="1">
      <c r="A28" s="306"/>
      <c r="B28" s="307"/>
      <c r="C28" s="308"/>
      <c r="D28" s="302"/>
      <c r="E28" s="309"/>
      <c r="F28" s="309"/>
      <c r="G28" s="309"/>
      <c r="H28" s="303"/>
      <c r="I28" s="303"/>
      <c r="J28" s="303"/>
      <c r="K28" s="303"/>
      <c r="L28" s="303"/>
      <c r="M28" s="303"/>
      <c r="N28" s="303"/>
      <c r="O28" s="309"/>
      <c r="P28" s="309"/>
      <c r="Q28" s="278"/>
    </row>
    <row r="29" spans="1:17" s="261" customFormat="1" ht="12.75" hidden="1">
      <c r="A29" s="1015" t="s">
        <v>280</v>
      </c>
      <c r="B29" s="1018" t="s">
        <v>281</v>
      </c>
      <c r="C29" s="301" t="s">
        <v>20</v>
      </c>
      <c r="D29" s="302">
        <f>E29+M29</f>
        <v>1100000</v>
      </c>
      <c r="E29" s="309">
        <f>F29+I29+J29+K29+L29</f>
        <v>1100000</v>
      </c>
      <c r="F29" s="309">
        <f>G29+H29</f>
        <v>0</v>
      </c>
      <c r="G29" s="309">
        <v>0</v>
      </c>
      <c r="H29" s="303">
        <v>0</v>
      </c>
      <c r="I29" s="303">
        <v>1100000</v>
      </c>
      <c r="J29" s="303">
        <v>0</v>
      </c>
      <c r="K29" s="303">
        <v>0</v>
      </c>
      <c r="L29" s="303">
        <v>0</v>
      </c>
      <c r="M29" s="303">
        <f>N29+P29</f>
        <v>0</v>
      </c>
      <c r="N29" s="303">
        <v>0</v>
      </c>
      <c r="O29" s="309">
        <v>0</v>
      </c>
      <c r="P29" s="309">
        <v>0</v>
      </c>
      <c r="Q29" s="278"/>
    </row>
    <row r="30" spans="1:17" s="261" customFormat="1" ht="12.75" hidden="1">
      <c r="A30" s="1016"/>
      <c r="B30" s="1019"/>
      <c r="C30" s="301" t="s">
        <v>21</v>
      </c>
      <c r="D30" s="302">
        <f>E30+M30</f>
        <v>0</v>
      </c>
      <c r="E30" s="303">
        <f>F30+I30+J30+K30+L30</f>
        <v>0</v>
      </c>
      <c r="F30" s="303">
        <f>G30+H30</f>
        <v>0</v>
      </c>
      <c r="G30" s="303"/>
      <c r="H30" s="303"/>
      <c r="I30" s="303"/>
      <c r="J30" s="303"/>
      <c r="K30" s="303"/>
      <c r="L30" s="303"/>
      <c r="M30" s="303">
        <f>N30+P30</f>
        <v>0</v>
      </c>
      <c r="N30" s="303"/>
      <c r="O30" s="303"/>
      <c r="P30" s="303"/>
      <c r="Q30" s="278"/>
    </row>
    <row r="31" spans="1:17" s="261" customFormat="1" ht="12.75" hidden="1">
      <c r="A31" s="1017"/>
      <c r="B31" s="1020"/>
      <c r="C31" s="301" t="s">
        <v>22</v>
      </c>
      <c r="D31" s="302">
        <f>D29+D30</f>
        <v>1100000</v>
      </c>
      <c r="E31" s="303">
        <f aca="true" t="shared" si="7" ref="E31:P31">E29+E30</f>
        <v>1100000</v>
      </c>
      <c r="F31" s="303">
        <f t="shared" si="7"/>
        <v>0</v>
      </c>
      <c r="G31" s="303">
        <f t="shared" si="7"/>
        <v>0</v>
      </c>
      <c r="H31" s="303">
        <f t="shared" si="7"/>
        <v>0</v>
      </c>
      <c r="I31" s="303">
        <f t="shared" si="7"/>
        <v>1100000</v>
      </c>
      <c r="J31" s="303">
        <f t="shared" si="7"/>
        <v>0</v>
      </c>
      <c r="K31" s="303">
        <f t="shared" si="7"/>
        <v>0</v>
      </c>
      <c r="L31" s="303">
        <f t="shared" si="7"/>
        <v>0</v>
      </c>
      <c r="M31" s="303">
        <f t="shared" si="7"/>
        <v>0</v>
      </c>
      <c r="N31" s="303">
        <f t="shared" si="7"/>
        <v>0</v>
      </c>
      <c r="O31" s="303">
        <f t="shared" si="7"/>
        <v>0</v>
      </c>
      <c r="P31" s="303">
        <f t="shared" si="7"/>
        <v>0</v>
      </c>
      <c r="Q31" s="278"/>
    </row>
    <row r="32" spans="1:17" s="261" customFormat="1" ht="5.25" customHeight="1">
      <c r="A32" s="294"/>
      <c r="B32" s="305"/>
      <c r="C32" s="301"/>
      <c r="D32" s="302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278"/>
    </row>
    <row r="33" spans="1:17" s="261" customFormat="1" ht="12.75">
      <c r="A33" s="1015" t="s">
        <v>259</v>
      </c>
      <c r="B33" s="1018" t="s">
        <v>401</v>
      </c>
      <c r="C33" s="301" t="s">
        <v>20</v>
      </c>
      <c r="D33" s="302">
        <f>E33+M33</f>
        <v>0</v>
      </c>
      <c r="E33" s="309">
        <f>F33+I33+J33+K33+L33</f>
        <v>0</v>
      </c>
      <c r="F33" s="309">
        <f>G33+H33</f>
        <v>0</v>
      </c>
      <c r="G33" s="309">
        <v>0</v>
      </c>
      <c r="H33" s="303">
        <v>0</v>
      </c>
      <c r="I33" s="303">
        <v>0</v>
      </c>
      <c r="J33" s="303">
        <v>0</v>
      </c>
      <c r="K33" s="303">
        <v>0</v>
      </c>
      <c r="L33" s="303">
        <v>0</v>
      </c>
      <c r="M33" s="303">
        <f>N33+P33</f>
        <v>0</v>
      </c>
      <c r="N33" s="303">
        <v>0</v>
      </c>
      <c r="O33" s="309">
        <v>0</v>
      </c>
      <c r="P33" s="309">
        <v>0</v>
      </c>
      <c r="Q33" s="278"/>
    </row>
    <row r="34" spans="1:17" s="261" customFormat="1" ht="12.75">
      <c r="A34" s="1016"/>
      <c r="B34" s="1019"/>
      <c r="C34" s="301" t="s">
        <v>21</v>
      </c>
      <c r="D34" s="302">
        <f>E34+M34</f>
        <v>59263</v>
      </c>
      <c r="E34" s="303">
        <f>F34+I34+J34+K34+L34</f>
        <v>0</v>
      </c>
      <c r="F34" s="303">
        <f>G34+H34</f>
        <v>0</v>
      </c>
      <c r="G34" s="303"/>
      <c r="H34" s="303"/>
      <c r="I34" s="303"/>
      <c r="J34" s="303"/>
      <c r="K34" s="303"/>
      <c r="L34" s="303"/>
      <c r="M34" s="303">
        <f>N34+P34</f>
        <v>59263</v>
      </c>
      <c r="N34" s="303">
        <v>59263</v>
      </c>
      <c r="O34" s="303"/>
      <c r="P34" s="303"/>
      <c r="Q34" s="278"/>
    </row>
    <row r="35" spans="1:17" s="261" customFormat="1" ht="12.75">
      <c r="A35" s="1017"/>
      <c r="B35" s="1020"/>
      <c r="C35" s="301" t="s">
        <v>22</v>
      </c>
      <c r="D35" s="302">
        <f>D33+D34</f>
        <v>59263</v>
      </c>
      <c r="E35" s="303">
        <f aca="true" t="shared" si="8" ref="E35:P35">E33+E34</f>
        <v>0</v>
      </c>
      <c r="F35" s="303">
        <f t="shared" si="8"/>
        <v>0</v>
      </c>
      <c r="G35" s="303">
        <f t="shared" si="8"/>
        <v>0</v>
      </c>
      <c r="H35" s="303">
        <f t="shared" si="8"/>
        <v>0</v>
      </c>
      <c r="I35" s="303">
        <f t="shared" si="8"/>
        <v>0</v>
      </c>
      <c r="J35" s="303">
        <f t="shared" si="8"/>
        <v>0</v>
      </c>
      <c r="K35" s="303">
        <f t="shared" si="8"/>
        <v>0</v>
      </c>
      <c r="L35" s="303">
        <f t="shared" si="8"/>
        <v>0</v>
      </c>
      <c r="M35" s="303">
        <f t="shared" si="8"/>
        <v>59263</v>
      </c>
      <c r="N35" s="303">
        <f t="shared" si="8"/>
        <v>59263</v>
      </c>
      <c r="O35" s="303">
        <f t="shared" si="8"/>
        <v>0</v>
      </c>
      <c r="P35" s="303">
        <f t="shared" si="8"/>
        <v>0</v>
      </c>
      <c r="Q35" s="278"/>
    </row>
    <row r="36" spans="1:17" s="261" customFormat="1" ht="12.75" hidden="1">
      <c r="A36" s="306"/>
      <c r="B36" s="310"/>
      <c r="C36" s="308"/>
      <c r="D36" s="302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278"/>
    </row>
    <row r="37" spans="1:17" s="261" customFormat="1" ht="12.75" hidden="1">
      <c r="A37" s="1015" t="s">
        <v>282</v>
      </c>
      <c r="B37" s="1018" t="s">
        <v>283</v>
      </c>
      <c r="C37" s="301" t="s">
        <v>20</v>
      </c>
      <c r="D37" s="302">
        <f>E37+M37</f>
        <v>5157500</v>
      </c>
      <c r="E37" s="309">
        <f>F37+I37+J37+K37+L37</f>
        <v>5135000</v>
      </c>
      <c r="F37" s="309">
        <f>G37+H37</f>
        <v>0</v>
      </c>
      <c r="G37" s="309">
        <v>0</v>
      </c>
      <c r="H37" s="303">
        <v>0</v>
      </c>
      <c r="I37" s="303">
        <v>10000</v>
      </c>
      <c r="J37" s="303">
        <v>0</v>
      </c>
      <c r="K37" s="303">
        <v>5125000</v>
      </c>
      <c r="L37" s="303">
        <v>0</v>
      </c>
      <c r="M37" s="303">
        <f>N37+P37</f>
        <v>22500</v>
      </c>
      <c r="N37" s="303">
        <v>22500</v>
      </c>
      <c r="O37" s="309">
        <v>20000</v>
      </c>
      <c r="P37" s="309">
        <v>0</v>
      </c>
      <c r="Q37" s="278"/>
    </row>
    <row r="38" spans="1:17" s="261" customFormat="1" ht="12.75" hidden="1">
      <c r="A38" s="1016"/>
      <c r="B38" s="1019"/>
      <c r="C38" s="301" t="s">
        <v>21</v>
      </c>
      <c r="D38" s="302">
        <f>E38+M38</f>
        <v>0</v>
      </c>
      <c r="E38" s="303">
        <f>F38+I38+J38+K38+L38</f>
        <v>0</v>
      </c>
      <c r="F38" s="303">
        <f>G38+H38</f>
        <v>0</v>
      </c>
      <c r="G38" s="303"/>
      <c r="H38" s="303"/>
      <c r="I38" s="303"/>
      <c r="J38" s="303"/>
      <c r="K38" s="303"/>
      <c r="L38" s="303"/>
      <c r="M38" s="303">
        <f>N38+P38</f>
        <v>0</v>
      </c>
      <c r="N38" s="303"/>
      <c r="O38" s="303"/>
      <c r="P38" s="303"/>
      <c r="Q38" s="278"/>
    </row>
    <row r="39" spans="1:17" s="261" customFormat="1" ht="12.75" hidden="1">
      <c r="A39" s="1017"/>
      <c r="B39" s="1020"/>
      <c r="C39" s="301" t="s">
        <v>22</v>
      </c>
      <c r="D39" s="302">
        <f>D37+D38</f>
        <v>5157500</v>
      </c>
      <c r="E39" s="303">
        <f aca="true" t="shared" si="9" ref="E39:P39">E37+E38</f>
        <v>5135000</v>
      </c>
      <c r="F39" s="303">
        <f t="shared" si="9"/>
        <v>0</v>
      </c>
      <c r="G39" s="303">
        <f t="shared" si="9"/>
        <v>0</v>
      </c>
      <c r="H39" s="303">
        <f t="shared" si="9"/>
        <v>0</v>
      </c>
      <c r="I39" s="303">
        <f t="shared" si="9"/>
        <v>10000</v>
      </c>
      <c r="J39" s="303">
        <f t="shared" si="9"/>
        <v>0</v>
      </c>
      <c r="K39" s="303">
        <f t="shared" si="9"/>
        <v>5125000</v>
      </c>
      <c r="L39" s="303">
        <f t="shared" si="9"/>
        <v>0</v>
      </c>
      <c r="M39" s="303">
        <f t="shared" si="9"/>
        <v>22500</v>
      </c>
      <c r="N39" s="303">
        <f t="shared" si="9"/>
        <v>22500</v>
      </c>
      <c r="O39" s="303">
        <f t="shared" si="9"/>
        <v>20000</v>
      </c>
      <c r="P39" s="303">
        <f t="shared" si="9"/>
        <v>0</v>
      </c>
      <c r="Q39" s="278"/>
    </row>
    <row r="40" spans="1:17" s="261" customFormat="1" ht="12.75" hidden="1">
      <c r="A40" s="306"/>
      <c r="B40" s="310"/>
      <c r="C40" s="308"/>
      <c r="D40" s="302"/>
      <c r="E40" s="309"/>
      <c r="F40" s="309"/>
      <c r="G40" s="309"/>
      <c r="H40" s="303"/>
      <c r="I40" s="303"/>
      <c r="J40" s="303"/>
      <c r="K40" s="303"/>
      <c r="L40" s="303"/>
      <c r="M40" s="303"/>
      <c r="N40" s="303"/>
      <c r="O40" s="309"/>
      <c r="P40" s="309"/>
      <c r="Q40" s="278"/>
    </row>
    <row r="41" spans="1:17" s="261" customFormat="1" ht="12.75" hidden="1">
      <c r="A41" s="1015" t="s">
        <v>26</v>
      </c>
      <c r="B41" s="1018" t="s">
        <v>284</v>
      </c>
      <c r="C41" s="308" t="s">
        <v>20</v>
      </c>
      <c r="D41" s="302">
        <f>E41+M41</f>
        <v>8100000</v>
      </c>
      <c r="E41" s="309">
        <f>F41+I41+J41+K41+L41</f>
        <v>643200</v>
      </c>
      <c r="F41" s="309">
        <f>G41+H41</f>
        <v>643200</v>
      </c>
      <c r="G41" s="309">
        <v>598200</v>
      </c>
      <c r="H41" s="303">
        <v>45000</v>
      </c>
      <c r="I41" s="303">
        <v>0</v>
      </c>
      <c r="J41" s="303">
        <v>0</v>
      </c>
      <c r="K41" s="303">
        <v>0</v>
      </c>
      <c r="L41" s="303">
        <v>0</v>
      </c>
      <c r="M41" s="303">
        <f>N41+P41</f>
        <v>7456800</v>
      </c>
      <c r="N41" s="303">
        <v>7456800</v>
      </c>
      <c r="O41" s="309">
        <v>0</v>
      </c>
      <c r="P41" s="309">
        <v>0</v>
      </c>
      <c r="Q41" s="278"/>
    </row>
    <row r="42" spans="1:17" s="261" customFormat="1" ht="12.75" hidden="1">
      <c r="A42" s="1016"/>
      <c r="B42" s="1019"/>
      <c r="C42" s="308" t="s">
        <v>21</v>
      </c>
      <c r="D42" s="302">
        <f>E42+M42</f>
        <v>0</v>
      </c>
      <c r="E42" s="309">
        <f>F42+I42+J42+K42+L42</f>
        <v>0</v>
      </c>
      <c r="F42" s="309">
        <f>G42+H42</f>
        <v>0</v>
      </c>
      <c r="G42" s="309"/>
      <c r="H42" s="303"/>
      <c r="I42" s="303"/>
      <c r="J42" s="303"/>
      <c r="K42" s="303"/>
      <c r="L42" s="303"/>
      <c r="M42" s="303">
        <f>N42+P42</f>
        <v>0</v>
      </c>
      <c r="N42" s="303"/>
      <c r="O42" s="309"/>
      <c r="P42" s="309"/>
      <c r="Q42" s="278"/>
    </row>
    <row r="43" spans="1:17" s="261" customFormat="1" ht="12.75" hidden="1">
      <c r="A43" s="1017"/>
      <c r="B43" s="1020"/>
      <c r="C43" s="308" t="s">
        <v>22</v>
      </c>
      <c r="D43" s="302">
        <f>D41+D42</f>
        <v>8100000</v>
      </c>
      <c r="E43" s="303">
        <f aca="true" t="shared" si="10" ref="E43:P43">E41+E42</f>
        <v>643200</v>
      </c>
      <c r="F43" s="303">
        <f t="shared" si="10"/>
        <v>643200</v>
      </c>
      <c r="G43" s="303">
        <f t="shared" si="10"/>
        <v>598200</v>
      </c>
      <c r="H43" s="303">
        <f t="shared" si="10"/>
        <v>45000</v>
      </c>
      <c r="I43" s="303">
        <f t="shared" si="10"/>
        <v>0</v>
      </c>
      <c r="J43" s="303">
        <f t="shared" si="10"/>
        <v>0</v>
      </c>
      <c r="K43" s="303">
        <f t="shared" si="10"/>
        <v>0</v>
      </c>
      <c r="L43" s="303">
        <f t="shared" si="10"/>
        <v>0</v>
      </c>
      <c r="M43" s="303">
        <f t="shared" si="10"/>
        <v>7456800</v>
      </c>
      <c r="N43" s="303">
        <f t="shared" si="10"/>
        <v>7456800</v>
      </c>
      <c r="O43" s="303">
        <f t="shared" si="10"/>
        <v>0</v>
      </c>
      <c r="P43" s="303">
        <f t="shared" si="10"/>
        <v>0</v>
      </c>
      <c r="Q43" s="278"/>
    </row>
    <row r="44" spans="1:17" s="261" customFormat="1" ht="12.75" hidden="1">
      <c r="A44" s="306"/>
      <c r="B44" s="310"/>
      <c r="C44" s="308"/>
      <c r="D44" s="302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278"/>
    </row>
    <row r="45" spans="1:17" s="261" customFormat="1" ht="12.75" hidden="1">
      <c r="A45" s="1015" t="s">
        <v>285</v>
      </c>
      <c r="B45" s="1018" t="s">
        <v>210</v>
      </c>
      <c r="C45" s="301" t="s">
        <v>20</v>
      </c>
      <c r="D45" s="302">
        <f>E45+M45</f>
        <v>227650</v>
      </c>
      <c r="E45" s="309">
        <f>F45+I45+J45+K45+L45</f>
        <v>227650</v>
      </c>
      <c r="F45" s="309">
        <f>G45+H45</f>
        <v>197650</v>
      </c>
      <c r="G45" s="309">
        <v>0</v>
      </c>
      <c r="H45" s="303">
        <f>182650+15000</f>
        <v>197650</v>
      </c>
      <c r="I45" s="303">
        <v>30000</v>
      </c>
      <c r="J45" s="303">
        <v>0</v>
      </c>
      <c r="K45" s="303">
        <v>0</v>
      </c>
      <c r="L45" s="303">
        <v>0</v>
      </c>
      <c r="M45" s="303">
        <f>N45+P45</f>
        <v>0</v>
      </c>
      <c r="N45" s="303">
        <v>0</v>
      </c>
      <c r="O45" s="309">
        <v>0</v>
      </c>
      <c r="P45" s="309">
        <v>0</v>
      </c>
      <c r="Q45" s="278"/>
    </row>
    <row r="46" spans="1:17" s="261" customFormat="1" ht="12.75" hidden="1">
      <c r="A46" s="1016"/>
      <c r="B46" s="1019"/>
      <c r="C46" s="301" t="s">
        <v>21</v>
      </c>
      <c r="D46" s="302">
        <f>E46+M46</f>
        <v>0</v>
      </c>
      <c r="E46" s="303">
        <f>F46+I46+J46+K46+L46</f>
        <v>0</v>
      </c>
      <c r="F46" s="303">
        <f>G46+H46</f>
        <v>0</v>
      </c>
      <c r="G46" s="311"/>
      <c r="H46" s="311"/>
      <c r="I46" s="311"/>
      <c r="J46" s="311"/>
      <c r="K46" s="311"/>
      <c r="L46" s="311"/>
      <c r="M46" s="303">
        <f>N46+P46</f>
        <v>0</v>
      </c>
      <c r="N46" s="311"/>
      <c r="O46" s="311"/>
      <c r="P46" s="311"/>
      <c r="Q46" s="278"/>
    </row>
    <row r="47" spans="1:17" s="261" customFormat="1" ht="12.75" hidden="1">
      <c r="A47" s="1017"/>
      <c r="B47" s="1020"/>
      <c r="C47" s="301" t="s">
        <v>22</v>
      </c>
      <c r="D47" s="312">
        <f>D45+D46</f>
        <v>227650</v>
      </c>
      <c r="E47" s="311">
        <f aca="true" t="shared" si="11" ref="E47:P47">E45+E46</f>
        <v>227650</v>
      </c>
      <c r="F47" s="311">
        <f t="shared" si="11"/>
        <v>197650</v>
      </c>
      <c r="G47" s="311">
        <f t="shared" si="11"/>
        <v>0</v>
      </c>
      <c r="H47" s="311">
        <f t="shared" si="11"/>
        <v>197650</v>
      </c>
      <c r="I47" s="311">
        <f t="shared" si="11"/>
        <v>30000</v>
      </c>
      <c r="J47" s="311">
        <f t="shared" si="11"/>
        <v>0</v>
      </c>
      <c r="K47" s="311">
        <f t="shared" si="11"/>
        <v>0</v>
      </c>
      <c r="L47" s="311">
        <f t="shared" si="11"/>
        <v>0</v>
      </c>
      <c r="M47" s="311">
        <f t="shared" si="11"/>
        <v>0</v>
      </c>
      <c r="N47" s="311">
        <f t="shared" si="11"/>
        <v>0</v>
      </c>
      <c r="O47" s="311">
        <f t="shared" si="11"/>
        <v>0</v>
      </c>
      <c r="P47" s="311">
        <f t="shared" si="11"/>
        <v>0</v>
      </c>
      <c r="Q47" s="278"/>
    </row>
    <row r="48" spans="1:17" s="261" customFormat="1" ht="13.5" hidden="1" thickBot="1">
      <c r="A48" s="299"/>
      <c r="B48" s="313"/>
      <c r="C48" s="301"/>
      <c r="D48" s="312"/>
      <c r="E48" s="314"/>
      <c r="F48" s="314"/>
      <c r="G48" s="314"/>
      <c r="H48" s="311"/>
      <c r="I48" s="311"/>
      <c r="J48" s="311"/>
      <c r="K48" s="311"/>
      <c r="L48" s="311"/>
      <c r="M48" s="311"/>
      <c r="N48" s="311"/>
      <c r="O48" s="314"/>
      <c r="P48" s="314"/>
      <c r="Q48" s="278"/>
    </row>
    <row r="49" spans="1:17" s="320" customFormat="1" ht="14.25" hidden="1">
      <c r="A49" s="1009" t="s">
        <v>286</v>
      </c>
      <c r="B49" s="1012" t="s">
        <v>287</v>
      </c>
      <c r="C49" s="279" t="s">
        <v>20</v>
      </c>
      <c r="D49" s="315">
        <f aca="true" t="shared" si="12" ref="D49:P50">D53</f>
        <v>792000</v>
      </c>
      <c r="E49" s="316">
        <f t="shared" si="12"/>
        <v>790000</v>
      </c>
      <c r="F49" s="316">
        <f t="shared" si="12"/>
        <v>0</v>
      </c>
      <c r="G49" s="316">
        <f t="shared" si="12"/>
        <v>0</v>
      </c>
      <c r="H49" s="317">
        <f t="shared" si="12"/>
        <v>0</v>
      </c>
      <c r="I49" s="317">
        <f t="shared" si="12"/>
        <v>10000</v>
      </c>
      <c r="J49" s="317">
        <f t="shared" si="12"/>
        <v>0</v>
      </c>
      <c r="K49" s="317">
        <f t="shared" si="12"/>
        <v>780000</v>
      </c>
      <c r="L49" s="317">
        <f t="shared" si="12"/>
        <v>0</v>
      </c>
      <c r="M49" s="317">
        <f t="shared" si="12"/>
        <v>2000</v>
      </c>
      <c r="N49" s="317">
        <f t="shared" si="12"/>
        <v>2000</v>
      </c>
      <c r="O49" s="316">
        <f t="shared" si="12"/>
        <v>0</v>
      </c>
      <c r="P49" s="318">
        <f t="shared" si="12"/>
        <v>0</v>
      </c>
      <c r="Q49" s="319"/>
    </row>
    <row r="50" spans="1:17" s="320" customFormat="1" ht="14.25" hidden="1">
      <c r="A50" s="1010"/>
      <c r="B50" s="1013"/>
      <c r="C50" s="286" t="s">
        <v>21</v>
      </c>
      <c r="D50" s="321">
        <f t="shared" si="12"/>
        <v>0</v>
      </c>
      <c r="E50" s="322">
        <f t="shared" si="12"/>
        <v>0</v>
      </c>
      <c r="F50" s="322">
        <f t="shared" si="12"/>
        <v>0</v>
      </c>
      <c r="G50" s="322">
        <f t="shared" si="12"/>
        <v>0</v>
      </c>
      <c r="H50" s="323">
        <f t="shared" si="12"/>
        <v>0</v>
      </c>
      <c r="I50" s="323">
        <f t="shared" si="12"/>
        <v>0</v>
      </c>
      <c r="J50" s="323">
        <f t="shared" si="12"/>
        <v>0</v>
      </c>
      <c r="K50" s="323">
        <f t="shared" si="12"/>
        <v>0</v>
      </c>
      <c r="L50" s="323">
        <f t="shared" si="12"/>
        <v>0</v>
      </c>
      <c r="M50" s="323">
        <f t="shared" si="12"/>
        <v>0</v>
      </c>
      <c r="N50" s="323">
        <f t="shared" si="12"/>
        <v>0</v>
      </c>
      <c r="O50" s="322">
        <f t="shared" si="12"/>
        <v>0</v>
      </c>
      <c r="P50" s="324">
        <f t="shared" si="12"/>
        <v>0</v>
      </c>
      <c r="Q50" s="319"/>
    </row>
    <row r="51" spans="1:17" s="320" customFormat="1" ht="15" hidden="1" thickBot="1">
      <c r="A51" s="1011"/>
      <c r="B51" s="1014"/>
      <c r="C51" s="290" t="s">
        <v>22</v>
      </c>
      <c r="D51" s="325">
        <f>D49+D50</f>
        <v>792000</v>
      </c>
      <c r="E51" s="326">
        <f aca="true" t="shared" si="13" ref="E51:P51">E49+E50</f>
        <v>790000</v>
      </c>
      <c r="F51" s="326">
        <f t="shared" si="13"/>
        <v>0</v>
      </c>
      <c r="G51" s="326">
        <f t="shared" si="13"/>
        <v>0</v>
      </c>
      <c r="H51" s="326">
        <f t="shared" si="13"/>
        <v>0</v>
      </c>
      <c r="I51" s="326">
        <f t="shared" si="13"/>
        <v>10000</v>
      </c>
      <c r="J51" s="326">
        <f t="shared" si="13"/>
        <v>0</v>
      </c>
      <c r="K51" s="326">
        <f t="shared" si="13"/>
        <v>780000</v>
      </c>
      <c r="L51" s="326">
        <f t="shared" si="13"/>
        <v>0</v>
      </c>
      <c r="M51" s="326">
        <f t="shared" si="13"/>
        <v>2000</v>
      </c>
      <c r="N51" s="326">
        <f t="shared" si="13"/>
        <v>2000</v>
      </c>
      <c r="O51" s="326">
        <f t="shared" si="13"/>
        <v>0</v>
      </c>
      <c r="P51" s="327">
        <f t="shared" si="13"/>
        <v>0</v>
      </c>
      <c r="Q51" s="319"/>
    </row>
    <row r="52" spans="1:17" s="336" customFormat="1" ht="14.25" hidden="1">
      <c r="A52" s="328"/>
      <c r="B52" s="329"/>
      <c r="C52" s="330"/>
      <c r="D52" s="331"/>
      <c r="E52" s="332"/>
      <c r="F52" s="332"/>
      <c r="G52" s="332"/>
      <c r="H52" s="333"/>
      <c r="I52" s="333"/>
      <c r="J52" s="333"/>
      <c r="K52" s="333"/>
      <c r="L52" s="333"/>
      <c r="M52" s="333"/>
      <c r="N52" s="333"/>
      <c r="O52" s="332"/>
      <c r="P52" s="334"/>
      <c r="Q52" s="335"/>
    </row>
    <row r="53" spans="1:17" s="261" customFormat="1" ht="18" customHeight="1" hidden="1">
      <c r="A53" s="1015" t="s">
        <v>288</v>
      </c>
      <c r="B53" s="1021" t="s">
        <v>289</v>
      </c>
      <c r="C53" s="338" t="s">
        <v>20</v>
      </c>
      <c r="D53" s="302">
        <f>E53+M53</f>
        <v>792000</v>
      </c>
      <c r="E53" s="309">
        <f>F53+I53+J53+K53+L53</f>
        <v>790000</v>
      </c>
      <c r="F53" s="309">
        <f>G53+H53</f>
        <v>0</v>
      </c>
      <c r="G53" s="309">
        <v>0</v>
      </c>
      <c r="H53" s="303">
        <v>0</v>
      </c>
      <c r="I53" s="303">
        <v>10000</v>
      </c>
      <c r="J53" s="303">
        <v>0</v>
      </c>
      <c r="K53" s="303">
        <v>780000</v>
      </c>
      <c r="L53" s="303">
        <v>0</v>
      </c>
      <c r="M53" s="303">
        <f>N53+P53</f>
        <v>2000</v>
      </c>
      <c r="N53" s="303">
        <v>2000</v>
      </c>
      <c r="O53" s="309">
        <v>0</v>
      </c>
      <c r="P53" s="309">
        <v>0</v>
      </c>
      <c r="Q53" s="278"/>
    </row>
    <row r="54" spans="1:17" s="261" customFormat="1" ht="18" customHeight="1" hidden="1">
      <c r="A54" s="1016"/>
      <c r="B54" s="1022"/>
      <c r="C54" s="338" t="s">
        <v>21</v>
      </c>
      <c r="D54" s="302">
        <f>E54+M54</f>
        <v>0</v>
      </c>
      <c r="E54" s="303">
        <f>F54+I54+J54+K54+L54</f>
        <v>0</v>
      </c>
      <c r="F54" s="303">
        <f>G54+H54</f>
        <v>0</v>
      </c>
      <c r="G54" s="311"/>
      <c r="H54" s="311"/>
      <c r="I54" s="311"/>
      <c r="J54" s="311"/>
      <c r="K54" s="311"/>
      <c r="L54" s="311"/>
      <c r="M54" s="303">
        <f>N54+P54</f>
        <v>0</v>
      </c>
      <c r="N54" s="311"/>
      <c r="O54" s="311"/>
      <c r="P54" s="311"/>
      <c r="Q54" s="278"/>
    </row>
    <row r="55" spans="1:17" s="261" customFormat="1" ht="18" customHeight="1" hidden="1">
      <c r="A55" s="1017"/>
      <c r="B55" s="1023"/>
      <c r="C55" s="338" t="s">
        <v>22</v>
      </c>
      <c r="D55" s="312">
        <f>D53+D54</f>
        <v>792000</v>
      </c>
      <c r="E55" s="311">
        <f aca="true" t="shared" si="14" ref="E55:P55">E53+E54</f>
        <v>790000</v>
      </c>
      <c r="F55" s="311">
        <f t="shared" si="14"/>
        <v>0</v>
      </c>
      <c r="G55" s="311">
        <f t="shared" si="14"/>
        <v>0</v>
      </c>
      <c r="H55" s="311">
        <f t="shared" si="14"/>
        <v>0</v>
      </c>
      <c r="I55" s="311">
        <f t="shared" si="14"/>
        <v>10000</v>
      </c>
      <c r="J55" s="311">
        <f t="shared" si="14"/>
        <v>0</v>
      </c>
      <c r="K55" s="311">
        <f t="shared" si="14"/>
        <v>780000</v>
      </c>
      <c r="L55" s="311">
        <f t="shared" si="14"/>
        <v>0</v>
      </c>
      <c r="M55" s="311">
        <f t="shared" si="14"/>
        <v>2000</v>
      </c>
      <c r="N55" s="311">
        <f t="shared" si="14"/>
        <v>2000</v>
      </c>
      <c r="O55" s="311">
        <f t="shared" si="14"/>
        <v>0</v>
      </c>
      <c r="P55" s="311">
        <f t="shared" si="14"/>
        <v>0</v>
      </c>
      <c r="Q55" s="278"/>
    </row>
    <row r="56" spans="1:17" s="261" customFormat="1" ht="13.5" hidden="1" thickBot="1">
      <c r="A56" s="299"/>
      <c r="B56" s="313"/>
      <c r="C56" s="301"/>
      <c r="D56" s="312"/>
      <c r="E56" s="314"/>
      <c r="F56" s="314"/>
      <c r="G56" s="314"/>
      <c r="H56" s="311"/>
      <c r="I56" s="311"/>
      <c r="J56" s="311"/>
      <c r="K56" s="311"/>
      <c r="L56" s="311"/>
      <c r="M56" s="311"/>
      <c r="N56" s="311"/>
      <c r="O56" s="314"/>
      <c r="P56" s="314"/>
      <c r="Q56" s="278"/>
    </row>
    <row r="57" spans="1:17" s="341" customFormat="1" ht="14.25" hidden="1">
      <c r="A57" s="1009" t="s">
        <v>290</v>
      </c>
      <c r="B57" s="1012" t="s">
        <v>291</v>
      </c>
      <c r="C57" s="279" t="s">
        <v>20</v>
      </c>
      <c r="D57" s="339">
        <f aca="true" t="shared" si="15" ref="D57:P58">D61+D65+D69</f>
        <v>11062413</v>
      </c>
      <c r="E57" s="160">
        <f t="shared" si="15"/>
        <v>11021413</v>
      </c>
      <c r="F57" s="160">
        <f t="shared" si="15"/>
        <v>60712</v>
      </c>
      <c r="G57" s="160">
        <f t="shared" si="15"/>
        <v>5000</v>
      </c>
      <c r="H57" s="160">
        <f t="shared" si="15"/>
        <v>55712</v>
      </c>
      <c r="I57" s="160">
        <f t="shared" si="15"/>
        <v>0</v>
      </c>
      <c r="J57" s="160">
        <f t="shared" si="15"/>
        <v>0</v>
      </c>
      <c r="K57" s="160">
        <f t="shared" si="15"/>
        <v>10960701</v>
      </c>
      <c r="L57" s="160">
        <f t="shared" si="15"/>
        <v>0</v>
      </c>
      <c r="M57" s="160">
        <f t="shared" si="15"/>
        <v>41000</v>
      </c>
      <c r="N57" s="160">
        <f t="shared" si="15"/>
        <v>41000</v>
      </c>
      <c r="O57" s="160">
        <f t="shared" si="15"/>
        <v>41000</v>
      </c>
      <c r="P57" s="162">
        <f t="shared" si="15"/>
        <v>0</v>
      </c>
      <c r="Q57" s="340"/>
    </row>
    <row r="58" spans="1:17" s="341" customFormat="1" ht="14.25" hidden="1">
      <c r="A58" s="1010"/>
      <c r="B58" s="1013"/>
      <c r="C58" s="286" t="s">
        <v>21</v>
      </c>
      <c r="D58" s="342">
        <f t="shared" si="15"/>
        <v>0</v>
      </c>
      <c r="E58" s="165">
        <f t="shared" si="15"/>
        <v>0</v>
      </c>
      <c r="F58" s="165">
        <f t="shared" si="15"/>
        <v>0</v>
      </c>
      <c r="G58" s="165">
        <f t="shared" si="15"/>
        <v>0</v>
      </c>
      <c r="H58" s="165">
        <f t="shared" si="15"/>
        <v>0</v>
      </c>
      <c r="I58" s="165">
        <f t="shared" si="15"/>
        <v>0</v>
      </c>
      <c r="J58" s="165">
        <f t="shared" si="15"/>
        <v>0</v>
      </c>
      <c r="K58" s="165">
        <f t="shared" si="15"/>
        <v>0</v>
      </c>
      <c r="L58" s="165">
        <f t="shared" si="15"/>
        <v>0</v>
      </c>
      <c r="M58" s="165">
        <f t="shared" si="15"/>
        <v>0</v>
      </c>
      <c r="N58" s="165">
        <f t="shared" si="15"/>
        <v>0</v>
      </c>
      <c r="O58" s="165">
        <f t="shared" si="15"/>
        <v>0</v>
      </c>
      <c r="P58" s="167">
        <f t="shared" si="15"/>
        <v>0</v>
      </c>
      <c r="Q58" s="340"/>
    </row>
    <row r="59" spans="1:17" s="341" customFormat="1" ht="15" hidden="1" thickBot="1">
      <c r="A59" s="1011"/>
      <c r="B59" s="1014"/>
      <c r="C59" s="290" t="s">
        <v>22</v>
      </c>
      <c r="D59" s="343">
        <f>D57+D58</f>
        <v>11062413</v>
      </c>
      <c r="E59" s="169">
        <f aca="true" t="shared" si="16" ref="E59:P59">E57+E58</f>
        <v>11021413</v>
      </c>
      <c r="F59" s="169">
        <f t="shared" si="16"/>
        <v>60712</v>
      </c>
      <c r="G59" s="169">
        <f t="shared" si="16"/>
        <v>5000</v>
      </c>
      <c r="H59" s="169">
        <f t="shared" si="16"/>
        <v>55712</v>
      </c>
      <c r="I59" s="169">
        <f t="shared" si="16"/>
        <v>0</v>
      </c>
      <c r="J59" s="169">
        <f t="shared" si="16"/>
        <v>0</v>
      </c>
      <c r="K59" s="169">
        <f t="shared" si="16"/>
        <v>10960701</v>
      </c>
      <c r="L59" s="169">
        <f t="shared" si="16"/>
        <v>0</v>
      </c>
      <c r="M59" s="169">
        <f t="shared" si="16"/>
        <v>41000</v>
      </c>
      <c r="N59" s="169">
        <f t="shared" si="16"/>
        <v>41000</v>
      </c>
      <c r="O59" s="169">
        <f t="shared" si="16"/>
        <v>41000</v>
      </c>
      <c r="P59" s="171">
        <f t="shared" si="16"/>
        <v>0</v>
      </c>
      <c r="Q59" s="340"/>
    </row>
    <row r="60" spans="1:17" s="336" customFormat="1" ht="14.25" hidden="1">
      <c r="A60" s="328"/>
      <c r="B60" s="329"/>
      <c r="C60" s="330"/>
      <c r="D60" s="331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44"/>
      <c r="Q60" s="335"/>
    </row>
    <row r="61" spans="1:17" s="261" customFormat="1" ht="12.75" hidden="1">
      <c r="A61" s="1015" t="s">
        <v>292</v>
      </c>
      <c r="B61" s="1018" t="s">
        <v>293</v>
      </c>
      <c r="C61" s="301" t="s">
        <v>20</v>
      </c>
      <c r="D61" s="302">
        <f>E61+M61</f>
        <v>35000</v>
      </c>
      <c r="E61" s="309">
        <f>F61+I61+J61+K61+L61</f>
        <v>35000</v>
      </c>
      <c r="F61" s="309">
        <f>G61+H61</f>
        <v>35000</v>
      </c>
      <c r="G61" s="309">
        <v>0</v>
      </c>
      <c r="H61" s="303">
        <v>35000</v>
      </c>
      <c r="I61" s="303">
        <v>0</v>
      </c>
      <c r="J61" s="303">
        <v>0</v>
      </c>
      <c r="K61" s="303">
        <v>0</v>
      </c>
      <c r="L61" s="303">
        <v>0</v>
      </c>
      <c r="M61" s="303">
        <f>N61+P61</f>
        <v>0</v>
      </c>
      <c r="N61" s="303">
        <v>0</v>
      </c>
      <c r="O61" s="309">
        <v>0</v>
      </c>
      <c r="P61" s="309">
        <v>0</v>
      </c>
      <c r="Q61" s="278"/>
    </row>
    <row r="62" spans="1:17" s="261" customFormat="1" ht="12.75" hidden="1">
      <c r="A62" s="1016"/>
      <c r="B62" s="1019"/>
      <c r="C62" s="301" t="s">
        <v>21</v>
      </c>
      <c r="D62" s="302">
        <f>E62+M62</f>
        <v>0</v>
      </c>
      <c r="E62" s="309">
        <f>F62+I62+J62+K62+L62</f>
        <v>0</v>
      </c>
      <c r="F62" s="309">
        <f>G62+H62</f>
        <v>0</v>
      </c>
      <c r="G62" s="309"/>
      <c r="H62" s="303"/>
      <c r="I62" s="303"/>
      <c r="J62" s="303"/>
      <c r="K62" s="303"/>
      <c r="L62" s="303"/>
      <c r="M62" s="303">
        <f>N62+P62</f>
        <v>0</v>
      </c>
      <c r="N62" s="303"/>
      <c r="O62" s="309"/>
      <c r="P62" s="309"/>
      <c r="Q62" s="278"/>
    </row>
    <row r="63" spans="1:17" s="261" customFormat="1" ht="12.75" hidden="1">
      <c r="A63" s="1017"/>
      <c r="B63" s="1020"/>
      <c r="C63" s="301" t="s">
        <v>22</v>
      </c>
      <c r="D63" s="302">
        <f>D61+D62</f>
        <v>35000</v>
      </c>
      <c r="E63" s="303">
        <f aca="true" t="shared" si="17" ref="E63:P63">E61+E62</f>
        <v>35000</v>
      </c>
      <c r="F63" s="303">
        <f t="shared" si="17"/>
        <v>35000</v>
      </c>
      <c r="G63" s="303">
        <f t="shared" si="17"/>
        <v>0</v>
      </c>
      <c r="H63" s="303">
        <f t="shared" si="17"/>
        <v>35000</v>
      </c>
      <c r="I63" s="303">
        <f t="shared" si="17"/>
        <v>0</v>
      </c>
      <c r="J63" s="303">
        <f t="shared" si="17"/>
        <v>0</v>
      </c>
      <c r="K63" s="303">
        <f t="shared" si="17"/>
        <v>0</v>
      </c>
      <c r="L63" s="303">
        <f t="shared" si="17"/>
        <v>0</v>
      </c>
      <c r="M63" s="303">
        <f t="shared" si="17"/>
        <v>0</v>
      </c>
      <c r="N63" s="303">
        <f t="shared" si="17"/>
        <v>0</v>
      </c>
      <c r="O63" s="303">
        <f t="shared" si="17"/>
        <v>0</v>
      </c>
      <c r="P63" s="303">
        <f t="shared" si="17"/>
        <v>0</v>
      </c>
      <c r="Q63" s="278"/>
    </row>
    <row r="64" spans="1:17" s="261" customFormat="1" ht="12.75" hidden="1">
      <c r="A64" s="306"/>
      <c r="B64" s="307"/>
      <c r="C64" s="308"/>
      <c r="D64" s="302"/>
      <c r="E64" s="309"/>
      <c r="F64" s="309"/>
      <c r="G64" s="309"/>
      <c r="H64" s="303"/>
      <c r="I64" s="303"/>
      <c r="J64" s="303"/>
      <c r="K64" s="303"/>
      <c r="L64" s="303"/>
      <c r="M64" s="303"/>
      <c r="N64" s="303"/>
      <c r="O64" s="309"/>
      <c r="P64" s="309"/>
      <c r="Q64" s="278"/>
    </row>
    <row r="65" spans="1:17" s="261" customFormat="1" ht="12.75" hidden="1">
      <c r="A65" s="1015" t="s">
        <v>294</v>
      </c>
      <c r="B65" s="1021" t="s">
        <v>295</v>
      </c>
      <c r="C65" s="345" t="s">
        <v>20</v>
      </c>
      <c r="D65" s="302">
        <f>E65+M65</f>
        <v>10495116</v>
      </c>
      <c r="E65" s="309">
        <f>F65+I65+J65+K65+L65</f>
        <v>10454116</v>
      </c>
      <c r="F65" s="309">
        <f>G65+H65</f>
        <v>20000</v>
      </c>
      <c r="G65" s="309">
        <v>5000</v>
      </c>
      <c r="H65" s="303">
        <v>15000</v>
      </c>
      <c r="I65" s="303">
        <v>0</v>
      </c>
      <c r="J65" s="303">
        <v>0</v>
      </c>
      <c r="K65" s="303">
        <v>10434116</v>
      </c>
      <c r="L65" s="303">
        <v>0</v>
      </c>
      <c r="M65" s="303">
        <f>N65+P65</f>
        <v>41000</v>
      </c>
      <c r="N65" s="303">
        <v>41000</v>
      </c>
      <c r="O65" s="309">
        <v>41000</v>
      </c>
      <c r="P65" s="309">
        <v>0</v>
      </c>
      <c r="Q65" s="278"/>
    </row>
    <row r="66" spans="1:17" s="261" customFormat="1" ht="12.75" hidden="1">
      <c r="A66" s="1016"/>
      <c r="B66" s="1022"/>
      <c r="C66" s="345" t="s">
        <v>21</v>
      </c>
      <c r="D66" s="302">
        <f>E66+M66</f>
        <v>0</v>
      </c>
      <c r="E66" s="309">
        <f>F66+I66+J66+K66+L66</f>
        <v>0</v>
      </c>
      <c r="F66" s="309">
        <f>G66+H66</f>
        <v>0</v>
      </c>
      <c r="G66" s="314"/>
      <c r="H66" s="311"/>
      <c r="I66" s="311"/>
      <c r="J66" s="311"/>
      <c r="K66" s="311"/>
      <c r="L66" s="311"/>
      <c r="M66" s="303">
        <f>N66+P66</f>
        <v>0</v>
      </c>
      <c r="N66" s="311"/>
      <c r="O66" s="314"/>
      <c r="P66" s="314"/>
      <c r="Q66" s="278"/>
    </row>
    <row r="67" spans="1:17" s="261" customFormat="1" ht="12.75" hidden="1">
      <c r="A67" s="1017"/>
      <c r="B67" s="1023"/>
      <c r="C67" s="345" t="s">
        <v>22</v>
      </c>
      <c r="D67" s="302">
        <f>D65+D66</f>
        <v>10495116</v>
      </c>
      <c r="E67" s="303">
        <f aca="true" t="shared" si="18" ref="E67:P67">E65+E66</f>
        <v>10454116</v>
      </c>
      <c r="F67" s="303">
        <f t="shared" si="18"/>
        <v>20000</v>
      </c>
      <c r="G67" s="303">
        <f t="shared" si="18"/>
        <v>5000</v>
      </c>
      <c r="H67" s="303">
        <f t="shared" si="18"/>
        <v>15000</v>
      </c>
      <c r="I67" s="303">
        <f t="shared" si="18"/>
        <v>0</v>
      </c>
      <c r="J67" s="303">
        <f t="shared" si="18"/>
        <v>0</v>
      </c>
      <c r="K67" s="303">
        <f t="shared" si="18"/>
        <v>10434116</v>
      </c>
      <c r="L67" s="303">
        <f t="shared" si="18"/>
        <v>0</v>
      </c>
      <c r="M67" s="303">
        <f t="shared" si="18"/>
        <v>41000</v>
      </c>
      <c r="N67" s="303">
        <f t="shared" si="18"/>
        <v>41000</v>
      </c>
      <c r="O67" s="303">
        <f t="shared" si="18"/>
        <v>41000</v>
      </c>
      <c r="P67" s="303">
        <f t="shared" si="18"/>
        <v>0</v>
      </c>
      <c r="Q67" s="278"/>
    </row>
    <row r="68" spans="1:17" s="261" customFormat="1" ht="12.75" hidden="1">
      <c r="A68" s="306"/>
      <c r="B68" s="346"/>
      <c r="C68" s="345"/>
      <c r="D68" s="302"/>
      <c r="E68" s="303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278"/>
    </row>
    <row r="69" spans="1:17" s="261" customFormat="1" ht="12.75" hidden="1">
      <c r="A69" s="1015" t="s">
        <v>296</v>
      </c>
      <c r="B69" s="1021" t="s">
        <v>210</v>
      </c>
      <c r="C69" s="345" t="s">
        <v>20</v>
      </c>
      <c r="D69" s="302">
        <f>E69+M69</f>
        <v>532297</v>
      </c>
      <c r="E69" s="303">
        <f>F69+I69+J69+K69+L69</f>
        <v>532297</v>
      </c>
      <c r="F69" s="303">
        <f>G69+H69</f>
        <v>5712</v>
      </c>
      <c r="G69" s="303">
        <v>0</v>
      </c>
      <c r="H69" s="303">
        <f>5712</f>
        <v>5712</v>
      </c>
      <c r="I69" s="303">
        <v>0</v>
      </c>
      <c r="J69" s="303">
        <v>0</v>
      </c>
      <c r="K69" s="303">
        <v>526585</v>
      </c>
      <c r="L69" s="303">
        <v>0</v>
      </c>
      <c r="M69" s="303">
        <f>N69+P69</f>
        <v>0</v>
      </c>
      <c r="N69" s="303">
        <v>0</v>
      </c>
      <c r="O69" s="303">
        <v>0</v>
      </c>
      <c r="P69" s="303">
        <v>0</v>
      </c>
      <c r="Q69" s="278"/>
    </row>
    <row r="70" spans="1:17" s="261" customFormat="1" ht="12.75" hidden="1">
      <c r="A70" s="1016"/>
      <c r="B70" s="1022"/>
      <c r="C70" s="338" t="s">
        <v>21</v>
      </c>
      <c r="D70" s="302">
        <f>E70+M70</f>
        <v>0</v>
      </c>
      <c r="E70" s="303">
        <f>F70+I70+J70+K70+L70</f>
        <v>0</v>
      </c>
      <c r="F70" s="303">
        <f>G70+H70</f>
        <v>0</v>
      </c>
      <c r="G70" s="311"/>
      <c r="H70" s="311"/>
      <c r="I70" s="311"/>
      <c r="J70" s="311"/>
      <c r="K70" s="311"/>
      <c r="L70" s="311"/>
      <c r="M70" s="303">
        <f>N70+P70</f>
        <v>0</v>
      </c>
      <c r="N70" s="311"/>
      <c r="O70" s="311"/>
      <c r="P70" s="311"/>
      <c r="Q70" s="278"/>
    </row>
    <row r="71" spans="1:17" s="261" customFormat="1" ht="12.75" hidden="1">
      <c r="A71" s="1017"/>
      <c r="B71" s="1023"/>
      <c r="C71" s="338" t="s">
        <v>22</v>
      </c>
      <c r="D71" s="312">
        <f>D69+D70</f>
        <v>532297</v>
      </c>
      <c r="E71" s="311">
        <f aca="true" t="shared" si="19" ref="E71:P71">E69+E70</f>
        <v>532297</v>
      </c>
      <c r="F71" s="311">
        <f t="shared" si="19"/>
        <v>5712</v>
      </c>
      <c r="G71" s="311">
        <f t="shared" si="19"/>
        <v>0</v>
      </c>
      <c r="H71" s="311">
        <f t="shared" si="19"/>
        <v>5712</v>
      </c>
      <c r="I71" s="311">
        <f t="shared" si="19"/>
        <v>0</v>
      </c>
      <c r="J71" s="311">
        <f t="shared" si="19"/>
        <v>0</v>
      </c>
      <c r="K71" s="311">
        <f t="shared" si="19"/>
        <v>526585</v>
      </c>
      <c r="L71" s="311">
        <f t="shared" si="19"/>
        <v>0</v>
      </c>
      <c r="M71" s="311">
        <f t="shared" si="19"/>
        <v>0</v>
      </c>
      <c r="N71" s="311">
        <f t="shared" si="19"/>
        <v>0</v>
      </c>
      <c r="O71" s="311">
        <f t="shared" si="19"/>
        <v>0</v>
      </c>
      <c r="P71" s="311">
        <f t="shared" si="19"/>
        <v>0</v>
      </c>
      <c r="Q71" s="278"/>
    </row>
    <row r="72" spans="1:17" s="261" customFormat="1" ht="13.5" hidden="1" thickBot="1">
      <c r="A72" s="299"/>
      <c r="B72" s="337"/>
      <c r="C72" s="338"/>
      <c r="D72" s="312"/>
      <c r="E72" s="314"/>
      <c r="F72" s="314"/>
      <c r="G72" s="314"/>
      <c r="H72" s="311"/>
      <c r="I72" s="311"/>
      <c r="J72" s="311"/>
      <c r="K72" s="311"/>
      <c r="L72" s="311"/>
      <c r="M72" s="311"/>
      <c r="N72" s="311"/>
      <c r="O72" s="314"/>
      <c r="P72" s="314"/>
      <c r="Q72" s="278"/>
    </row>
    <row r="73" spans="1:17" s="348" customFormat="1" ht="14.25" hidden="1">
      <c r="A73" s="1009" t="s">
        <v>297</v>
      </c>
      <c r="B73" s="1012" t="s">
        <v>298</v>
      </c>
      <c r="C73" s="279" t="s">
        <v>20</v>
      </c>
      <c r="D73" s="339">
        <f>D77</f>
        <v>4993843</v>
      </c>
      <c r="E73" s="160">
        <f>E77</f>
        <v>0</v>
      </c>
      <c r="F73" s="160">
        <f aca="true" t="shared" si="20" ref="F73:P74">F77</f>
        <v>0</v>
      </c>
      <c r="G73" s="160">
        <f t="shared" si="20"/>
        <v>0</v>
      </c>
      <c r="H73" s="160">
        <f t="shared" si="20"/>
        <v>0</v>
      </c>
      <c r="I73" s="160">
        <f t="shared" si="20"/>
        <v>0</v>
      </c>
      <c r="J73" s="160">
        <f t="shared" si="20"/>
        <v>0</v>
      </c>
      <c r="K73" s="160">
        <f t="shared" si="20"/>
        <v>0</v>
      </c>
      <c r="L73" s="160">
        <f t="shared" si="20"/>
        <v>0</v>
      </c>
      <c r="M73" s="160">
        <f t="shared" si="20"/>
        <v>4993843</v>
      </c>
      <c r="N73" s="160">
        <f t="shared" si="20"/>
        <v>4993843</v>
      </c>
      <c r="O73" s="160">
        <f t="shared" si="20"/>
        <v>4993843</v>
      </c>
      <c r="P73" s="162">
        <f t="shared" si="20"/>
        <v>0</v>
      </c>
      <c r="Q73" s="347"/>
    </row>
    <row r="74" spans="1:17" s="348" customFormat="1" ht="14.25" hidden="1">
      <c r="A74" s="1010"/>
      <c r="B74" s="1013"/>
      <c r="C74" s="286" t="s">
        <v>21</v>
      </c>
      <c r="D74" s="342">
        <f>D78</f>
        <v>0</v>
      </c>
      <c r="E74" s="165">
        <f>E78</f>
        <v>0</v>
      </c>
      <c r="F74" s="165">
        <f t="shared" si="20"/>
        <v>0</v>
      </c>
      <c r="G74" s="165">
        <f t="shared" si="20"/>
        <v>0</v>
      </c>
      <c r="H74" s="165">
        <f t="shared" si="20"/>
        <v>0</v>
      </c>
      <c r="I74" s="165">
        <f t="shared" si="20"/>
        <v>0</v>
      </c>
      <c r="J74" s="165">
        <f t="shared" si="20"/>
        <v>0</v>
      </c>
      <c r="K74" s="165">
        <f t="shared" si="20"/>
        <v>0</v>
      </c>
      <c r="L74" s="165">
        <f t="shared" si="20"/>
        <v>0</v>
      </c>
      <c r="M74" s="165">
        <f t="shared" si="20"/>
        <v>0</v>
      </c>
      <c r="N74" s="165">
        <f t="shared" si="20"/>
        <v>0</v>
      </c>
      <c r="O74" s="165">
        <f t="shared" si="20"/>
        <v>0</v>
      </c>
      <c r="P74" s="167">
        <f t="shared" si="20"/>
        <v>0</v>
      </c>
      <c r="Q74" s="347"/>
    </row>
    <row r="75" spans="1:17" s="348" customFormat="1" ht="15" hidden="1" thickBot="1">
      <c r="A75" s="1011"/>
      <c r="B75" s="1014"/>
      <c r="C75" s="290" t="s">
        <v>22</v>
      </c>
      <c r="D75" s="343">
        <f>D73+D74</f>
        <v>4993843</v>
      </c>
      <c r="E75" s="169">
        <f aca="true" t="shared" si="21" ref="E75:P75">E73+E74</f>
        <v>0</v>
      </c>
      <c r="F75" s="169">
        <f t="shared" si="21"/>
        <v>0</v>
      </c>
      <c r="G75" s="169">
        <f t="shared" si="21"/>
        <v>0</v>
      </c>
      <c r="H75" s="169">
        <f t="shared" si="21"/>
        <v>0</v>
      </c>
      <c r="I75" s="169">
        <f t="shared" si="21"/>
        <v>0</v>
      </c>
      <c r="J75" s="169">
        <f t="shared" si="21"/>
        <v>0</v>
      </c>
      <c r="K75" s="169">
        <f t="shared" si="21"/>
        <v>0</v>
      </c>
      <c r="L75" s="169">
        <f t="shared" si="21"/>
        <v>0</v>
      </c>
      <c r="M75" s="169">
        <f t="shared" si="21"/>
        <v>4993843</v>
      </c>
      <c r="N75" s="169">
        <f t="shared" si="21"/>
        <v>4993843</v>
      </c>
      <c r="O75" s="169">
        <f t="shared" si="21"/>
        <v>4993843</v>
      </c>
      <c r="P75" s="171">
        <f t="shared" si="21"/>
        <v>0</v>
      </c>
      <c r="Q75" s="347"/>
    </row>
    <row r="76" spans="1:17" s="351" customFormat="1" ht="12.75" hidden="1">
      <c r="A76" s="294"/>
      <c r="B76" s="305"/>
      <c r="C76" s="296"/>
      <c r="D76" s="297"/>
      <c r="E76" s="349"/>
      <c r="F76" s="349"/>
      <c r="G76" s="349"/>
      <c r="H76" s="298"/>
      <c r="I76" s="298"/>
      <c r="J76" s="298"/>
      <c r="K76" s="298"/>
      <c r="L76" s="298"/>
      <c r="M76" s="298"/>
      <c r="N76" s="298"/>
      <c r="O76" s="349"/>
      <c r="P76" s="349"/>
      <c r="Q76" s="350"/>
    </row>
    <row r="77" spans="1:17" s="351" customFormat="1" ht="12.75" hidden="1">
      <c r="A77" s="1024" t="s">
        <v>299</v>
      </c>
      <c r="B77" s="1025" t="s">
        <v>210</v>
      </c>
      <c r="C77" s="308" t="s">
        <v>20</v>
      </c>
      <c r="D77" s="302">
        <f>E77+M77</f>
        <v>4993843</v>
      </c>
      <c r="E77" s="309">
        <f>F77+I77+J77+K77+L77</f>
        <v>0</v>
      </c>
      <c r="F77" s="309">
        <f>G77+H77</f>
        <v>0</v>
      </c>
      <c r="G77" s="309">
        <v>0</v>
      </c>
      <c r="H77" s="303">
        <v>0</v>
      </c>
      <c r="I77" s="303">
        <v>0</v>
      </c>
      <c r="J77" s="303">
        <v>0</v>
      </c>
      <c r="K77" s="303">
        <v>0</v>
      </c>
      <c r="L77" s="303">
        <v>0</v>
      </c>
      <c r="M77" s="303">
        <f>N77+P77</f>
        <v>4993843</v>
      </c>
      <c r="N77" s="303">
        <v>4993843</v>
      </c>
      <c r="O77" s="309">
        <v>4993843</v>
      </c>
      <c r="P77" s="309">
        <v>0</v>
      </c>
      <c r="Q77" s="350"/>
    </row>
    <row r="78" spans="1:17" s="351" customFormat="1" ht="12.75" hidden="1">
      <c r="A78" s="1024"/>
      <c r="B78" s="1025"/>
      <c r="C78" s="308" t="s">
        <v>21</v>
      </c>
      <c r="D78" s="302">
        <f>E78+M78</f>
        <v>0</v>
      </c>
      <c r="E78" s="309">
        <f>F78+I78+J78+K78+L78</f>
        <v>0</v>
      </c>
      <c r="F78" s="309">
        <f>G78+H78</f>
        <v>0</v>
      </c>
      <c r="G78" s="309"/>
      <c r="H78" s="303"/>
      <c r="I78" s="303"/>
      <c r="J78" s="303"/>
      <c r="K78" s="303"/>
      <c r="L78" s="303"/>
      <c r="M78" s="303">
        <f>N78+P78</f>
        <v>0</v>
      </c>
      <c r="N78" s="303"/>
      <c r="O78" s="309"/>
      <c r="P78" s="309"/>
      <c r="Q78" s="350"/>
    </row>
    <row r="79" spans="1:17" s="351" customFormat="1" ht="12.75" hidden="1">
      <c r="A79" s="1024"/>
      <c r="B79" s="1025"/>
      <c r="C79" s="308" t="s">
        <v>22</v>
      </c>
      <c r="D79" s="302">
        <f>D77+D78</f>
        <v>4993843</v>
      </c>
      <c r="E79" s="303">
        <f aca="true" t="shared" si="22" ref="E79:P79">E77+E78</f>
        <v>0</v>
      </c>
      <c r="F79" s="303">
        <f t="shared" si="22"/>
        <v>0</v>
      </c>
      <c r="G79" s="303">
        <f t="shared" si="22"/>
        <v>0</v>
      </c>
      <c r="H79" s="303">
        <f t="shared" si="22"/>
        <v>0</v>
      </c>
      <c r="I79" s="303">
        <f t="shared" si="22"/>
        <v>0</v>
      </c>
      <c r="J79" s="303">
        <f t="shared" si="22"/>
        <v>0</v>
      </c>
      <c r="K79" s="303">
        <f t="shared" si="22"/>
        <v>0</v>
      </c>
      <c r="L79" s="303">
        <f t="shared" si="22"/>
        <v>0</v>
      </c>
      <c r="M79" s="303">
        <f t="shared" si="22"/>
        <v>4993843</v>
      </c>
      <c r="N79" s="303">
        <f t="shared" si="22"/>
        <v>4993843</v>
      </c>
      <c r="O79" s="303">
        <f t="shared" si="22"/>
        <v>4993843</v>
      </c>
      <c r="P79" s="303">
        <f t="shared" si="22"/>
        <v>0</v>
      </c>
      <c r="Q79" s="350"/>
    </row>
    <row r="80" spans="1:17" s="351" customFormat="1" ht="13.5" hidden="1" thickBot="1">
      <c r="A80" s="273"/>
      <c r="B80" s="304"/>
      <c r="C80" s="275"/>
      <c r="D80" s="276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350"/>
    </row>
    <row r="81" spans="1:17" s="348" customFormat="1" ht="14.25" hidden="1">
      <c r="A81" s="1009" t="s">
        <v>300</v>
      </c>
      <c r="B81" s="1012" t="s">
        <v>301</v>
      </c>
      <c r="C81" s="279" t="s">
        <v>20</v>
      </c>
      <c r="D81" s="339">
        <f>D85</f>
        <v>272500</v>
      </c>
      <c r="E81" s="160">
        <f aca="true" t="shared" si="23" ref="E81:P82">E85</f>
        <v>272500</v>
      </c>
      <c r="F81" s="160">
        <f t="shared" si="23"/>
        <v>272500</v>
      </c>
      <c r="G81" s="160">
        <f t="shared" si="23"/>
        <v>256500</v>
      </c>
      <c r="H81" s="160">
        <f t="shared" si="23"/>
        <v>16000</v>
      </c>
      <c r="I81" s="160">
        <f t="shared" si="23"/>
        <v>0</v>
      </c>
      <c r="J81" s="160">
        <f t="shared" si="23"/>
        <v>0</v>
      </c>
      <c r="K81" s="160">
        <f t="shared" si="23"/>
        <v>0</v>
      </c>
      <c r="L81" s="160">
        <f t="shared" si="23"/>
        <v>0</v>
      </c>
      <c r="M81" s="160">
        <f t="shared" si="23"/>
        <v>0</v>
      </c>
      <c r="N81" s="160">
        <f t="shared" si="23"/>
        <v>0</v>
      </c>
      <c r="O81" s="160">
        <f t="shared" si="23"/>
        <v>0</v>
      </c>
      <c r="P81" s="162">
        <f t="shared" si="23"/>
        <v>0</v>
      </c>
      <c r="Q81" s="347"/>
    </row>
    <row r="82" spans="1:17" s="348" customFormat="1" ht="14.25" hidden="1">
      <c r="A82" s="1010"/>
      <c r="B82" s="1013"/>
      <c r="C82" s="286" t="s">
        <v>21</v>
      </c>
      <c r="D82" s="342">
        <f>D86</f>
        <v>0</v>
      </c>
      <c r="E82" s="165">
        <f t="shared" si="23"/>
        <v>0</v>
      </c>
      <c r="F82" s="165">
        <f t="shared" si="23"/>
        <v>0</v>
      </c>
      <c r="G82" s="165">
        <f t="shared" si="23"/>
        <v>0</v>
      </c>
      <c r="H82" s="165">
        <f t="shared" si="23"/>
        <v>0</v>
      </c>
      <c r="I82" s="165">
        <f t="shared" si="23"/>
        <v>0</v>
      </c>
      <c r="J82" s="165">
        <f t="shared" si="23"/>
        <v>0</v>
      </c>
      <c r="K82" s="165">
        <f t="shared" si="23"/>
        <v>0</v>
      </c>
      <c r="L82" s="165">
        <f t="shared" si="23"/>
        <v>0</v>
      </c>
      <c r="M82" s="165">
        <f t="shared" si="23"/>
        <v>0</v>
      </c>
      <c r="N82" s="165">
        <f t="shared" si="23"/>
        <v>0</v>
      </c>
      <c r="O82" s="165">
        <f t="shared" si="23"/>
        <v>0</v>
      </c>
      <c r="P82" s="167">
        <f t="shared" si="23"/>
        <v>0</v>
      </c>
      <c r="Q82" s="347"/>
    </row>
    <row r="83" spans="1:17" s="348" customFormat="1" ht="15" hidden="1" thickBot="1">
      <c r="A83" s="1011"/>
      <c r="B83" s="1014"/>
      <c r="C83" s="290" t="s">
        <v>22</v>
      </c>
      <c r="D83" s="343">
        <f>D81+D82</f>
        <v>272500</v>
      </c>
      <c r="E83" s="169">
        <f aca="true" t="shared" si="24" ref="E83:P83">E81+E82</f>
        <v>272500</v>
      </c>
      <c r="F83" s="169">
        <f t="shared" si="24"/>
        <v>272500</v>
      </c>
      <c r="G83" s="169">
        <f t="shared" si="24"/>
        <v>256500</v>
      </c>
      <c r="H83" s="169">
        <f t="shared" si="24"/>
        <v>16000</v>
      </c>
      <c r="I83" s="169">
        <f t="shared" si="24"/>
        <v>0</v>
      </c>
      <c r="J83" s="169">
        <f t="shared" si="24"/>
        <v>0</v>
      </c>
      <c r="K83" s="169">
        <f t="shared" si="24"/>
        <v>0</v>
      </c>
      <c r="L83" s="169">
        <f t="shared" si="24"/>
        <v>0</v>
      </c>
      <c r="M83" s="169">
        <f t="shared" si="24"/>
        <v>0</v>
      </c>
      <c r="N83" s="169">
        <f t="shared" si="24"/>
        <v>0</v>
      </c>
      <c r="O83" s="169">
        <f t="shared" si="24"/>
        <v>0</v>
      </c>
      <c r="P83" s="171">
        <f t="shared" si="24"/>
        <v>0</v>
      </c>
      <c r="Q83" s="347"/>
    </row>
    <row r="84" spans="1:17" s="359" customFormat="1" ht="15" hidden="1">
      <c r="A84" s="352"/>
      <c r="B84" s="353"/>
      <c r="C84" s="354"/>
      <c r="D84" s="355"/>
      <c r="E84" s="356"/>
      <c r="F84" s="356"/>
      <c r="G84" s="356"/>
      <c r="H84" s="356"/>
      <c r="I84" s="356"/>
      <c r="J84" s="356"/>
      <c r="K84" s="356"/>
      <c r="L84" s="356"/>
      <c r="M84" s="356"/>
      <c r="N84" s="356"/>
      <c r="O84" s="356"/>
      <c r="P84" s="357"/>
      <c r="Q84" s="358"/>
    </row>
    <row r="85" spans="1:17" s="351" customFormat="1" ht="12.75" hidden="1">
      <c r="A85" s="1015" t="s">
        <v>302</v>
      </c>
      <c r="B85" s="1018" t="s">
        <v>303</v>
      </c>
      <c r="C85" s="308" t="s">
        <v>20</v>
      </c>
      <c r="D85" s="302">
        <f>E85+M85</f>
        <v>272500</v>
      </c>
      <c r="E85" s="303">
        <f>F85+I85+J85+K85+L85</f>
        <v>272500</v>
      </c>
      <c r="F85" s="303">
        <f>G85+H85</f>
        <v>272500</v>
      </c>
      <c r="G85" s="303">
        <v>256500</v>
      </c>
      <c r="H85" s="303">
        <v>16000</v>
      </c>
      <c r="I85" s="303">
        <v>0</v>
      </c>
      <c r="J85" s="303">
        <v>0</v>
      </c>
      <c r="K85" s="303">
        <v>0</v>
      </c>
      <c r="L85" s="303">
        <v>0</v>
      </c>
      <c r="M85" s="303">
        <f>N85+P85</f>
        <v>0</v>
      </c>
      <c r="N85" s="303">
        <v>0</v>
      </c>
      <c r="O85" s="303">
        <v>0</v>
      </c>
      <c r="P85" s="303">
        <v>0</v>
      </c>
      <c r="Q85" s="350"/>
    </row>
    <row r="86" spans="1:17" s="351" customFormat="1" ht="12.75" hidden="1">
      <c r="A86" s="1016"/>
      <c r="B86" s="1019"/>
      <c r="C86" s="301" t="s">
        <v>21</v>
      </c>
      <c r="D86" s="302">
        <f>E86+M86</f>
        <v>0</v>
      </c>
      <c r="E86" s="309">
        <f>F86+I86+J86+K86+L86</f>
        <v>0</v>
      </c>
      <c r="F86" s="309">
        <f>G86+H86</f>
        <v>0</v>
      </c>
      <c r="G86" s="314"/>
      <c r="H86" s="311"/>
      <c r="I86" s="311"/>
      <c r="J86" s="311"/>
      <c r="K86" s="311"/>
      <c r="L86" s="311"/>
      <c r="M86" s="303">
        <f>N86+P86</f>
        <v>0</v>
      </c>
      <c r="N86" s="311"/>
      <c r="O86" s="314"/>
      <c r="P86" s="314"/>
      <c r="Q86" s="350"/>
    </row>
    <row r="87" spans="1:17" s="351" customFormat="1" ht="12.75" hidden="1">
      <c r="A87" s="1017"/>
      <c r="B87" s="1020"/>
      <c r="C87" s="301" t="s">
        <v>22</v>
      </c>
      <c r="D87" s="312">
        <f>D85+D86</f>
        <v>272500</v>
      </c>
      <c r="E87" s="311">
        <f aca="true" t="shared" si="25" ref="E87:P87">E85+E86</f>
        <v>272500</v>
      </c>
      <c r="F87" s="311">
        <f t="shared" si="25"/>
        <v>272500</v>
      </c>
      <c r="G87" s="311">
        <f t="shared" si="25"/>
        <v>256500</v>
      </c>
      <c r="H87" s="311">
        <f t="shared" si="25"/>
        <v>16000</v>
      </c>
      <c r="I87" s="311">
        <f t="shared" si="25"/>
        <v>0</v>
      </c>
      <c r="J87" s="311">
        <f t="shared" si="25"/>
        <v>0</v>
      </c>
      <c r="K87" s="311">
        <f t="shared" si="25"/>
        <v>0</v>
      </c>
      <c r="L87" s="311">
        <f t="shared" si="25"/>
        <v>0</v>
      </c>
      <c r="M87" s="311">
        <f t="shared" si="25"/>
        <v>0</v>
      </c>
      <c r="N87" s="311">
        <f t="shared" si="25"/>
        <v>0</v>
      </c>
      <c r="O87" s="311">
        <f t="shared" si="25"/>
        <v>0</v>
      </c>
      <c r="P87" s="311">
        <f t="shared" si="25"/>
        <v>0</v>
      </c>
      <c r="Q87" s="350"/>
    </row>
    <row r="88" spans="1:17" s="261" customFormat="1" ht="6" customHeight="1" thickBot="1">
      <c r="A88" s="299"/>
      <c r="B88" s="313"/>
      <c r="C88" s="301"/>
      <c r="D88" s="312"/>
      <c r="E88" s="314"/>
      <c r="F88" s="314"/>
      <c r="G88" s="314"/>
      <c r="H88" s="311"/>
      <c r="I88" s="311"/>
      <c r="J88" s="311"/>
      <c r="K88" s="311"/>
      <c r="L88" s="311"/>
      <c r="M88" s="311"/>
      <c r="N88" s="311"/>
      <c r="O88" s="314"/>
      <c r="P88" s="314"/>
      <c r="Q88" s="278"/>
    </row>
    <row r="89" spans="1:17" s="341" customFormat="1" ht="14.25">
      <c r="A89" s="1009" t="s">
        <v>27</v>
      </c>
      <c r="B89" s="1012" t="s">
        <v>28</v>
      </c>
      <c r="C89" s="279" t="s">
        <v>20</v>
      </c>
      <c r="D89" s="339">
        <f>D93+D97+D101+D105+D113+D109</f>
        <v>337609935</v>
      </c>
      <c r="E89" s="160">
        <f>E93+E97+E101+E105+E113+E109</f>
        <v>170067278</v>
      </c>
      <c r="F89" s="160">
        <f aca="true" t="shared" si="26" ref="F89:P90">F93+F97+F101+F105+F113+F109</f>
        <v>72443692</v>
      </c>
      <c r="G89" s="160">
        <f t="shared" si="26"/>
        <v>11654859</v>
      </c>
      <c r="H89" s="160">
        <f t="shared" si="26"/>
        <v>60788833</v>
      </c>
      <c r="I89" s="160">
        <f t="shared" si="26"/>
        <v>97003586</v>
      </c>
      <c r="J89" s="160">
        <f t="shared" si="26"/>
        <v>46500</v>
      </c>
      <c r="K89" s="160">
        <f t="shared" si="26"/>
        <v>573500</v>
      </c>
      <c r="L89" s="160">
        <f t="shared" si="26"/>
        <v>0</v>
      </c>
      <c r="M89" s="160">
        <f t="shared" si="26"/>
        <v>167542657</v>
      </c>
      <c r="N89" s="160">
        <f t="shared" si="26"/>
        <v>167542657</v>
      </c>
      <c r="O89" s="160">
        <f t="shared" si="26"/>
        <v>118223067</v>
      </c>
      <c r="P89" s="162">
        <f t="shared" si="26"/>
        <v>0</v>
      </c>
      <c r="Q89" s="340"/>
    </row>
    <row r="90" spans="1:17" s="341" customFormat="1" ht="14.25">
      <c r="A90" s="1010"/>
      <c r="B90" s="1013"/>
      <c r="C90" s="286" t="s">
        <v>21</v>
      </c>
      <c r="D90" s="342">
        <f>D94+D98+D102+D106+D114+D110</f>
        <v>1140046</v>
      </c>
      <c r="E90" s="165">
        <f>E94+E98+E102+E106+E114+E110</f>
        <v>675000</v>
      </c>
      <c r="F90" s="165">
        <f t="shared" si="26"/>
        <v>0</v>
      </c>
      <c r="G90" s="165">
        <f t="shared" si="26"/>
        <v>0</v>
      </c>
      <c r="H90" s="165">
        <f t="shared" si="26"/>
        <v>0</v>
      </c>
      <c r="I90" s="165">
        <f t="shared" si="26"/>
        <v>0</v>
      </c>
      <c r="J90" s="165">
        <f t="shared" si="26"/>
        <v>0</v>
      </c>
      <c r="K90" s="165">
        <f t="shared" si="26"/>
        <v>675000</v>
      </c>
      <c r="L90" s="165">
        <f t="shared" si="26"/>
        <v>0</v>
      </c>
      <c r="M90" s="165">
        <f t="shared" si="26"/>
        <v>465046</v>
      </c>
      <c r="N90" s="165">
        <f t="shared" si="26"/>
        <v>465046</v>
      </c>
      <c r="O90" s="165">
        <f t="shared" si="26"/>
        <v>465046</v>
      </c>
      <c r="P90" s="167">
        <f t="shared" si="26"/>
        <v>0</v>
      </c>
      <c r="Q90" s="340"/>
    </row>
    <row r="91" spans="1:17" s="341" customFormat="1" ht="15" thickBot="1">
      <c r="A91" s="1011"/>
      <c r="B91" s="1014"/>
      <c r="C91" s="290" t="s">
        <v>22</v>
      </c>
      <c r="D91" s="343">
        <f>D89+D90</f>
        <v>338749981</v>
      </c>
      <c r="E91" s="169">
        <f aca="true" t="shared" si="27" ref="E91:P91">E89+E90</f>
        <v>170742278</v>
      </c>
      <c r="F91" s="169">
        <f t="shared" si="27"/>
        <v>72443692</v>
      </c>
      <c r="G91" s="169">
        <f t="shared" si="27"/>
        <v>11654859</v>
      </c>
      <c r="H91" s="169">
        <f t="shared" si="27"/>
        <v>60788833</v>
      </c>
      <c r="I91" s="169">
        <f t="shared" si="27"/>
        <v>97003586</v>
      </c>
      <c r="J91" s="169">
        <f t="shared" si="27"/>
        <v>46500</v>
      </c>
      <c r="K91" s="169">
        <f t="shared" si="27"/>
        <v>1248500</v>
      </c>
      <c r="L91" s="169">
        <f t="shared" si="27"/>
        <v>0</v>
      </c>
      <c r="M91" s="169">
        <f t="shared" si="27"/>
        <v>168007703</v>
      </c>
      <c r="N91" s="169">
        <f t="shared" si="27"/>
        <v>168007703</v>
      </c>
      <c r="O91" s="169">
        <f t="shared" si="27"/>
        <v>118688113</v>
      </c>
      <c r="P91" s="171">
        <f t="shared" si="27"/>
        <v>0</v>
      </c>
      <c r="Q91" s="340"/>
    </row>
    <row r="92" spans="1:17" s="336" customFormat="1" ht="14.25" hidden="1">
      <c r="A92" s="328"/>
      <c r="B92" s="329"/>
      <c r="C92" s="330"/>
      <c r="D92" s="331"/>
      <c r="E92" s="332"/>
      <c r="F92" s="332"/>
      <c r="G92" s="332"/>
      <c r="H92" s="333"/>
      <c r="I92" s="333"/>
      <c r="J92" s="333"/>
      <c r="K92" s="333"/>
      <c r="L92" s="333"/>
      <c r="M92" s="333"/>
      <c r="N92" s="333"/>
      <c r="O92" s="332"/>
      <c r="P92" s="334"/>
      <c r="Q92" s="335"/>
    </row>
    <row r="93" spans="1:17" s="261" customFormat="1" ht="12.75" hidden="1">
      <c r="A93" s="1015" t="s">
        <v>29</v>
      </c>
      <c r="B93" s="1018" t="s">
        <v>304</v>
      </c>
      <c r="C93" s="308" t="s">
        <v>20</v>
      </c>
      <c r="D93" s="302">
        <f>E93+M93</f>
        <v>106915952</v>
      </c>
      <c r="E93" s="309">
        <f>F93+I93+J93+K93+L93</f>
        <v>96953586</v>
      </c>
      <c r="F93" s="309">
        <f>G93+H93</f>
        <v>0</v>
      </c>
      <c r="G93" s="309">
        <v>0</v>
      </c>
      <c r="H93" s="303">
        <v>0</v>
      </c>
      <c r="I93" s="303">
        <v>96953586</v>
      </c>
      <c r="J93" s="303">
        <v>0</v>
      </c>
      <c r="K93" s="303">
        <v>0</v>
      </c>
      <c r="L93" s="303">
        <v>0</v>
      </c>
      <c r="M93" s="303">
        <f>N93+P93</f>
        <v>9962366</v>
      </c>
      <c r="N93" s="303">
        <v>9962366</v>
      </c>
      <c r="O93" s="309">
        <v>0</v>
      </c>
      <c r="P93" s="309">
        <v>0</v>
      </c>
      <c r="Q93" s="278"/>
    </row>
    <row r="94" spans="1:17" s="261" customFormat="1" ht="12.75" hidden="1">
      <c r="A94" s="1016"/>
      <c r="B94" s="1019"/>
      <c r="C94" s="308" t="s">
        <v>21</v>
      </c>
      <c r="D94" s="302">
        <f>E94+M94</f>
        <v>0</v>
      </c>
      <c r="E94" s="309">
        <f>F94+I94+J94+K94+L94</f>
        <v>0</v>
      </c>
      <c r="F94" s="309">
        <f>G94+H94</f>
        <v>0</v>
      </c>
      <c r="G94" s="309"/>
      <c r="H94" s="303"/>
      <c r="I94" s="303"/>
      <c r="J94" s="303"/>
      <c r="K94" s="303"/>
      <c r="L94" s="303"/>
      <c r="M94" s="303">
        <f>N94+P94</f>
        <v>0</v>
      </c>
      <c r="N94" s="303"/>
      <c r="O94" s="309"/>
      <c r="P94" s="309"/>
      <c r="Q94" s="278"/>
    </row>
    <row r="95" spans="1:17" s="261" customFormat="1" ht="12.75" hidden="1">
      <c r="A95" s="1017"/>
      <c r="B95" s="1020"/>
      <c r="C95" s="308" t="s">
        <v>22</v>
      </c>
      <c r="D95" s="302">
        <f>D93+D94</f>
        <v>106915952</v>
      </c>
      <c r="E95" s="303">
        <f aca="true" t="shared" si="28" ref="E95:P95">E93+E94</f>
        <v>96953586</v>
      </c>
      <c r="F95" s="303">
        <f t="shared" si="28"/>
        <v>0</v>
      </c>
      <c r="G95" s="303">
        <f t="shared" si="28"/>
        <v>0</v>
      </c>
      <c r="H95" s="303">
        <f t="shared" si="28"/>
        <v>0</v>
      </c>
      <c r="I95" s="303">
        <f t="shared" si="28"/>
        <v>96953586</v>
      </c>
      <c r="J95" s="303">
        <f t="shared" si="28"/>
        <v>0</v>
      </c>
      <c r="K95" s="303">
        <f t="shared" si="28"/>
        <v>0</v>
      </c>
      <c r="L95" s="303">
        <f t="shared" si="28"/>
        <v>0</v>
      </c>
      <c r="M95" s="303">
        <f t="shared" si="28"/>
        <v>9962366</v>
      </c>
      <c r="N95" s="303">
        <f t="shared" si="28"/>
        <v>9962366</v>
      </c>
      <c r="O95" s="303">
        <f t="shared" si="28"/>
        <v>0</v>
      </c>
      <c r="P95" s="303">
        <f t="shared" si="28"/>
        <v>0</v>
      </c>
      <c r="Q95" s="278"/>
    </row>
    <row r="96" spans="1:17" s="261" customFormat="1" ht="12.75" hidden="1">
      <c r="A96" s="306"/>
      <c r="B96" s="307"/>
      <c r="C96" s="308"/>
      <c r="D96" s="302"/>
      <c r="E96" s="309"/>
      <c r="F96" s="309"/>
      <c r="G96" s="309"/>
      <c r="H96" s="303"/>
      <c r="I96" s="303"/>
      <c r="J96" s="303"/>
      <c r="K96" s="303"/>
      <c r="L96" s="303"/>
      <c r="M96" s="303"/>
      <c r="N96" s="303"/>
      <c r="O96" s="309"/>
      <c r="P96" s="309"/>
      <c r="Q96" s="278"/>
    </row>
    <row r="97" spans="1:17" s="261" customFormat="1" ht="12.75" hidden="1">
      <c r="A97" s="1026" t="s">
        <v>30</v>
      </c>
      <c r="B97" s="1018" t="s">
        <v>305</v>
      </c>
      <c r="C97" s="308" t="s">
        <v>20</v>
      </c>
      <c r="D97" s="302">
        <f>E97+M97</f>
        <v>150000</v>
      </c>
      <c r="E97" s="309">
        <f>F97+I97+J97+K97+L97</f>
        <v>0</v>
      </c>
      <c r="F97" s="309">
        <f>G97+H97</f>
        <v>0</v>
      </c>
      <c r="G97" s="309">
        <v>0</v>
      </c>
      <c r="H97" s="303">
        <v>0</v>
      </c>
      <c r="I97" s="303">
        <v>0</v>
      </c>
      <c r="J97" s="303">
        <v>0</v>
      </c>
      <c r="K97" s="303">
        <v>0</v>
      </c>
      <c r="L97" s="303">
        <v>0</v>
      </c>
      <c r="M97" s="303">
        <f>N97+P97</f>
        <v>150000</v>
      </c>
      <c r="N97" s="303">
        <v>150000</v>
      </c>
      <c r="O97" s="309">
        <v>0</v>
      </c>
      <c r="P97" s="309">
        <v>0</v>
      </c>
      <c r="Q97" s="278"/>
    </row>
    <row r="98" spans="1:17" s="261" customFormat="1" ht="12.75" hidden="1">
      <c r="A98" s="1027"/>
      <c r="B98" s="1019"/>
      <c r="C98" s="308" t="s">
        <v>21</v>
      </c>
      <c r="D98" s="302">
        <f>E98+M98</f>
        <v>0</v>
      </c>
      <c r="E98" s="309">
        <f>F98+I98+J98+K98+L98</f>
        <v>0</v>
      </c>
      <c r="F98" s="309">
        <f>G98+H98</f>
        <v>0</v>
      </c>
      <c r="G98" s="309"/>
      <c r="H98" s="303"/>
      <c r="I98" s="303"/>
      <c r="J98" s="303"/>
      <c r="K98" s="303"/>
      <c r="L98" s="303"/>
      <c r="M98" s="303">
        <f>N98+P98</f>
        <v>0</v>
      </c>
      <c r="N98" s="303"/>
      <c r="O98" s="309"/>
      <c r="P98" s="309"/>
      <c r="Q98" s="278"/>
    </row>
    <row r="99" spans="1:17" s="261" customFormat="1" ht="12.75" hidden="1">
      <c r="A99" s="1028"/>
      <c r="B99" s="1020"/>
      <c r="C99" s="308" t="s">
        <v>22</v>
      </c>
      <c r="D99" s="302">
        <f>D97+D98</f>
        <v>150000</v>
      </c>
      <c r="E99" s="303">
        <f aca="true" t="shared" si="29" ref="E99:P99">E97+E98</f>
        <v>0</v>
      </c>
      <c r="F99" s="303">
        <f t="shared" si="29"/>
        <v>0</v>
      </c>
      <c r="G99" s="303">
        <f t="shared" si="29"/>
        <v>0</v>
      </c>
      <c r="H99" s="303">
        <f t="shared" si="29"/>
        <v>0</v>
      </c>
      <c r="I99" s="303">
        <f t="shared" si="29"/>
        <v>0</v>
      </c>
      <c r="J99" s="303">
        <f t="shared" si="29"/>
        <v>0</v>
      </c>
      <c r="K99" s="303">
        <f t="shared" si="29"/>
        <v>0</v>
      </c>
      <c r="L99" s="303">
        <f t="shared" si="29"/>
        <v>0</v>
      </c>
      <c r="M99" s="303">
        <f t="shared" si="29"/>
        <v>150000</v>
      </c>
      <c r="N99" s="303">
        <f t="shared" si="29"/>
        <v>150000</v>
      </c>
      <c r="O99" s="303">
        <f t="shared" si="29"/>
        <v>0</v>
      </c>
      <c r="P99" s="303">
        <f t="shared" si="29"/>
        <v>0</v>
      </c>
      <c r="Q99" s="360"/>
    </row>
    <row r="100" spans="1:17" s="261" customFormat="1" ht="12.75" hidden="1">
      <c r="A100" s="306"/>
      <c r="B100" s="307"/>
      <c r="C100" s="308"/>
      <c r="D100" s="302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60"/>
    </row>
    <row r="101" spans="1:17" s="261" customFormat="1" ht="12.75" hidden="1">
      <c r="A101" s="1015" t="s">
        <v>206</v>
      </c>
      <c r="B101" s="1018" t="s">
        <v>207</v>
      </c>
      <c r="C101" s="308" t="s">
        <v>20</v>
      </c>
      <c r="D101" s="302">
        <f>E101+M101</f>
        <v>40500000</v>
      </c>
      <c r="E101" s="303">
        <f>F101+I101+J101+K101+L101</f>
        <v>40500000</v>
      </c>
      <c r="F101" s="303">
        <f>G101+H101</f>
        <v>40500000</v>
      </c>
      <c r="G101" s="303">
        <v>0</v>
      </c>
      <c r="H101" s="303">
        <v>40500000</v>
      </c>
      <c r="I101" s="303">
        <v>0</v>
      </c>
      <c r="J101" s="303">
        <v>0</v>
      </c>
      <c r="K101" s="303">
        <v>0</v>
      </c>
      <c r="L101" s="303">
        <v>0</v>
      </c>
      <c r="M101" s="303">
        <f>N101+P101</f>
        <v>0</v>
      </c>
      <c r="N101" s="303">
        <v>0</v>
      </c>
      <c r="O101" s="303">
        <v>0</v>
      </c>
      <c r="P101" s="303">
        <v>0</v>
      </c>
      <c r="Q101" s="360"/>
    </row>
    <row r="102" spans="1:17" s="261" customFormat="1" ht="12.75" hidden="1">
      <c r="A102" s="1016"/>
      <c r="B102" s="1019"/>
      <c r="C102" s="308" t="s">
        <v>21</v>
      </c>
      <c r="D102" s="302">
        <f>E102+M102</f>
        <v>0</v>
      </c>
      <c r="E102" s="303">
        <f>F102+I102+J102+K102+L102</f>
        <v>0</v>
      </c>
      <c r="F102" s="303">
        <f>G102+H102</f>
        <v>0</v>
      </c>
      <c r="G102" s="303"/>
      <c r="H102" s="303"/>
      <c r="I102" s="303"/>
      <c r="J102" s="303"/>
      <c r="K102" s="303"/>
      <c r="L102" s="303"/>
      <c r="M102" s="303">
        <f>N102+P102</f>
        <v>0</v>
      </c>
      <c r="N102" s="303"/>
      <c r="O102" s="303"/>
      <c r="P102" s="303"/>
      <c r="Q102" s="360"/>
    </row>
    <row r="103" spans="1:17" s="261" customFormat="1" ht="12.75" hidden="1">
      <c r="A103" s="1017"/>
      <c r="B103" s="1020"/>
      <c r="C103" s="308" t="s">
        <v>22</v>
      </c>
      <c r="D103" s="302">
        <f>D101+D102</f>
        <v>40500000</v>
      </c>
      <c r="E103" s="303">
        <f aca="true" t="shared" si="30" ref="E103:P103">E101+E102</f>
        <v>40500000</v>
      </c>
      <c r="F103" s="303">
        <f t="shared" si="30"/>
        <v>40500000</v>
      </c>
      <c r="G103" s="303">
        <f t="shared" si="30"/>
        <v>0</v>
      </c>
      <c r="H103" s="303">
        <f t="shared" si="30"/>
        <v>40500000</v>
      </c>
      <c r="I103" s="303">
        <f t="shared" si="30"/>
        <v>0</v>
      </c>
      <c r="J103" s="303">
        <f t="shared" si="30"/>
        <v>0</v>
      </c>
      <c r="K103" s="303">
        <f t="shared" si="30"/>
        <v>0</v>
      </c>
      <c r="L103" s="303">
        <f t="shared" si="30"/>
        <v>0</v>
      </c>
      <c r="M103" s="303">
        <f t="shared" si="30"/>
        <v>0</v>
      </c>
      <c r="N103" s="303">
        <f t="shared" si="30"/>
        <v>0</v>
      </c>
      <c r="O103" s="303">
        <f t="shared" si="30"/>
        <v>0</v>
      </c>
      <c r="P103" s="303">
        <f t="shared" si="30"/>
        <v>0</v>
      </c>
      <c r="Q103" s="360"/>
    </row>
    <row r="104" spans="1:17" s="261" customFormat="1" ht="6" customHeight="1">
      <c r="A104" s="306"/>
      <c r="B104" s="307"/>
      <c r="C104" s="308"/>
      <c r="D104" s="302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60"/>
    </row>
    <row r="105" spans="1:17" s="261" customFormat="1" ht="12.75">
      <c r="A105" s="1015" t="s">
        <v>31</v>
      </c>
      <c r="B105" s="1018" t="s">
        <v>306</v>
      </c>
      <c r="C105" s="308" t="s">
        <v>20</v>
      </c>
      <c r="D105" s="302">
        <f>E105+M105</f>
        <v>187142939</v>
      </c>
      <c r="E105" s="303">
        <f>F105+I105+J105+K105+L105</f>
        <v>31860192</v>
      </c>
      <c r="F105" s="303">
        <f>G105+H105</f>
        <v>31813692</v>
      </c>
      <c r="G105" s="303">
        <v>11654859</v>
      </c>
      <c r="H105" s="303">
        <v>20158833</v>
      </c>
      <c r="I105" s="303">
        <v>0</v>
      </c>
      <c r="J105" s="303">
        <v>46500</v>
      </c>
      <c r="K105" s="303">
        <v>0</v>
      </c>
      <c r="L105" s="303">
        <v>0</v>
      </c>
      <c r="M105" s="303">
        <f>N105+P105</f>
        <v>155282747</v>
      </c>
      <c r="N105" s="303">
        <v>155282747</v>
      </c>
      <c r="O105" s="303">
        <v>118223067</v>
      </c>
      <c r="P105" s="303">
        <v>0</v>
      </c>
      <c r="Q105" s="360"/>
    </row>
    <row r="106" spans="1:17" s="261" customFormat="1" ht="12.75">
      <c r="A106" s="1016"/>
      <c r="B106" s="1019"/>
      <c r="C106" s="308" t="s">
        <v>21</v>
      </c>
      <c r="D106" s="302">
        <f>E106+M106</f>
        <v>1140046</v>
      </c>
      <c r="E106" s="303">
        <f>F106+I106+J106+K106+L106</f>
        <v>675000</v>
      </c>
      <c r="F106" s="303">
        <f>G106+H106</f>
        <v>0</v>
      </c>
      <c r="G106" s="303"/>
      <c r="H106" s="303"/>
      <c r="I106" s="303"/>
      <c r="J106" s="303"/>
      <c r="K106" s="303">
        <f>477717+84303+84332+14882+11701+2065</f>
        <v>675000</v>
      </c>
      <c r="L106" s="303"/>
      <c r="M106" s="303">
        <f>N106+P106</f>
        <v>465046</v>
      </c>
      <c r="N106" s="303">
        <f>307831+157215</f>
        <v>465046</v>
      </c>
      <c r="O106" s="303">
        <v>465046</v>
      </c>
      <c r="P106" s="303"/>
      <c r="Q106" s="360"/>
    </row>
    <row r="107" spans="1:17" s="261" customFormat="1" ht="12.75">
      <c r="A107" s="1017"/>
      <c r="B107" s="1020"/>
      <c r="C107" s="308" t="s">
        <v>22</v>
      </c>
      <c r="D107" s="302">
        <f>D105+D106</f>
        <v>188282985</v>
      </c>
      <c r="E107" s="303">
        <f aca="true" t="shared" si="31" ref="E107:P107">E105+E106</f>
        <v>32535192</v>
      </c>
      <c r="F107" s="303">
        <f t="shared" si="31"/>
        <v>31813692</v>
      </c>
      <c r="G107" s="303">
        <f t="shared" si="31"/>
        <v>11654859</v>
      </c>
      <c r="H107" s="303">
        <f t="shared" si="31"/>
        <v>20158833</v>
      </c>
      <c r="I107" s="303">
        <f t="shared" si="31"/>
        <v>0</v>
      </c>
      <c r="J107" s="303">
        <f t="shared" si="31"/>
        <v>46500</v>
      </c>
      <c r="K107" s="303">
        <f t="shared" si="31"/>
        <v>675000</v>
      </c>
      <c r="L107" s="303">
        <f t="shared" si="31"/>
        <v>0</v>
      </c>
      <c r="M107" s="303">
        <f t="shared" si="31"/>
        <v>155747793</v>
      </c>
      <c r="N107" s="303">
        <f t="shared" si="31"/>
        <v>155747793</v>
      </c>
      <c r="O107" s="303">
        <f t="shared" si="31"/>
        <v>118688113</v>
      </c>
      <c r="P107" s="303">
        <f t="shared" si="31"/>
        <v>0</v>
      </c>
      <c r="Q107" s="278"/>
    </row>
    <row r="108" spans="1:17" s="261" customFormat="1" ht="12.75" hidden="1">
      <c r="A108" s="306"/>
      <c r="B108" s="310"/>
      <c r="C108" s="308"/>
      <c r="D108" s="302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278"/>
    </row>
    <row r="109" spans="1:17" s="261" customFormat="1" ht="12.75" hidden="1">
      <c r="A109" s="1015" t="s">
        <v>64</v>
      </c>
      <c r="B109" s="1018" t="s">
        <v>307</v>
      </c>
      <c r="C109" s="308" t="s">
        <v>20</v>
      </c>
      <c r="D109" s="302">
        <f>E109+M109</f>
        <v>2147544</v>
      </c>
      <c r="E109" s="303">
        <f>F109+I109+J109+K109+L109</f>
        <v>0</v>
      </c>
      <c r="F109" s="303">
        <f>G109+H109</f>
        <v>0</v>
      </c>
      <c r="G109" s="303">
        <v>0</v>
      </c>
      <c r="H109" s="303">
        <v>0</v>
      </c>
      <c r="I109" s="303">
        <v>0</v>
      </c>
      <c r="J109" s="303">
        <v>0</v>
      </c>
      <c r="K109" s="303">
        <v>0</v>
      </c>
      <c r="L109" s="303">
        <v>0</v>
      </c>
      <c r="M109" s="303">
        <f>N109+P109</f>
        <v>2147544</v>
      </c>
      <c r="N109" s="303">
        <v>2147544</v>
      </c>
      <c r="O109" s="303">
        <v>0</v>
      </c>
      <c r="P109" s="303">
        <v>0</v>
      </c>
      <c r="Q109" s="278"/>
    </row>
    <row r="110" spans="1:17" s="261" customFormat="1" ht="12.75" hidden="1">
      <c r="A110" s="1016"/>
      <c r="B110" s="1019"/>
      <c r="C110" s="308" t="s">
        <v>21</v>
      </c>
      <c r="D110" s="302">
        <f>E110+M110</f>
        <v>0</v>
      </c>
      <c r="E110" s="303">
        <f>F110+I110+J110+K110+L110</f>
        <v>0</v>
      </c>
      <c r="F110" s="303">
        <f>G110+H110</f>
        <v>0</v>
      </c>
      <c r="G110" s="303"/>
      <c r="H110" s="303"/>
      <c r="I110" s="303"/>
      <c r="J110" s="303"/>
      <c r="K110" s="303"/>
      <c r="L110" s="303"/>
      <c r="M110" s="303">
        <f>N110+P110</f>
        <v>0</v>
      </c>
      <c r="N110" s="303"/>
      <c r="O110" s="303"/>
      <c r="P110" s="303"/>
      <c r="Q110" s="278"/>
    </row>
    <row r="111" spans="1:17" s="261" customFormat="1" ht="12.75" hidden="1">
      <c r="A111" s="1017"/>
      <c r="B111" s="1020"/>
      <c r="C111" s="308" t="s">
        <v>22</v>
      </c>
      <c r="D111" s="302">
        <f>D109+D110</f>
        <v>2147544</v>
      </c>
      <c r="E111" s="303">
        <f aca="true" t="shared" si="32" ref="E111:P111">E109+E110</f>
        <v>0</v>
      </c>
      <c r="F111" s="303">
        <f t="shared" si="32"/>
        <v>0</v>
      </c>
      <c r="G111" s="303">
        <f t="shared" si="32"/>
        <v>0</v>
      </c>
      <c r="H111" s="303">
        <f t="shared" si="32"/>
        <v>0</v>
      </c>
      <c r="I111" s="303">
        <f t="shared" si="32"/>
        <v>0</v>
      </c>
      <c r="J111" s="303">
        <f t="shared" si="32"/>
        <v>0</v>
      </c>
      <c r="K111" s="303">
        <f t="shared" si="32"/>
        <v>0</v>
      </c>
      <c r="L111" s="303">
        <f t="shared" si="32"/>
        <v>0</v>
      </c>
      <c r="M111" s="303">
        <f t="shared" si="32"/>
        <v>2147544</v>
      </c>
      <c r="N111" s="303">
        <f t="shared" si="32"/>
        <v>2147544</v>
      </c>
      <c r="O111" s="303">
        <f t="shared" si="32"/>
        <v>0</v>
      </c>
      <c r="P111" s="303">
        <f t="shared" si="32"/>
        <v>0</v>
      </c>
      <c r="Q111" s="278"/>
    </row>
    <row r="112" spans="1:17" s="261" customFormat="1" ht="12.75" hidden="1">
      <c r="A112" s="306"/>
      <c r="B112" s="310"/>
      <c r="C112" s="308"/>
      <c r="D112" s="302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278"/>
    </row>
    <row r="113" spans="1:17" s="261" customFormat="1" ht="12.75" hidden="1">
      <c r="A113" s="1015" t="s">
        <v>209</v>
      </c>
      <c r="B113" s="1018" t="s">
        <v>210</v>
      </c>
      <c r="C113" s="308" t="s">
        <v>20</v>
      </c>
      <c r="D113" s="302">
        <f>E113+M113</f>
        <v>753500</v>
      </c>
      <c r="E113" s="309">
        <f>F113+I113+J113+K113+L113</f>
        <v>753500</v>
      </c>
      <c r="F113" s="309">
        <f>G113+H113</f>
        <v>130000</v>
      </c>
      <c r="G113" s="309">
        <v>0</v>
      </c>
      <c r="H113" s="303">
        <f>106900+1000+2000+20100</f>
        <v>130000</v>
      </c>
      <c r="I113" s="303">
        <v>50000</v>
      </c>
      <c r="J113" s="303">
        <v>0</v>
      </c>
      <c r="K113" s="303">
        <v>573500</v>
      </c>
      <c r="L113" s="303">
        <v>0</v>
      </c>
      <c r="M113" s="303">
        <f>N113+P113</f>
        <v>0</v>
      </c>
      <c r="N113" s="303">
        <v>0</v>
      </c>
      <c r="O113" s="309">
        <v>0</v>
      </c>
      <c r="P113" s="309">
        <v>0</v>
      </c>
      <c r="Q113" s="278"/>
    </row>
    <row r="114" spans="1:17" s="261" customFormat="1" ht="12.75" hidden="1">
      <c r="A114" s="1016"/>
      <c r="B114" s="1019"/>
      <c r="C114" s="301" t="s">
        <v>21</v>
      </c>
      <c r="D114" s="302">
        <f>E114+M114</f>
        <v>0</v>
      </c>
      <c r="E114" s="309">
        <f>F114+I114+J114+K114+L114</f>
        <v>0</v>
      </c>
      <c r="F114" s="309">
        <f>G114+H114</f>
        <v>0</v>
      </c>
      <c r="G114" s="314"/>
      <c r="H114" s="311"/>
      <c r="I114" s="311"/>
      <c r="J114" s="311"/>
      <c r="K114" s="311"/>
      <c r="L114" s="311"/>
      <c r="M114" s="303">
        <f>N114+P114</f>
        <v>0</v>
      </c>
      <c r="N114" s="311"/>
      <c r="O114" s="314"/>
      <c r="P114" s="314"/>
      <c r="Q114" s="278"/>
    </row>
    <row r="115" spans="1:17" s="261" customFormat="1" ht="12.75" hidden="1">
      <c r="A115" s="1017"/>
      <c r="B115" s="1020"/>
      <c r="C115" s="301" t="s">
        <v>22</v>
      </c>
      <c r="D115" s="312">
        <f>D113+D114</f>
        <v>753500</v>
      </c>
      <c r="E115" s="311">
        <f aca="true" t="shared" si="33" ref="E115:P115">E113+E114</f>
        <v>753500</v>
      </c>
      <c r="F115" s="311">
        <f t="shared" si="33"/>
        <v>130000</v>
      </c>
      <c r="G115" s="311">
        <f t="shared" si="33"/>
        <v>0</v>
      </c>
      <c r="H115" s="311">
        <f t="shared" si="33"/>
        <v>130000</v>
      </c>
      <c r="I115" s="311">
        <f t="shared" si="33"/>
        <v>50000</v>
      </c>
      <c r="J115" s="311">
        <f t="shared" si="33"/>
        <v>0</v>
      </c>
      <c r="K115" s="311">
        <f t="shared" si="33"/>
        <v>573500</v>
      </c>
      <c r="L115" s="311">
        <f t="shared" si="33"/>
        <v>0</v>
      </c>
      <c r="M115" s="311">
        <f t="shared" si="33"/>
        <v>0</v>
      </c>
      <c r="N115" s="311">
        <f t="shared" si="33"/>
        <v>0</v>
      </c>
      <c r="O115" s="311">
        <f t="shared" si="33"/>
        <v>0</v>
      </c>
      <c r="P115" s="311">
        <f t="shared" si="33"/>
        <v>0</v>
      </c>
      <c r="Q115" s="278"/>
    </row>
    <row r="116" spans="1:17" s="261" customFormat="1" ht="13.5" hidden="1" thickBot="1">
      <c r="A116" s="299"/>
      <c r="B116" s="313"/>
      <c r="C116" s="301"/>
      <c r="D116" s="312"/>
      <c r="E116" s="314"/>
      <c r="F116" s="314"/>
      <c r="G116" s="314"/>
      <c r="H116" s="311"/>
      <c r="I116" s="311"/>
      <c r="J116" s="311"/>
      <c r="K116" s="311"/>
      <c r="L116" s="311"/>
      <c r="M116" s="311"/>
      <c r="N116" s="311"/>
      <c r="O116" s="314"/>
      <c r="P116" s="314"/>
      <c r="Q116" s="278"/>
    </row>
    <row r="117" spans="1:17" s="336" customFormat="1" ht="14.25" hidden="1">
      <c r="A117" s="1009" t="s">
        <v>308</v>
      </c>
      <c r="B117" s="1012" t="s">
        <v>309</v>
      </c>
      <c r="C117" s="279" t="s">
        <v>20</v>
      </c>
      <c r="D117" s="280">
        <f>D121</f>
        <v>456250</v>
      </c>
      <c r="E117" s="281">
        <f>E121</f>
        <v>456250</v>
      </c>
      <c r="F117" s="281">
        <f aca="true" t="shared" si="34" ref="F117:P118">F121</f>
        <v>306250</v>
      </c>
      <c r="G117" s="281">
        <f t="shared" si="34"/>
        <v>5000</v>
      </c>
      <c r="H117" s="281">
        <f t="shared" si="34"/>
        <v>301250</v>
      </c>
      <c r="I117" s="281">
        <f t="shared" si="34"/>
        <v>150000</v>
      </c>
      <c r="J117" s="281">
        <f t="shared" si="34"/>
        <v>0</v>
      </c>
      <c r="K117" s="281">
        <f t="shared" si="34"/>
        <v>0</v>
      </c>
      <c r="L117" s="281">
        <f t="shared" si="34"/>
        <v>0</v>
      </c>
      <c r="M117" s="281">
        <f t="shared" si="34"/>
        <v>0</v>
      </c>
      <c r="N117" s="281">
        <f t="shared" si="34"/>
        <v>0</v>
      </c>
      <c r="O117" s="281">
        <f t="shared" si="34"/>
        <v>0</v>
      </c>
      <c r="P117" s="282">
        <f t="shared" si="34"/>
        <v>0</v>
      </c>
      <c r="Q117" s="335"/>
    </row>
    <row r="118" spans="1:17" s="336" customFormat="1" ht="14.25" hidden="1">
      <c r="A118" s="1010"/>
      <c r="B118" s="1013"/>
      <c r="C118" s="286" t="s">
        <v>21</v>
      </c>
      <c r="D118" s="287">
        <f>D122</f>
        <v>0</v>
      </c>
      <c r="E118" s="288">
        <f>E122</f>
        <v>0</v>
      </c>
      <c r="F118" s="288">
        <f t="shared" si="34"/>
        <v>0</v>
      </c>
      <c r="G118" s="288">
        <f t="shared" si="34"/>
        <v>0</v>
      </c>
      <c r="H118" s="288">
        <f t="shared" si="34"/>
        <v>0</v>
      </c>
      <c r="I118" s="288">
        <f t="shared" si="34"/>
        <v>0</v>
      </c>
      <c r="J118" s="288">
        <f t="shared" si="34"/>
        <v>0</v>
      </c>
      <c r="K118" s="288">
        <f t="shared" si="34"/>
        <v>0</v>
      </c>
      <c r="L118" s="288">
        <f t="shared" si="34"/>
        <v>0</v>
      </c>
      <c r="M118" s="288">
        <f t="shared" si="34"/>
        <v>0</v>
      </c>
      <c r="N118" s="288">
        <f t="shared" si="34"/>
        <v>0</v>
      </c>
      <c r="O118" s="288">
        <f t="shared" si="34"/>
        <v>0</v>
      </c>
      <c r="P118" s="289">
        <f t="shared" si="34"/>
        <v>0</v>
      </c>
      <c r="Q118" s="335"/>
    </row>
    <row r="119" spans="1:17" s="336" customFormat="1" ht="15" hidden="1" thickBot="1">
      <c r="A119" s="1011"/>
      <c r="B119" s="1014"/>
      <c r="C119" s="290" t="s">
        <v>22</v>
      </c>
      <c r="D119" s="291">
        <f>D117+D118</f>
        <v>456250</v>
      </c>
      <c r="E119" s="292">
        <f aca="true" t="shared" si="35" ref="E119:P119">E117+E118</f>
        <v>456250</v>
      </c>
      <c r="F119" s="292">
        <f t="shared" si="35"/>
        <v>306250</v>
      </c>
      <c r="G119" s="292">
        <f t="shared" si="35"/>
        <v>5000</v>
      </c>
      <c r="H119" s="292">
        <f t="shared" si="35"/>
        <v>301250</v>
      </c>
      <c r="I119" s="292">
        <f t="shared" si="35"/>
        <v>150000</v>
      </c>
      <c r="J119" s="292">
        <f t="shared" si="35"/>
        <v>0</v>
      </c>
      <c r="K119" s="292">
        <f t="shared" si="35"/>
        <v>0</v>
      </c>
      <c r="L119" s="292">
        <f t="shared" si="35"/>
        <v>0</v>
      </c>
      <c r="M119" s="292">
        <f t="shared" si="35"/>
        <v>0</v>
      </c>
      <c r="N119" s="292">
        <f t="shared" si="35"/>
        <v>0</v>
      </c>
      <c r="O119" s="292">
        <f t="shared" si="35"/>
        <v>0</v>
      </c>
      <c r="P119" s="293">
        <f t="shared" si="35"/>
        <v>0</v>
      </c>
      <c r="Q119" s="335"/>
    </row>
    <row r="120" spans="1:17" s="336" customFormat="1" ht="14.25" hidden="1">
      <c r="A120" s="328"/>
      <c r="B120" s="329"/>
      <c r="C120" s="330"/>
      <c r="D120" s="331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44"/>
      <c r="Q120" s="335"/>
    </row>
    <row r="121" spans="1:17" s="261" customFormat="1" ht="12.75" hidden="1">
      <c r="A121" s="1015" t="s">
        <v>310</v>
      </c>
      <c r="B121" s="1018" t="s">
        <v>311</v>
      </c>
      <c r="C121" s="301" t="s">
        <v>20</v>
      </c>
      <c r="D121" s="302">
        <f>E121+M121</f>
        <v>456250</v>
      </c>
      <c r="E121" s="303">
        <f>F121+I121+J121+K121+L121</f>
        <v>456250</v>
      </c>
      <c r="F121" s="303">
        <f>G121+H121</f>
        <v>306250</v>
      </c>
      <c r="G121" s="303">
        <v>5000</v>
      </c>
      <c r="H121" s="303">
        <v>301250</v>
      </c>
      <c r="I121" s="303">
        <v>150000</v>
      </c>
      <c r="J121" s="303">
        <v>0</v>
      </c>
      <c r="K121" s="303">
        <v>0</v>
      </c>
      <c r="L121" s="303">
        <v>0</v>
      </c>
      <c r="M121" s="303">
        <f>N121+P121</f>
        <v>0</v>
      </c>
      <c r="N121" s="303">
        <v>0</v>
      </c>
      <c r="O121" s="303">
        <v>0</v>
      </c>
      <c r="P121" s="303">
        <v>0</v>
      </c>
      <c r="Q121" s="278"/>
    </row>
    <row r="122" spans="1:17" s="261" customFormat="1" ht="12.75" hidden="1">
      <c r="A122" s="1016"/>
      <c r="B122" s="1019"/>
      <c r="C122" s="301" t="s">
        <v>21</v>
      </c>
      <c r="D122" s="302">
        <f>E122+M122</f>
        <v>0</v>
      </c>
      <c r="E122" s="303">
        <f>F122+I122+J122+K122+L122</f>
        <v>0</v>
      </c>
      <c r="F122" s="303">
        <f>G122+H122</f>
        <v>0</v>
      </c>
      <c r="G122" s="311"/>
      <c r="H122" s="311"/>
      <c r="I122" s="311"/>
      <c r="J122" s="311"/>
      <c r="K122" s="311"/>
      <c r="L122" s="311"/>
      <c r="M122" s="303">
        <f>N122+P122</f>
        <v>0</v>
      </c>
      <c r="N122" s="311"/>
      <c r="O122" s="311"/>
      <c r="P122" s="311"/>
      <c r="Q122" s="278"/>
    </row>
    <row r="123" spans="1:17" s="261" customFormat="1" ht="12.75" hidden="1">
      <c r="A123" s="1017"/>
      <c r="B123" s="1020"/>
      <c r="C123" s="301" t="s">
        <v>22</v>
      </c>
      <c r="D123" s="312">
        <f>D121+D122</f>
        <v>456250</v>
      </c>
      <c r="E123" s="311">
        <f aca="true" t="shared" si="36" ref="E123:P123">E121+E122</f>
        <v>456250</v>
      </c>
      <c r="F123" s="311">
        <f t="shared" si="36"/>
        <v>306250</v>
      </c>
      <c r="G123" s="311">
        <f t="shared" si="36"/>
        <v>5000</v>
      </c>
      <c r="H123" s="311">
        <f t="shared" si="36"/>
        <v>301250</v>
      </c>
      <c r="I123" s="311">
        <f t="shared" si="36"/>
        <v>150000</v>
      </c>
      <c r="J123" s="311">
        <f t="shared" si="36"/>
        <v>0</v>
      </c>
      <c r="K123" s="311">
        <f t="shared" si="36"/>
        <v>0</v>
      </c>
      <c r="L123" s="311">
        <f t="shared" si="36"/>
        <v>0</v>
      </c>
      <c r="M123" s="311">
        <f t="shared" si="36"/>
        <v>0</v>
      </c>
      <c r="N123" s="311">
        <f t="shared" si="36"/>
        <v>0</v>
      </c>
      <c r="O123" s="311">
        <f t="shared" si="36"/>
        <v>0</v>
      </c>
      <c r="P123" s="311">
        <f t="shared" si="36"/>
        <v>0</v>
      </c>
      <c r="Q123" s="278"/>
    </row>
    <row r="124" spans="1:17" s="261" customFormat="1" ht="6" customHeight="1" thickBot="1">
      <c r="A124" s="299"/>
      <c r="B124" s="313"/>
      <c r="C124" s="301"/>
      <c r="D124" s="312"/>
      <c r="E124" s="314"/>
      <c r="F124" s="314"/>
      <c r="G124" s="314"/>
      <c r="H124" s="311"/>
      <c r="I124" s="311"/>
      <c r="J124" s="311"/>
      <c r="K124" s="311"/>
      <c r="L124" s="311"/>
      <c r="M124" s="311"/>
      <c r="N124" s="311"/>
      <c r="O124" s="314"/>
      <c r="P124" s="314"/>
      <c r="Q124" s="278"/>
    </row>
    <row r="125" spans="1:17" s="336" customFormat="1" ht="14.25">
      <c r="A125" s="1009" t="s">
        <v>32</v>
      </c>
      <c r="B125" s="1012" t="s">
        <v>33</v>
      </c>
      <c r="C125" s="279" t="s">
        <v>20</v>
      </c>
      <c r="D125" s="280">
        <f>D129</f>
        <v>973129</v>
      </c>
      <c r="E125" s="361">
        <f>E129</f>
        <v>437500</v>
      </c>
      <c r="F125" s="361">
        <f aca="true" t="shared" si="37" ref="F125:O126">F129</f>
        <v>437500</v>
      </c>
      <c r="G125" s="361">
        <f t="shared" si="37"/>
        <v>0</v>
      </c>
      <c r="H125" s="361">
        <f t="shared" si="37"/>
        <v>437500</v>
      </c>
      <c r="I125" s="361">
        <f t="shared" si="37"/>
        <v>0</v>
      </c>
      <c r="J125" s="361">
        <f t="shared" si="37"/>
        <v>0</v>
      </c>
      <c r="K125" s="361">
        <f t="shared" si="37"/>
        <v>0</v>
      </c>
      <c r="L125" s="361">
        <f t="shared" si="37"/>
        <v>0</v>
      </c>
      <c r="M125" s="361">
        <f t="shared" si="37"/>
        <v>535629</v>
      </c>
      <c r="N125" s="361">
        <f t="shared" si="37"/>
        <v>535629</v>
      </c>
      <c r="O125" s="361">
        <f t="shared" si="37"/>
        <v>0</v>
      </c>
      <c r="P125" s="362">
        <f>P129</f>
        <v>0</v>
      </c>
      <c r="Q125" s="335"/>
    </row>
    <row r="126" spans="1:17" s="336" customFormat="1" ht="14.25">
      <c r="A126" s="1010"/>
      <c r="B126" s="1013"/>
      <c r="C126" s="286" t="s">
        <v>21</v>
      </c>
      <c r="D126" s="287">
        <f>D130</f>
        <v>114863</v>
      </c>
      <c r="E126" s="363">
        <f>E130</f>
        <v>0</v>
      </c>
      <c r="F126" s="363">
        <f t="shared" si="37"/>
        <v>0</v>
      </c>
      <c r="G126" s="363">
        <f t="shared" si="37"/>
        <v>0</v>
      </c>
      <c r="H126" s="363">
        <f t="shared" si="37"/>
        <v>0</v>
      </c>
      <c r="I126" s="363">
        <f t="shared" si="37"/>
        <v>0</v>
      </c>
      <c r="J126" s="363">
        <f t="shared" si="37"/>
        <v>0</v>
      </c>
      <c r="K126" s="363">
        <f t="shared" si="37"/>
        <v>0</v>
      </c>
      <c r="L126" s="363">
        <f t="shared" si="37"/>
        <v>0</v>
      </c>
      <c r="M126" s="363">
        <f t="shared" si="37"/>
        <v>114863</v>
      </c>
      <c r="N126" s="363">
        <f t="shared" si="37"/>
        <v>114863</v>
      </c>
      <c r="O126" s="363">
        <f t="shared" si="37"/>
        <v>0</v>
      </c>
      <c r="P126" s="364">
        <f>P130</f>
        <v>0</v>
      </c>
      <c r="Q126" s="335"/>
    </row>
    <row r="127" spans="1:17" s="336" customFormat="1" ht="15" thickBot="1">
      <c r="A127" s="1011"/>
      <c r="B127" s="1014"/>
      <c r="C127" s="290" t="s">
        <v>22</v>
      </c>
      <c r="D127" s="291">
        <f>D125+D126</f>
        <v>1087992</v>
      </c>
      <c r="E127" s="292">
        <f aca="true" t="shared" si="38" ref="E127:P127">E125+E126</f>
        <v>437500</v>
      </c>
      <c r="F127" s="292">
        <f t="shared" si="38"/>
        <v>437500</v>
      </c>
      <c r="G127" s="292">
        <f t="shared" si="38"/>
        <v>0</v>
      </c>
      <c r="H127" s="292">
        <f t="shared" si="38"/>
        <v>437500</v>
      </c>
      <c r="I127" s="292">
        <f t="shared" si="38"/>
        <v>0</v>
      </c>
      <c r="J127" s="292">
        <f t="shared" si="38"/>
        <v>0</v>
      </c>
      <c r="K127" s="292">
        <f t="shared" si="38"/>
        <v>0</v>
      </c>
      <c r="L127" s="292">
        <f t="shared" si="38"/>
        <v>0</v>
      </c>
      <c r="M127" s="292">
        <f t="shared" si="38"/>
        <v>650492</v>
      </c>
      <c r="N127" s="292">
        <f t="shared" si="38"/>
        <v>650492</v>
      </c>
      <c r="O127" s="292">
        <f t="shared" si="38"/>
        <v>0</v>
      </c>
      <c r="P127" s="293">
        <f t="shared" si="38"/>
        <v>0</v>
      </c>
      <c r="Q127" s="335"/>
    </row>
    <row r="128" spans="1:17" s="261" customFormat="1" ht="8.25" customHeight="1">
      <c r="A128" s="294"/>
      <c r="B128" s="305"/>
      <c r="C128" s="296"/>
      <c r="D128" s="297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78"/>
    </row>
    <row r="129" spans="1:17" s="261" customFormat="1" ht="12.75">
      <c r="A129" s="1015" t="s">
        <v>34</v>
      </c>
      <c r="B129" s="1018" t="s">
        <v>312</v>
      </c>
      <c r="C129" s="301" t="s">
        <v>20</v>
      </c>
      <c r="D129" s="302">
        <f>E129+M129</f>
        <v>973129</v>
      </c>
      <c r="E129" s="309">
        <f>F129+I129+J129+K129+L129</f>
        <v>437500</v>
      </c>
      <c r="F129" s="309">
        <f>G129+H129</f>
        <v>437500</v>
      </c>
      <c r="G129" s="309">
        <v>0</v>
      </c>
      <c r="H129" s="303">
        <v>437500</v>
      </c>
      <c r="I129" s="303">
        <v>0</v>
      </c>
      <c r="J129" s="303">
        <v>0</v>
      </c>
      <c r="K129" s="303">
        <v>0</v>
      </c>
      <c r="L129" s="303">
        <v>0</v>
      </c>
      <c r="M129" s="303">
        <f>N129+P129</f>
        <v>535629</v>
      </c>
      <c r="N129" s="303">
        <v>535629</v>
      </c>
      <c r="O129" s="309">
        <v>0</v>
      </c>
      <c r="P129" s="309">
        <v>0</v>
      </c>
      <c r="Q129" s="278"/>
    </row>
    <row r="130" spans="1:17" s="261" customFormat="1" ht="12.75">
      <c r="A130" s="1016"/>
      <c r="B130" s="1019"/>
      <c r="C130" s="301" t="s">
        <v>21</v>
      </c>
      <c r="D130" s="302">
        <f>E130+M130</f>
        <v>114863</v>
      </c>
      <c r="E130" s="309">
        <f>F130+I130+J130+K130+L130</f>
        <v>0</v>
      </c>
      <c r="F130" s="309">
        <f>G130+H130</f>
        <v>0</v>
      </c>
      <c r="G130" s="314"/>
      <c r="H130" s="311"/>
      <c r="I130" s="311"/>
      <c r="J130" s="311"/>
      <c r="K130" s="311"/>
      <c r="L130" s="311"/>
      <c r="M130" s="303">
        <f>N130+P130</f>
        <v>114863</v>
      </c>
      <c r="N130" s="311">
        <v>114863</v>
      </c>
      <c r="O130" s="314"/>
      <c r="P130" s="314"/>
      <c r="Q130" s="278"/>
    </row>
    <row r="131" spans="1:17" s="261" customFormat="1" ht="12.75">
      <c r="A131" s="1017"/>
      <c r="B131" s="1020"/>
      <c r="C131" s="301" t="s">
        <v>22</v>
      </c>
      <c r="D131" s="312">
        <f>D129+D130</f>
        <v>1087992</v>
      </c>
      <c r="E131" s="311">
        <f aca="true" t="shared" si="39" ref="E131:P131">E129+E130</f>
        <v>437500</v>
      </c>
      <c r="F131" s="311">
        <f t="shared" si="39"/>
        <v>437500</v>
      </c>
      <c r="G131" s="311">
        <f t="shared" si="39"/>
        <v>0</v>
      </c>
      <c r="H131" s="311">
        <f t="shared" si="39"/>
        <v>437500</v>
      </c>
      <c r="I131" s="311">
        <f t="shared" si="39"/>
        <v>0</v>
      </c>
      <c r="J131" s="311">
        <f t="shared" si="39"/>
        <v>0</v>
      </c>
      <c r="K131" s="311">
        <f t="shared" si="39"/>
        <v>0</v>
      </c>
      <c r="L131" s="311">
        <f t="shared" si="39"/>
        <v>0</v>
      </c>
      <c r="M131" s="311">
        <f t="shared" si="39"/>
        <v>650492</v>
      </c>
      <c r="N131" s="311">
        <f t="shared" si="39"/>
        <v>650492</v>
      </c>
      <c r="O131" s="311">
        <f t="shared" si="39"/>
        <v>0</v>
      </c>
      <c r="P131" s="311">
        <f t="shared" si="39"/>
        <v>0</v>
      </c>
      <c r="Q131" s="278"/>
    </row>
    <row r="132" spans="1:17" s="261" customFormat="1" ht="13.5" hidden="1" thickBot="1">
      <c r="A132" s="299"/>
      <c r="B132" s="313"/>
      <c r="C132" s="301"/>
      <c r="D132" s="312"/>
      <c r="E132" s="314"/>
      <c r="F132" s="314"/>
      <c r="G132" s="314"/>
      <c r="H132" s="311"/>
      <c r="I132" s="311"/>
      <c r="J132" s="311"/>
      <c r="K132" s="311"/>
      <c r="L132" s="311"/>
      <c r="M132" s="311"/>
      <c r="N132" s="311"/>
      <c r="O132" s="314"/>
      <c r="P132" s="314"/>
      <c r="Q132" s="278"/>
    </row>
    <row r="133" spans="1:17" s="336" customFormat="1" ht="14.25" hidden="1">
      <c r="A133" s="1009" t="s">
        <v>35</v>
      </c>
      <c r="B133" s="1012" t="s">
        <v>36</v>
      </c>
      <c r="C133" s="279" t="s">
        <v>20</v>
      </c>
      <c r="D133" s="280">
        <f>D137+D141+D145+D149</f>
        <v>4153924</v>
      </c>
      <c r="E133" s="361">
        <f>E137+E141+E145+E149</f>
        <v>4073924</v>
      </c>
      <c r="F133" s="361">
        <f aca="true" t="shared" si="40" ref="F133:P134">F137+F141+F145+F149</f>
        <v>4071924</v>
      </c>
      <c r="G133" s="361">
        <f t="shared" si="40"/>
        <v>3463564</v>
      </c>
      <c r="H133" s="361">
        <f t="shared" si="40"/>
        <v>608360</v>
      </c>
      <c r="I133" s="361">
        <f t="shared" si="40"/>
        <v>0</v>
      </c>
      <c r="J133" s="361">
        <f t="shared" si="40"/>
        <v>2000</v>
      </c>
      <c r="K133" s="361">
        <f t="shared" si="40"/>
        <v>0</v>
      </c>
      <c r="L133" s="361">
        <f t="shared" si="40"/>
        <v>0</v>
      </c>
      <c r="M133" s="361">
        <f t="shared" si="40"/>
        <v>80000</v>
      </c>
      <c r="N133" s="361">
        <f t="shared" si="40"/>
        <v>80000</v>
      </c>
      <c r="O133" s="361">
        <f t="shared" si="40"/>
        <v>0</v>
      </c>
      <c r="P133" s="362">
        <f t="shared" si="40"/>
        <v>0</v>
      </c>
      <c r="Q133" s="335"/>
    </row>
    <row r="134" spans="1:17" s="336" customFormat="1" ht="14.25" hidden="1">
      <c r="A134" s="1010"/>
      <c r="B134" s="1013"/>
      <c r="C134" s="286" t="s">
        <v>21</v>
      </c>
      <c r="D134" s="287">
        <f>D138+D142+D146+D150</f>
        <v>0</v>
      </c>
      <c r="E134" s="363">
        <f>E138+E142+E146+E150</f>
        <v>0</v>
      </c>
      <c r="F134" s="363">
        <f t="shared" si="40"/>
        <v>0</v>
      </c>
      <c r="G134" s="363">
        <f t="shared" si="40"/>
        <v>0</v>
      </c>
      <c r="H134" s="363">
        <f t="shared" si="40"/>
        <v>0</v>
      </c>
      <c r="I134" s="363">
        <f t="shared" si="40"/>
        <v>0</v>
      </c>
      <c r="J134" s="363">
        <f t="shared" si="40"/>
        <v>0</v>
      </c>
      <c r="K134" s="363">
        <f t="shared" si="40"/>
        <v>0</v>
      </c>
      <c r="L134" s="363">
        <f t="shared" si="40"/>
        <v>0</v>
      </c>
      <c r="M134" s="363">
        <f t="shared" si="40"/>
        <v>0</v>
      </c>
      <c r="N134" s="363">
        <f t="shared" si="40"/>
        <v>0</v>
      </c>
      <c r="O134" s="363">
        <f t="shared" si="40"/>
        <v>0</v>
      </c>
      <c r="P134" s="364">
        <f t="shared" si="40"/>
        <v>0</v>
      </c>
      <c r="Q134" s="335"/>
    </row>
    <row r="135" spans="1:17" s="336" customFormat="1" ht="15" hidden="1" thickBot="1">
      <c r="A135" s="1011"/>
      <c r="B135" s="1014"/>
      <c r="C135" s="290" t="s">
        <v>22</v>
      </c>
      <c r="D135" s="291">
        <f>D133+D134</f>
        <v>4153924</v>
      </c>
      <c r="E135" s="292">
        <f aca="true" t="shared" si="41" ref="E135:P135">E133+E134</f>
        <v>4073924</v>
      </c>
      <c r="F135" s="292">
        <f t="shared" si="41"/>
        <v>4071924</v>
      </c>
      <c r="G135" s="292">
        <f t="shared" si="41"/>
        <v>3463564</v>
      </c>
      <c r="H135" s="292">
        <f t="shared" si="41"/>
        <v>608360</v>
      </c>
      <c r="I135" s="292">
        <f t="shared" si="41"/>
        <v>0</v>
      </c>
      <c r="J135" s="292">
        <f t="shared" si="41"/>
        <v>2000</v>
      </c>
      <c r="K135" s="292">
        <f t="shared" si="41"/>
        <v>0</v>
      </c>
      <c r="L135" s="292">
        <f t="shared" si="41"/>
        <v>0</v>
      </c>
      <c r="M135" s="292">
        <f t="shared" si="41"/>
        <v>80000</v>
      </c>
      <c r="N135" s="292">
        <f t="shared" si="41"/>
        <v>80000</v>
      </c>
      <c r="O135" s="292">
        <f t="shared" si="41"/>
        <v>0</v>
      </c>
      <c r="P135" s="293">
        <f t="shared" si="41"/>
        <v>0</v>
      </c>
      <c r="Q135" s="335"/>
    </row>
    <row r="136" spans="1:17" s="336" customFormat="1" ht="14.25" hidden="1">
      <c r="A136" s="328"/>
      <c r="B136" s="329"/>
      <c r="C136" s="330"/>
      <c r="D136" s="331"/>
      <c r="E136" s="333"/>
      <c r="F136" s="333"/>
      <c r="G136" s="333"/>
      <c r="H136" s="333"/>
      <c r="I136" s="333"/>
      <c r="J136" s="333"/>
      <c r="K136" s="333"/>
      <c r="L136" s="333"/>
      <c r="M136" s="333"/>
      <c r="N136" s="333"/>
      <c r="O136" s="333"/>
      <c r="P136" s="344"/>
      <c r="Q136" s="335"/>
    </row>
    <row r="137" spans="1:17" s="261" customFormat="1" ht="12.75" hidden="1">
      <c r="A137" s="1015" t="s">
        <v>37</v>
      </c>
      <c r="B137" s="1018" t="s">
        <v>313</v>
      </c>
      <c r="C137" s="301" t="s">
        <v>20</v>
      </c>
      <c r="D137" s="302">
        <f>E137+M137</f>
        <v>3921924</v>
      </c>
      <c r="E137" s="309">
        <f>F137+I137+J137+K137+L137</f>
        <v>3854924</v>
      </c>
      <c r="F137" s="309">
        <f>G137+H137</f>
        <v>3852924</v>
      </c>
      <c r="G137" s="309">
        <v>3458464</v>
      </c>
      <c r="H137" s="303">
        <v>394460</v>
      </c>
      <c r="I137" s="303">
        <v>0</v>
      </c>
      <c r="J137" s="303">
        <v>2000</v>
      </c>
      <c r="K137" s="303">
        <v>0</v>
      </c>
      <c r="L137" s="303">
        <v>0</v>
      </c>
      <c r="M137" s="303">
        <f>N137+P137</f>
        <v>67000</v>
      </c>
      <c r="N137" s="303">
        <v>67000</v>
      </c>
      <c r="O137" s="309">
        <v>0</v>
      </c>
      <c r="P137" s="309">
        <v>0</v>
      </c>
      <c r="Q137" s="278"/>
    </row>
    <row r="138" spans="1:17" s="261" customFormat="1" ht="12.75" hidden="1">
      <c r="A138" s="1016"/>
      <c r="B138" s="1019"/>
      <c r="C138" s="301" t="s">
        <v>21</v>
      </c>
      <c r="D138" s="302">
        <f>E138+M138</f>
        <v>0</v>
      </c>
      <c r="E138" s="309">
        <f>F138+I138+J138+K138+L138</f>
        <v>0</v>
      </c>
      <c r="F138" s="309">
        <f>G138+H138</f>
        <v>0</v>
      </c>
      <c r="G138" s="309"/>
      <c r="H138" s="303"/>
      <c r="I138" s="303"/>
      <c r="J138" s="303"/>
      <c r="K138" s="303"/>
      <c r="L138" s="303"/>
      <c r="M138" s="303">
        <f>N138+P138</f>
        <v>0</v>
      </c>
      <c r="N138" s="303"/>
      <c r="O138" s="309"/>
      <c r="P138" s="309"/>
      <c r="Q138" s="278"/>
    </row>
    <row r="139" spans="1:17" s="261" customFormat="1" ht="12.75" hidden="1">
      <c r="A139" s="1017"/>
      <c r="B139" s="1020"/>
      <c r="C139" s="301" t="s">
        <v>22</v>
      </c>
      <c r="D139" s="302">
        <f>D137+D138</f>
        <v>3921924</v>
      </c>
      <c r="E139" s="303">
        <f aca="true" t="shared" si="42" ref="E139:P139">E137+E138</f>
        <v>3854924</v>
      </c>
      <c r="F139" s="303">
        <f t="shared" si="42"/>
        <v>3852924</v>
      </c>
      <c r="G139" s="303">
        <f t="shared" si="42"/>
        <v>3458464</v>
      </c>
      <c r="H139" s="303">
        <f t="shared" si="42"/>
        <v>394460</v>
      </c>
      <c r="I139" s="303">
        <f t="shared" si="42"/>
        <v>0</v>
      </c>
      <c r="J139" s="303">
        <f t="shared" si="42"/>
        <v>2000</v>
      </c>
      <c r="K139" s="303">
        <f t="shared" si="42"/>
        <v>0</v>
      </c>
      <c r="L139" s="303">
        <f t="shared" si="42"/>
        <v>0</v>
      </c>
      <c r="M139" s="303">
        <f t="shared" si="42"/>
        <v>67000</v>
      </c>
      <c r="N139" s="303">
        <f t="shared" si="42"/>
        <v>67000</v>
      </c>
      <c r="O139" s="303">
        <f t="shared" si="42"/>
        <v>0</v>
      </c>
      <c r="P139" s="303">
        <f t="shared" si="42"/>
        <v>0</v>
      </c>
      <c r="Q139" s="278"/>
    </row>
    <row r="140" spans="1:17" s="261" customFormat="1" ht="12.75" hidden="1">
      <c r="A140" s="306"/>
      <c r="B140" s="307"/>
      <c r="C140" s="308"/>
      <c r="D140" s="302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278"/>
    </row>
    <row r="141" spans="1:17" s="261" customFormat="1" ht="12.75" hidden="1">
      <c r="A141" s="1015" t="s">
        <v>314</v>
      </c>
      <c r="B141" s="1018" t="s">
        <v>315</v>
      </c>
      <c r="C141" s="301" t="s">
        <v>20</v>
      </c>
      <c r="D141" s="302">
        <f>E141+M141</f>
        <v>23000</v>
      </c>
      <c r="E141" s="303">
        <f>F141+I141+J141+K141+L141</f>
        <v>23000</v>
      </c>
      <c r="F141" s="303">
        <f>G141+H141</f>
        <v>23000</v>
      </c>
      <c r="G141" s="303">
        <v>5100</v>
      </c>
      <c r="H141" s="303">
        <v>17900</v>
      </c>
      <c r="I141" s="303">
        <v>0</v>
      </c>
      <c r="J141" s="303">
        <v>0</v>
      </c>
      <c r="K141" s="303">
        <v>0</v>
      </c>
      <c r="L141" s="303">
        <v>0</v>
      </c>
      <c r="M141" s="303">
        <f>N141+P141</f>
        <v>0</v>
      </c>
      <c r="N141" s="303">
        <v>0</v>
      </c>
      <c r="O141" s="303">
        <v>0</v>
      </c>
      <c r="P141" s="303">
        <v>0</v>
      </c>
      <c r="Q141" s="278"/>
    </row>
    <row r="142" spans="1:17" s="261" customFormat="1" ht="12.75" hidden="1">
      <c r="A142" s="1016"/>
      <c r="B142" s="1019"/>
      <c r="C142" s="301" t="s">
        <v>21</v>
      </c>
      <c r="D142" s="302">
        <f>E142+M142</f>
        <v>0</v>
      </c>
      <c r="E142" s="309">
        <f>F142+I142+J142+K142+L142</f>
        <v>0</v>
      </c>
      <c r="F142" s="309">
        <f>G142+H142</f>
        <v>0</v>
      </c>
      <c r="G142" s="309"/>
      <c r="H142" s="303"/>
      <c r="I142" s="303"/>
      <c r="J142" s="303"/>
      <c r="K142" s="303"/>
      <c r="L142" s="303"/>
      <c r="M142" s="303">
        <f>N142+P142</f>
        <v>0</v>
      </c>
      <c r="N142" s="303"/>
      <c r="O142" s="309"/>
      <c r="P142" s="309"/>
      <c r="Q142" s="278"/>
    </row>
    <row r="143" spans="1:17" s="261" customFormat="1" ht="12.75" hidden="1">
      <c r="A143" s="1017"/>
      <c r="B143" s="1020"/>
      <c r="C143" s="301" t="s">
        <v>22</v>
      </c>
      <c r="D143" s="302">
        <f>D141+D142</f>
        <v>23000</v>
      </c>
      <c r="E143" s="303">
        <f aca="true" t="shared" si="43" ref="E143:P143">E141+E142</f>
        <v>23000</v>
      </c>
      <c r="F143" s="303">
        <f t="shared" si="43"/>
        <v>23000</v>
      </c>
      <c r="G143" s="303">
        <f t="shared" si="43"/>
        <v>5100</v>
      </c>
      <c r="H143" s="303">
        <f t="shared" si="43"/>
        <v>17900</v>
      </c>
      <c r="I143" s="303">
        <f t="shared" si="43"/>
        <v>0</v>
      </c>
      <c r="J143" s="303">
        <f t="shared" si="43"/>
        <v>0</v>
      </c>
      <c r="K143" s="303">
        <f t="shared" si="43"/>
        <v>0</v>
      </c>
      <c r="L143" s="303">
        <f t="shared" si="43"/>
        <v>0</v>
      </c>
      <c r="M143" s="303">
        <f t="shared" si="43"/>
        <v>0</v>
      </c>
      <c r="N143" s="303">
        <f t="shared" si="43"/>
        <v>0</v>
      </c>
      <c r="O143" s="303">
        <f t="shared" si="43"/>
        <v>0</v>
      </c>
      <c r="P143" s="303">
        <f t="shared" si="43"/>
        <v>0</v>
      </c>
      <c r="Q143" s="278"/>
    </row>
    <row r="144" spans="1:17" s="261" customFormat="1" ht="12.75" hidden="1">
      <c r="A144" s="306"/>
      <c r="B144" s="307"/>
      <c r="C144" s="308"/>
      <c r="D144" s="302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278"/>
    </row>
    <row r="145" spans="1:17" s="261" customFormat="1" ht="12.75" hidden="1">
      <c r="A145" s="1015" t="s">
        <v>212</v>
      </c>
      <c r="B145" s="1018" t="s">
        <v>213</v>
      </c>
      <c r="C145" s="301" t="s">
        <v>20</v>
      </c>
      <c r="D145" s="302">
        <f>E145+M145</f>
        <v>30000</v>
      </c>
      <c r="E145" s="303">
        <f>F145+I145+J145+K145+L145</f>
        <v>30000</v>
      </c>
      <c r="F145" s="303">
        <f>G145+H145</f>
        <v>30000</v>
      </c>
      <c r="G145" s="303">
        <v>0</v>
      </c>
      <c r="H145" s="303">
        <v>30000</v>
      </c>
      <c r="I145" s="303">
        <v>0</v>
      </c>
      <c r="J145" s="303">
        <v>0</v>
      </c>
      <c r="K145" s="303">
        <v>0</v>
      </c>
      <c r="L145" s="303">
        <v>0</v>
      </c>
      <c r="M145" s="303">
        <f>N145+P145</f>
        <v>0</v>
      </c>
      <c r="N145" s="303">
        <v>0</v>
      </c>
      <c r="O145" s="303">
        <v>0</v>
      </c>
      <c r="P145" s="303">
        <v>0</v>
      </c>
      <c r="Q145" s="278"/>
    </row>
    <row r="146" spans="1:17" s="261" customFormat="1" ht="12.75" hidden="1">
      <c r="A146" s="1016"/>
      <c r="B146" s="1019"/>
      <c r="C146" s="301" t="s">
        <v>21</v>
      </c>
      <c r="D146" s="302">
        <f>E146+M146</f>
        <v>0</v>
      </c>
      <c r="E146" s="303">
        <f>F146+I146+J146+K146+L146</f>
        <v>0</v>
      </c>
      <c r="F146" s="303">
        <f>G146+H146</f>
        <v>0</v>
      </c>
      <c r="G146" s="303"/>
      <c r="H146" s="303"/>
      <c r="I146" s="303"/>
      <c r="J146" s="303"/>
      <c r="K146" s="303"/>
      <c r="L146" s="303"/>
      <c r="M146" s="303">
        <f>N146+P146</f>
        <v>0</v>
      </c>
      <c r="N146" s="303"/>
      <c r="O146" s="303"/>
      <c r="P146" s="303"/>
      <c r="Q146" s="278"/>
    </row>
    <row r="147" spans="1:17" s="261" customFormat="1" ht="12.75" hidden="1">
      <c r="A147" s="1017"/>
      <c r="B147" s="1020"/>
      <c r="C147" s="301" t="s">
        <v>22</v>
      </c>
      <c r="D147" s="302">
        <f>D145+D146</f>
        <v>30000</v>
      </c>
      <c r="E147" s="303">
        <f aca="true" t="shared" si="44" ref="E147:P147">E145+E146</f>
        <v>30000</v>
      </c>
      <c r="F147" s="303">
        <f t="shared" si="44"/>
        <v>30000</v>
      </c>
      <c r="G147" s="303">
        <f t="shared" si="44"/>
        <v>0</v>
      </c>
      <c r="H147" s="303">
        <f t="shared" si="44"/>
        <v>30000</v>
      </c>
      <c r="I147" s="303">
        <f t="shared" si="44"/>
        <v>0</v>
      </c>
      <c r="J147" s="303">
        <f t="shared" si="44"/>
        <v>0</v>
      </c>
      <c r="K147" s="303">
        <f t="shared" si="44"/>
        <v>0</v>
      </c>
      <c r="L147" s="303">
        <f t="shared" si="44"/>
        <v>0</v>
      </c>
      <c r="M147" s="303">
        <f t="shared" si="44"/>
        <v>0</v>
      </c>
      <c r="N147" s="303">
        <f t="shared" si="44"/>
        <v>0</v>
      </c>
      <c r="O147" s="303">
        <f t="shared" si="44"/>
        <v>0</v>
      </c>
      <c r="P147" s="303">
        <f t="shared" si="44"/>
        <v>0</v>
      </c>
      <c r="Q147" s="278"/>
    </row>
    <row r="148" spans="1:17" s="261" customFormat="1" ht="12.75" hidden="1">
      <c r="A148" s="306"/>
      <c r="B148" s="307"/>
      <c r="C148" s="308"/>
      <c r="D148" s="302"/>
      <c r="E148" s="309"/>
      <c r="F148" s="309"/>
      <c r="G148" s="309"/>
      <c r="H148" s="303"/>
      <c r="I148" s="303"/>
      <c r="J148" s="303"/>
      <c r="K148" s="303"/>
      <c r="L148" s="303"/>
      <c r="M148" s="303"/>
      <c r="N148" s="303"/>
      <c r="O148" s="309"/>
      <c r="P148" s="309"/>
      <c r="Q148" s="278"/>
    </row>
    <row r="149" spans="1:17" s="261" customFormat="1" ht="12.75" hidden="1">
      <c r="A149" s="1015" t="s">
        <v>59</v>
      </c>
      <c r="B149" s="1029" t="s">
        <v>316</v>
      </c>
      <c r="C149" s="308" t="s">
        <v>20</v>
      </c>
      <c r="D149" s="302">
        <f>E149+M149</f>
        <v>179000</v>
      </c>
      <c r="E149" s="309">
        <f>F149+I149+J149+K149+L149</f>
        <v>166000</v>
      </c>
      <c r="F149" s="309">
        <f>G149+H149</f>
        <v>166000</v>
      </c>
      <c r="G149" s="309">
        <v>0</v>
      </c>
      <c r="H149" s="303">
        <v>166000</v>
      </c>
      <c r="I149" s="303">
        <v>0</v>
      </c>
      <c r="J149" s="303">
        <v>0</v>
      </c>
      <c r="K149" s="303">
        <v>0</v>
      </c>
      <c r="L149" s="303">
        <v>0</v>
      </c>
      <c r="M149" s="303">
        <f>N149+P149</f>
        <v>13000</v>
      </c>
      <c r="N149" s="303">
        <v>13000</v>
      </c>
      <c r="O149" s="309">
        <v>0</v>
      </c>
      <c r="P149" s="309">
        <v>0</v>
      </c>
      <c r="Q149" s="278"/>
    </row>
    <row r="150" spans="1:17" s="261" customFormat="1" ht="12.75" hidden="1">
      <c r="A150" s="1016"/>
      <c r="B150" s="1030"/>
      <c r="C150" s="301" t="s">
        <v>21</v>
      </c>
      <c r="D150" s="302">
        <f>E150+M150</f>
        <v>0</v>
      </c>
      <c r="E150" s="303">
        <f>F150+I150+J150+K150+L150</f>
        <v>0</v>
      </c>
      <c r="F150" s="303">
        <f>G150+H150</f>
        <v>0</v>
      </c>
      <c r="G150" s="311"/>
      <c r="H150" s="311"/>
      <c r="I150" s="311"/>
      <c r="J150" s="311"/>
      <c r="K150" s="311"/>
      <c r="L150" s="311"/>
      <c r="M150" s="303">
        <f>N150+P150</f>
        <v>0</v>
      </c>
      <c r="N150" s="311"/>
      <c r="O150" s="311"/>
      <c r="P150" s="311"/>
      <c r="Q150" s="278"/>
    </row>
    <row r="151" spans="1:17" s="261" customFormat="1" ht="12.75" hidden="1">
      <c r="A151" s="1017"/>
      <c r="B151" s="1031"/>
      <c r="C151" s="301" t="s">
        <v>22</v>
      </c>
      <c r="D151" s="312">
        <f>D149+D150</f>
        <v>179000</v>
      </c>
      <c r="E151" s="311">
        <f aca="true" t="shared" si="45" ref="E151:P151">E149+E150</f>
        <v>166000</v>
      </c>
      <c r="F151" s="311">
        <f t="shared" si="45"/>
        <v>166000</v>
      </c>
      <c r="G151" s="311">
        <f t="shared" si="45"/>
        <v>0</v>
      </c>
      <c r="H151" s="311">
        <f t="shared" si="45"/>
        <v>166000</v>
      </c>
      <c r="I151" s="311">
        <f t="shared" si="45"/>
        <v>0</v>
      </c>
      <c r="J151" s="311">
        <f t="shared" si="45"/>
        <v>0</v>
      </c>
      <c r="K151" s="311">
        <f t="shared" si="45"/>
        <v>0</v>
      </c>
      <c r="L151" s="311">
        <f t="shared" si="45"/>
        <v>0</v>
      </c>
      <c r="M151" s="311">
        <f t="shared" si="45"/>
        <v>13000</v>
      </c>
      <c r="N151" s="311">
        <f t="shared" si="45"/>
        <v>13000</v>
      </c>
      <c r="O151" s="311">
        <f t="shared" si="45"/>
        <v>0</v>
      </c>
      <c r="P151" s="311">
        <f t="shared" si="45"/>
        <v>0</v>
      </c>
      <c r="Q151" s="278"/>
    </row>
    <row r="152" spans="1:17" s="261" customFormat="1" ht="6" customHeight="1" thickBot="1">
      <c r="A152" s="299"/>
      <c r="B152" s="313"/>
      <c r="C152" s="301"/>
      <c r="D152" s="312"/>
      <c r="E152" s="314"/>
      <c r="F152" s="314"/>
      <c r="G152" s="314"/>
      <c r="H152" s="311"/>
      <c r="I152" s="311"/>
      <c r="J152" s="311"/>
      <c r="K152" s="311"/>
      <c r="L152" s="311"/>
      <c r="M152" s="311"/>
      <c r="N152" s="311"/>
      <c r="O152" s="314"/>
      <c r="P152" s="314"/>
      <c r="Q152" s="278"/>
    </row>
    <row r="153" spans="1:17" s="336" customFormat="1" ht="14.25">
      <c r="A153" s="1009" t="s">
        <v>317</v>
      </c>
      <c r="B153" s="1012" t="s">
        <v>318</v>
      </c>
      <c r="C153" s="279" t="s">
        <v>20</v>
      </c>
      <c r="D153" s="280">
        <f aca="true" t="shared" si="46" ref="D153:P154">D157</f>
        <v>25163146</v>
      </c>
      <c r="E153" s="281">
        <f t="shared" si="46"/>
        <v>4884857</v>
      </c>
      <c r="F153" s="281">
        <f t="shared" si="46"/>
        <v>2493415</v>
      </c>
      <c r="G153" s="281">
        <f t="shared" si="46"/>
        <v>0</v>
      </c>
      <c r="H153" s="361">
        <f t="shared" si="46"/>
        <v>2493415</v>
      </c>
      <c r="I153" s="361">
        <f t="shared" si="46"/>
        <v>0</v>
      </c>
      <c r="J153" s="361">
        <f t="shared" si="46"/>
        <v>0</v>
      </c>
      <c r="K153" s="361">
        <f t="shared" si="46"/>
        <v>2391442</v>
      </c>
      <c r="L153" s="361">
        <f t="shared" si="46"/>
        <v>0</v>
      </c>
      <c r="M153" s="361">
        <f t="shared" si="46"/>
        <v>20278289</v>
      </c>
      <c r="N153" s="361">
        <f t="shared" si="46"/>
        <v>17874878</v>
      </c>
      <c r="O153" s="281">
        <f t="shared" si="46"/>
        <v>17874878</v>
      </c>
      <c r="P153" s="282">
        <f t="shared" si="46"/>
        <v>2403411</v>
      </c>
      <c r="Q153" s="335"/>
    </row>
    <row r="154" spans="1:17" s="336" customFormat="1" ht="14.25">
      <c r="A154" s="1010"/>
      <c r="B154" s="1013"/>
      <c r="C154" s="286" t="s">
        <v>21</v>
      </c>
      <c r="D154" s="287">
        <f t="shared" si="46"/>
        <v>118289</v>
      </c>
      <c r="E154" s="288">
        <f t="shared" si="46"/>
        <v>118289</v>
      </c>
      <c r="F154" s="288">
        <f t="shared" si="46"/>
        <v>118289</v>
      </c>
      <c r="G154" s="288">
        <f t="shared" si="46"/>
        <v>0</v>
      </c>
      <c r="H154" s="363">
        <f t="shared" si="46"/>
        <v>118289</v>
      </c>
      <c r="I154" s="363">
        <f t="shared" si="46"/>
        <v>0</v>
      </c>
      <c r="J154" s="363">
        <f t="shared" si="46"/>
        <v>0</v>
      </c>
      <c r="K154" s="363">
        <f t="shared" si="46"/>
        <v>0</v>
      </c>
      <c r="L154" s="363">
        <f t="shared" si="46"/>
        <v>0</v>
      </c>
      <c r="M154" s="363">
        <f t="shared" si="46"/>
        <v>0</v>
      </c>
      <c r="N154" s="363">
        <f t="shared" si="46"/>
        <v>0</v>
      </c>
      <c r="O154" s="288">
        <f t="shared" si="46"/>
        <v>0</v>
      </c>
      <c r="P154" s="289">
        <f t="shared" si="46"/>
        <v>0</v>
      </c>
      <c r="Q154" s="335"/>
    </row>
    <row r="155" spans="1:17" s="336" customFormat="1" ht="15" thickBot="1">
      <c r="A155" s="1011"/>
      <c r="B155" s="1014"/>
      <c r="C155" s="290" t="s">
        <v>22</v>
      </c>
      <c r="D155" s="291">
        <f>D153+D154</f>
        <v>25281435</v>
      </c>
      <c r="E155" s="292">
        <f aca="true" t="shared" si="47" ref="E155:P155">E153+E154</f>
        <v>5003146</v>
      </c>
      <c r="F155" s="292">
        <f t="shared" si="47"/>
        <v>2611704</v>
      </c>
      <c r="G155" s="292">
        <f t="shared" si="47"/>
        <v>0</v>
      </c>
      <c r="H155" s="292">
        <f t="shared" si="47"/>
        <v>2611704</v>
      </c>
      <c r="I155" s="292">
        <f t="shared" si="47"/>
        <v>0</v>
      </c>
      <c r="J155" s="292">
        <f t="shared" si="47"/>
        <v>0</v>
      </c>
      <c r="K155" s="292">
        <f t="shared" si="47"/>
        <v>2391442</v>
      </c>
      <c r="L155" s="292">
        <f t="shared" si="47"/>
        <v>0</v>
      </c>
      <c r="M155" s="292">
        <f t="shared" si="47"/>
        <v>20278289</v>
      </c>
      <c r="N155" s="292">
        <f t="shared" si="47"/>
        <v>17874878</v>
      </c>
      <c r="O155" s="292">
        <f t="shared" si="47"/>
        <v>17874878</v>
      </c>
      <c r="P155" s="293">
        <f t="shared" si="47"/>
        <v>2403411</v>
      </c>
      <c r="Q155" s="335"/>
    </row>
    <row r="156" spans="1:17" s="336" customFormat="1" ht="6" customHeight="1">
      <c r="A156" s="328"/>
      <c r="B156" s="329"/>
      <c r="C156" s="330"/>
      <c r="D156" s="331"/>
      <c r="E156" s="332"/>
      <c r="F156" s="332"/>
      <c r="G156" s="332"/>
      <c r="H156" s="333"/>
      <c r="I156" s="333"/>
      <c r="J156" s="333"/>
      <c r="K156" s="333"/>
      <c r="L156" s="333"/>
      <c r="M156" s="333"/>
      <c r="N156" s="333"/>
      <c r="O156" s="332"/>
      <c r="P156" s="334"/>
      <c r="Q156" s="335"/>
    </row>
    <row r="157" spans="1:17" s="261" customFormat="1" ht="12.75">
      <c r="A157" s="1015" t="s">
        <v>319</v>
      </c>
      <c r="B157" s="1018" t="s">
        <v>210</v>
      </c>
      <c r="C157" s="301" t="s">
        <v>20</v>
      </c>
      <c r="D157" s="302">
        <f>E157+M157</f>
        <v>25163146</v>
      </c>
      <c r="E157" s="309">
        <f>F157+I157+J157+K157+L157</f>
        <v>4884857</v>
      </c>
      <c r="F157" s="309">
        <f>G157+H157</f>
        <v>2493415</v>
      </c>
      <c r="G157" s="309">
        <v>0</v>
      </c>
      <c r="H157" s="303">
        <f>13350+884545+1339027+33890+98843+123760</f>
        <v>2493415</v>
      </c>
      <c r="I157" s="303">
        <v>0</v>
      </c>
      <c r="J157" s="303">
        <v>0</v>
      </c>
      <c r="K157" s="303">
        <v>2391442</v>
      </c>
      <c r="L157" s="303">
        <v>0</v>
      </c>
      <c r="M157" s="303">
        <f>N157+P157</f>
        <v>20278289</v>
      </c>
      <c r="N157" s="303">
        <v>17874878</v>
      </c>
      <c r="O157" s="309">
        <v>17874878</v>
      </c>
      <c r="P157" s="309">
        <v>2403411</v>
      </c>
      <c r="Q157" s="278"/>
    </row>
    <row r="158" spans="1:17" s="261" customFormat="1" ht="12.75">
      <c r="A158" s="1016"/>
      <c r="B158" s="1019"/>
      <c r="C158" s="301" t="s">
        <v>21</v>
      </c>
      <c r="D158" s="302">
        <f>E158+M158</f>
        <v>118289</v>
      </c>
      <c r="E158" s="309">
        <f>F158+I158+J158+K158+L158</f>
        <v>118289</v>
      </c>
      <c r="F158" s="309">
        <f>G158+H158</f>
        <v>118289</v>
      </c>
      <c r="G158" s="314"/>
      <c r="H158" s="311">
        <f>151618-33329</f>
        <v>118289</v>
      </c>
      <c r="I158" s="311"/>
      <c r="J158" s="311"/>
      <c r="K158" s="311"/>
      <c r="L158" s="311"/>
      <c r="M158" s="303">
        <f>N158+P158</f>
        <v>0</v>
      </c>
      <c r="N158" s="311"/>
      <c r="O158" s="314"/>
      <c r="P158" s="314"/>
      <c r="Q158" s="278"/>
    </row>
    <row r="159" spans="1:17" s="261" customFormat="1" ht="12.75">
      <c r="A159" s="1017"/>
      <c r="B159" s="1020"/>
      <c r="C159" s="301" t="s">
        <v>22</v>
      </c>
      <c r="D159" s="312">
        <f>D157+D158</f>
        <v>25281435</v>
      </c>
      <c r="E159" s="311">
        <f aca="true" t="shared" si="48" ref="E159:P159">E157+E158</f>
        <v>5003146</v>
      </c>
      <c r="F159" s="311">
        <f t="shared" si="48"/>
        <v>2611704</v>
      </c>
      <c r="G159" s="311">
        <f t="shared" si="48"/>
        <v>0</v>
      </c>
      <c r="H159" s="311">
        <f t="shared" si="48"/>
        <v>2611704</v>
      </c>
      <c r="I159" s="311">
        <f t="shared" si="48"/>
        <v>0</v>
      </c>
      <c r="J159" s="311">
        <f t="shared" si="48"/>
        <v>0</v>
      </c>
      <c r="K159" s="311">
        <f t="shared" si="48"/>
        <v>2391442</v>
      </c>
      <c r="L159" s="311">
        <f t="shared" si="48"/>
        <v>0</v>
      </c>
      <c r="M159" s="311">
        <f t="shared" si="48"/>
        <v>20278289</v>
      </c>
      <c r="N159" s="311">
        <f t="shared" si="48"/>
        <v>17874878</v>
      </c>
      <c r="O159" s="311">
        <f t="shared" si="48"/>
        <v>17874878</v>
      </c>
      <c r="P159" s="311">
        <f t="shared" si="48"/>
        <v>2403411</v>
      </c>
      <c r="Q159" s="278"/>
    </row>
    <row r="160" spans="1:17" s="261" customFormat="1" ht="13.5" hidden="1" thickBot="1">
      <c r="A160" s="299"/>
      <c r="B160" s="313"/>
      <c r="C160" s="301"/>
      <c r="D160" s="312"/>
      <c r="E160" s="311"/>
      <c r="F160" s="311"/>
      <c r="G160" s="311"/>
      <c r="H160" s="311"/>
      <c r="I160" s="311"/>
      <c r="J160" s="311"/>
      <c r="K160" s="311"/>
      <c r="L160" s="311"/>
      <c r="M160" s="311"/>
      <c r="N160" s="311"/>
      <c r="O160" s="311"/>
      <c r="P160" s="311"/>
      <c r="Q160" s="278"/>
    </row>
    <row r="161" spans="1:17" s="336" customFormat="1" ht="14.25" hidden="1">
      <c r="A161" s="1009" t="s">
        <v>38</v>
      </c>
      <c r="B161" s="1012" t="s">
        <v>39</v>
      </c>
      <c r="C161" s="279" t="s">
        <v>20</v>
      </c>
      <c r="D161" s="280">
        <f aca="true" t="shared" si="49" ref="D161:P162">D165+D169+D173+D177+D181+D189+D185</f>
        <v>100090016</v>
      </c>
      <c r="E161" s="361">
        <f t="shared" si="49"/>
        <v>99021400</v>
      </c>
      <c r="F161" s="361">
        <f t="shared" si="49"/>
        <v>43047419</v>
      </c>
      <c r="G161" s="361">
        <f t="shared" si="49"/>
        <v>29966100</v>
      </c>
      <c r="H161" s="361">
        <f t="shared" si="49"/>
        <v>13081319</v>
      </c>
      <c r="I161" s="361">
        <f t="shared" si="49"/>
        <v>135000</v>
      </c>
      <c r="J161" s="361">
        <f t="shared" si="49"/>
        <v>1232000</v>
      </c>
      <c r="K161" s="361">
        <f t="shared" si="49"/>
        <v>54606981</v>
      </c>
      <c r="L161" s="361">
        <f t="shared" si="49"/>
        <v>0</v>
      </c>
      <c r="M161" s="361">
        <f t="shared" si="49"/>
        <v>1068616</v>
      </c>
      <c r="N161" s="361">
        <f t="shared" si="49"/>
        <v>1068616</v>
      </c>
      <c r="O161" s="361">
        <f t="shared" si="49"/>
        <v>395294</v>
      </c>
      <c r="P161" s="362">
        <f t="shared" si="49"/>
        <v>0</v>
      </c>
      <c r="Q161" s="335"/>
    </row>
    <row r="162" spans="1:17" s="336" customFormat="1" ht="14.25" hidden="1">
      <c r="A162" s="1010"/>
      <c r="B162" s="1013"/>
      <c r="C162" s="286" t="s">
        <v>21</v>
      </c>
      <c r="D162" s="287">
        <f t="shared" si="49"/>
        <v>0</v>
      </c>
      <c r="E162" s="363">
        <f t="shared" si="49"/>
        <v>0</v>
      </c>
      <c r="F162" s="363">
        <f t="shared" si="49"/>
        <v>0</v>
      </c>
      <c r="G162" s="363">
        <f t="shared" si="49"/>
        <v>0</v>
      </c>
      <c r="H162" s="363">
        <f t="shared" si="49"/>
        <v>0</v>
      </c>
      <c r="I162" s="363">
        <f t="shared" si="49"/>
        <v>0</v>
      </c>
      <c r="J162" s="363">
        <f t="shared" si="49"/>
        <v>0</v>
      </c>
      <c r="K162" s="363">
        <f t="shared" si="49"/>
        <v>0</v>
      </c>
      <c r="L162" s="363">
        <f t="shared" si="49"/>
        <v>0</v>
      </c>
      <c r="M162" s="363">
        <f t="shared" si="49"/>
        <v>0</v>
      </c>
      <c r="N162" s="363">
        <f t="shared" si="49"/>
        <v>0</v>
      </c>
      <c r="O162" s="363">
        <f t="shared" si="49"/>
        <v>0</v>
      </c>
      <c r="P162" s="364">
        <f t="shared" si="49"/>
        <v>0</v>
      </c>
      <c r="Q162" s="335"/>
    </row>
    <row r="163" spans="1:17" s="336" customFormat="1" ht="15" hidden="1" thickBot="1">
      <c r="A163" s="1011"/>
      <c r="B163" s="1014"/>
      <c r="C163" s="290" t="s">
        <v>22</v>
      </c>
      <c r="D163" s="291">
        <f>D161+D162</f>
        <v>100090016</v>
      </c>
      <c r="E163" s="292">
        <f aca="true" t="shared" si="50" ref="E163:P163">E161+E162</f>
        <v>99021400</v>
      </c>
      <c r="F163" s="292">
        <f t="shared" si="50"/>
        <v>43047419</v>
      </c>
      <c r="G163" s="292">
        <f t="shared" si="50"/>
        <v>29966100</v>
      </c>
      <c r="H163" s="292">
        <f t="shared" si="50"/>
        <v>13081319</v>
      </c>
      <c r="I163" s="292">
        <f t="shared" si="50"/>
        <v>135000</v>
      </c>
      <c r="J163" s="292">
        <f t="shared" si="50"/>
        <v>1232000</v>
      </c>
      <c r="K163" s="292">
        <f t="shared" si="50"/>
        <v>54606981</v>
      </c>
      <c r="L163" s="292">
        <f t="shared" si="50"/>
        <v>0</v>
      </c>
      <c r="M163" s="292">
        <f t="shared" si="50"/>
        <v>1068616</v>
      </c>
      <c r="N163" s="292">
        <f t="shared" si="50"/>
        <v>1068616</v>
      </c>
      <c r="O163" s="292">
        <f t="shared" si="50"/>
        <v>395294</v>
      </c>
      <c r="P163" s="293">
        <f t="shared" si="50"/>
        <v>0</v>
      </c>
      <c r="Q163" s="335"/>
    </row>
    <row r="164" spans="1:17" s="261" customFormat="1" ht="12.75" hidden="1">
      <c r="A164" s="294"/>
      <c r="B164" s="295"/>
      <c r="C164" s="296"/>
      <c r="D164" s="297"/>
      <c r="E164" s="349"/>
      <c r="F164" s="349"/>
      <c r="G164" s="349"/>
      <c r="H164" s="298"/>
      <c r="I164" s="298"/>
      <c r="J164" s="298"/>
      <c r="K164" s="298"/>
      <c r="L164" s="298"/>
      <c r="M164" s="298"/>
      <c r="N164" s="298"/>
      <c r="O164" s="349"/>
      <c r="P164" s="349"/>
      <c r="Q164" s="278"/>
    </row>
    <row r="165" spans="1:17" s="261" customFormat="1" ht="12.75" hidden="1">
      <c r="A165" s="1015" t="s">
        <v>217</v>
      </c>
      <c r="B165" s="1018" t="s">
        <v>218</v>
      </c>
      <c r="C165" s="301" t="s">
        <v>20</v>
      </c>
      <c r="D165" s="302">
        <f>E165+M165</f>
        <v>1053000</v>
      </c>
      <c r="E165" s="309">
        <f>F165+I165+J165+K165+L165</f>
        <v>1053000</v>
      </c>
      <c r="F165" s="309">
        <f>G165+H165</f>
        <v>1053000</v>
      </c>
      <c r="G165" s="309">
        <v>1016000</v>
      </c>
      <c r="H165" s="303">
        <v>37000</v>
      </c>
      <c r="I165" s="303">
        <v>0</v>
      </c>
      <c r="J165" s="303">
        <v>0</v>
      </c>
      <c r="K165" s="303">
        <v>0</v>
      </c>
      <c r="L165" s="303">
        <v>0</v>
      </c>
      <c r="M165" s="303">
        <f>N165+P165</f>
        <v>0</v>
      </c>
      <c r="N165" s="303">
        <v>0</v>
      </c>
      <c r="O165" s="309">
        <v>0</v>
      </c>
      <c r="P165" s="309">
        <v>0</v>
      </c>
      <c r="Q165" s="278"/>
    </row>
    <row r="166" spans="1:17" s="261" customFormat="1" ht="12.75" hidden="1">
      <c r="A166" s="1016"/>
      <c r="B166" s="1019"/>
      <c r="C166" s="301" t="s">
        <v>21</v>
      </c>
      <c r="D166" s="302">
        <f>E166+M166</f>
        <v>0</v>
      </c>
      <c r="E166" s="309">
        <f>F166+I166+J166+K166+L166</f>
        <v>0</v>
      </c>
      <c r="F166" s="309">
        <f>G166+H166</f>
        <v>0</v>
      </c>
      <c r="G166" s="309"/>
      <c r="H166" s="303"/>
      <c r="I166" s="303"/>
      <c r="J166" s="303"/>
      <c r="K166" s="303"/>
      <c r="L166" s="303"/>
      <c r="M166" s="303">
        <f>N166+P166</f>
        <v>0</v>
      </c>
      <c r="N166" s="303"/>
      <c r="O166" s="309"/>
      <c r="P166" s="309"/>
      <c r="Q166" s="278"/>
    </row>
    <row r="167" spans="1:17" s="261" customFormat="1" ht="12.75" hidden="1">
      <c r="A167" s="1017"/>
      <c r="B167" s="1020"/>
      <c r="C167" s="301" t="s">
        <v>22</v>
      </c>
      <c r="D167" s="302">
        <f>D165+D166</f>
        <v>1053000</v>
      </c>
      <c r="E167" s="303">
        <f aca="true" t="shared" si="51" ref="E167:P167">E165+E166</f>
        <v>1053000</v>
      </c>
      <c r="F167" s="303">
        <f t="shared" si="51"/>
        <v>1053000</v>
      </c>
      <c r="G167" s="303">
        <f t="shared" si="51"/>
        <v>1016000</v>
      </c>
      <c r="H167" s="303">
        <f t="shared" si="51"/>
        <v>37000</v>
      </c>
      <c r="I167" s="303">
        <f t="shared" si="51"/>
        <v>0</v>
      </c>
      <c r="J167" s="303">
        <f t="shared" si="51"/>
        <v>0</v>
      </c>
      <c r="K167" s="303">
        <f t="shared" si="51"/>
        <v>0</v>
      </c>
      <c r="L167" s="303">
        <f t="shared" si="51"/>
        <v>0</v>
      </c>
      <c r="M167" s="303">
        <f t="shared" si="51"/>
        <v>0</v>
      </c>
      <c r="N167" s="303">
        <f t="shared" si="51"/>
        <v>0</v>
      </c>
      <c r="O167" s="303">
        <f t="shared" si="51"/>
        <v>0</v>
      </c>
      <c r="P167" s="303">
        <f t="shared" si="51"/>
        <v>0</v>
      </c>
      <c r="Q167" s="278"/>
    </row>
    <row r="168" spans="1:17" s="261" customFormat="1" ht="12.75" hidden="1">
      <c r="A168" s="306"/>
      <c r="B168" s="307"/>
      <c r="C168" s="308"/>
      <c r="D168" s="302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278"/>
    </row>
    <row r="169" spans="1:17" s="261" customFormat="1" ht="12.75" hidden="1">
      <c r="A169" s="1015" t="s">
        <v>320</v>
      </c>
      <c r="B169" s="1018" t="s">
        <v>321</v>
      </c>
      <c r="C169" s="301" t="s">
        <v>20</v>
      </c>
      <c r="D169" s="302">
        <f>E169+M169</f>
        <v>1350000</v>
      </c>
      <c r="E169" s="303">
        <f>F169+I169+J169+K169+L169</f>
        <v>1350000</v>
      </c>
      <c r="F169" s="303">
        <f>G169+H169</f>
        <v>281000</v>
      </c>
      <c r="G169" s="303">
        <v>27000</v>
      </c>
      <c r="H169" s="303">
        <v>254000</v>
      </c>
      <c r="I169" s="303">
        <v>0</v>
      </c>
      <c r="J169" s="303">
        <v>1069000</v>
      </c>
      <c r="K169" s="303">
        <v>0</v>
      </c>
      <c r="L169" s="303">
        <v>0</v>
      </c>
      <c r="M169" s="303">
        <f>N169+P169</f>
        <v>0</v>
      </c>
      <c r="N169" s="303">
        <v>0</v>
      </c>
      <c r="O169" s="303">
        <v>0</v>
      </c>
      <c r="P169" s="303">
        <v>0</v>
      </c>
      <c r="Q169" s="278"/>
    </row>
    <row r="170" spans="1:17" s="261" customFormat="1" ht="12.75" hidden="1">
      <c r="A170" s="1016"/>
      <c r="B170" s="1019"/>
      <c r="C170" s="301" t="s">
        <v>21</v>
      </c>
      <c r="D170" s="302">
        <f>E170+M170</f>
        <v>0</v>
      </c>
      <c r="E170" s="303">
        <f>F170+I170+J170+K170+L170</f>
        <v>0</v>
      </c>
      <c r="F170" s="303">
        <f>G170+H170</f>
        <v>0</v>
      </c>
      <c r="G170" s="303"/>
      <c r="H170" s="303"/>
      <c r="I170" s="303"/>
      <c r="J170" s="303"/>
      <c r="K170" s="303"/>
      <c r="L170" s="303"/>
      <c r="M170" s="303">
        <f>N170+P170</f>
        <v>0</v>
      </c>
      <c r="N170" s="303"/>
      <c r="O170" s="303"/>
      <c r="P170" s="303"/>
      <c r="Q170" s="278"/>
    </row>
    <row r="171" spans="1:17" s="261" customFormat="1" ht="12.75" hidden="1">
      <c r="A171" s="1017"/>
      <c r="B171" s="1020"/>
      <c r="C171" s="301" t="s">
        <v>22</v>
      </c>
      <c r="D171" s="302">
        <f>D169+D170</f>
        <v>1350000</v>
      </c>
      <c r="E171" s="303">
        <f aca="true" t="shared" si="52" ref="E171:P171">E169+E170</f>
        <v>1350000</v>
      </c>
      <c r="F171" s="303">
        <f t="shared" si="52"/>
        <v>281000</v>
      </c>
      <c r="G171" s="303">
        <f t="shared" si="52"/>
        <v>27000</v>
      </c>
      <c r="H171" s="303">
        <f t="shared" si="52"/>
        <v>254000</v>
      </c>
      <c r="I171" s="303">
        <f t="shared" si="52"/>
        <v>0</v>
      </c>
      <c r="J171" s="303">
        <f t="shared" si="52"/>
        <v>1069000</v>
      </c>
      <c r="K171" s="303">
        <f t="shared" si="52"/>
        <v>0</v>
      </c>
      <c r="L171" s="303">
        <f t="shared" si="52"/>
        <v>0</v>
      </c>
      <c r="M171" s="303">
        <f t="shared" si="52"/>
        <v>0</v>
      </c>
      <c r="N171" s="303">
        <f t="shared" si="52"/>
        <v>0</v>
      </c>
      <c r="O171" s="303">
        <f t="shared" si="52"/>
        <v>0</v>
      </c>
      <c r="P171" s="303">
        <f t="shared" si="52"/>
        <v>0</v>
      </c>
      <c r="Q171" s="278"/>
    </row>
    <row r="172" spans="1:17" s="261" customFormat="1" ht="12.75" hidden="1">
      <c r="A172" s="306"/>
      <c r="B172" s="307"/>
      <c r="C172" s="308"/>
      <c r="D172" s="302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278"/>
    </row>
    <row r="173" spans="1:17" s="261" customFormat="1" ht="12.75" hidden="1">
      <c r="A173" s="1015" t="s">
        <v>40</v>
      </c>
      <c r="B173" s="1018" t="s">
        <v>322</v>
      </c>
      <c r="C173" s="301" t="s">
        <v>20</v>
      </c>
      <c r="D173" s="302">
        <f>E173+M173</f>
        <v>72680030</v>
      </c>
      <c r="E173" s="309">
        <f>F173+I173+J173+K173+L173</f>
        <v>71631414</v>
      </c>
      <c r="F173" s="309">
        <f>G173+H173</f>
        <v>35383179</v>
      </c>
      <c r="G173" s="309">
        <v>28830000</v>
      </c>
      <c r="H173" s="303">
        <f>330000+1051000+60000+750000+170000+22000+1701000+350000+2000+2000+504000+150000+150000+80000+1121179+4000+1000+25000+50000+30000</f>
        <v>6553179</v>
      </c>
      <c r="I173" s="303">
        <v>0</v>
      </c>
      <c r="J173" s="303">
        <v>20000</v>
      </c>
      <c r="K173" s="303">
        <v>36228235</v>
      </c>
      <c r="L173" s="303">
        <v>0</v>
      </c>
      <c r="M173" s="303">
        <f>N173+P173</f>
        <v>1048616</v>
      </c>
      <c r="N173" s="303">
        <v>1048616</v>
      </c>
      <c r="O173" s="309">
        <v>375294</v>
      </c>
      <c r="P173" s="309">
        <v>0</v>
      </c>
      <c r="Q173" s="278"/>
    </row>
    <row r="174" spans="1:17" s="261" customFormat="1" ht="12.75" hidden="1">
      <c r="A174" s="1016"/>
      <c r="B174" s="1019"/>
      <c r="C174" s="301" t="s">
        <v>21</v>
      </c>
      <c r="D174" s="302">
        <f>E174+M174</f>
        <v>0</v>
      </c>
      <c r="E174" s="309">
        <f>F174+I174+J174+K174+L174</f>
        <v>0</v>
      </c>
      <c r="F174" s="309">
        <f>G174+H174</f>
        <v>0</v>
      </c>
      <c r="G174" s="309"/>
      <c r="H174" s="303"/>
      <c r="I174" s="303"/>
      <c r="J174" s="303"/>
      <c r="K174" s="303"/>
      <c r="L174" s="303"/>
      <c r="M174" s="303">
        <f>N174+P174</f>
        <v>0</v>
      </c>
      <c r="N174" s="303"/>
      <c r="O174" s="309"/>
      <c r="P174" s="309"/>
      <c r="Q174" s="278"/>
    </row>
    <row r="175" spans="1:17" s="261" customFormat="1" ht="12.75" hidden="1">
      <c r="A175" s="1017"/>
      <c r="B175" s="1020"/>
      <c r="C175" s="301" t="s">
        <v>22</v>
      </c>
      <c r="D175" s="302">
        <f>D173+D174</f>
        <v>72680030</v>
      </c>
      <c r="E175" s="303">
        <f aca="true" t="shared" si="53" ref="E175:P175">E173+E174</f>
        <v>71631414</v>
      </c>
      <c r="F175" s="303">
        <f t="shared" si="53"/>
        <v>35383179</v>
      </c>
      <c r="G175" s="303">
        <f t="shared" si="53"/>
        <v>28830000</v>
      </c>
      <c r="H175" s="303">
        <f t="shared" si="53"/>
        <v>6553179</v>
      </c>
      <c r="I175" s="303">
        <f t="shared" si="53"/>
        <v>0</v>
      </c>
      <c r="J175" s="303">
        <f t="shared" si="53"/>
        <v>20000</v>
      </c>
      <c r="K175" s="303">
        <f t="shared" si="53"/>
        <v>36228235</v>
      </c>
      <c r="L175" s="303">
        <f t="shared" si="53"/>
        <v>0</v>
      </c>
      <c r="M175" s="303">
        <f t="shared" si="53"/>
        <v>1048616</v>
      </c>
      <c r="N175" s="303">
        <f t="shared" si="53"/>
        <v>1048616</v>
      </c>
      <c r="O175" s="303">
        <f t="shared" si="53"/>
        <v>375294</v>
      </c>
      <c r="P175" s="303">
        <f t="shared" si="53"/>
        <v>0</v>
      </c>
      <c r="Q175" s="278"/>
    </row>
    <row r="176" spans="1:17" s="261" customFormat="1" ht="12.75" hidden="1">
      <c r="A176" s="306"/>
      <c r="B176" s="307"/>
      <c r="C176" s="308"/>
      <c r="D176" s="302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278"/>
    </row>
    <row r="177" spans="1:17" s="261" customFormat="1" ht="12.75" hidden="1">
      <c r="A177" s="1015" t="s">
        <v>323</v>
      </c>
      <c r="B177" s="1018" t="s">
        <v>324</v>
      </c>
      <c r="C177" s="301" t="s">
        <v>20</v>
      </c>
      <c r="D177" s="302">
        <f>E177+M177</f>
        <v>545000</v>
      </c>
      <c r="E177" s="309">
        <f>F177+I177+J177+K177+L177</f>
        <v>545000</v>
      </c>
      <c r="F177" s="309">
        <f>G177+H177</f>
        <v>545000</v>
      </c>
      <c r="G177" s="309">
        <v>3000</v>
      </c>
      <c r="H177" s="303">
        <v>542000</v>
      </c>
      <c r="I177" s="303">
        <v>0</v>
      </c>
      <c r="J177" s="303">
        <v>0</v>
      </c>
      <c r="K177" s="303">
        <v>0</v>
      </c>
      <c r="L177" s="303">
        <v>0</v>
      </c>
      <c r="M177" s="303">
        <f>N177+P177</f>
        <v>0</v>
      </c>
      <c r="N177" s="303">
        <v>0</v>
      </c>
      <c r="O177" s="309">
        <v>0</v>
      </c>
      <c r="P177" s="309">
        <v>0</v>
      </c>
      <c r="Q177" s="278"/>
    </row>
    <row r="178" spans="1:17" s="261" customFormat="1" ht="12.75" hidden="1">
      <c r="A178" s="1016"/>
      <c r="B178" s="1019"/>
      <c r="C178" s="301" t="s">
        <v>21</v>
      </c>
      <c r="D178" s="302">
        <f>E178+M178</f>
        <v>0</v>
      </c>
      <c r="E178" s="309">
        <f>F178+I178+J178+K178+L178</f>
        <v>0</v>
      </c>
      <c r="F178" s="309">
        <f>G178+H178</f>
        <v>0</v>
      </c>
      <c r="G178" s="309"/>
      <c r="H178" s="303"/>
      <c r="I178" s="303"/>
      <c r="J178" s="303"/>
      <c r="K178" s="303"/>
      <c r="L178" s="303"/>
      <c r="M178" s="303">
        <f>N178+P178</f>
        <v>0</v>
      </c>
      <c r="N178" s="303"/>
      <c r="O178" s="309"/>
      <c r="P178" s="309"/>
      <c r="Q178" s="278"/>
    </row>
    <row r="179" spans="1:17" s="261" customFormat="1" ht="12.75" hidden="1">
      <c r="A179" s="1017"/>
      <c r="B179" s="1020"/>
      <c r="C179" s="301" t="s">
        <v>22</v>
      </c>
      <c r="D179" s="302">
        <f>D177+D178</f>
        <v>545000</v>
      </c>
      <c r="E179" s="303">
        <f aca="true" t="shared" si="54" ref="E179:P179">E177+E178</f>
        <v>545000</v>
      </c>
      <c r="F179" s="303">
        <f t="shared" si="54"/>
        <v>545000</v>
      </c>
      <c r="G179" s="303">
        <f t="shared" si="54"/>
        <v>3000</v>
      </c>
      <c r="H179" s="303">
        <f t="shared" si="54"/>
        <v>542000</v>
      </c>
      <c r="I179" s="303">
        <f t="shared" si="54"/>
        <v>0</v>
      </c>
      <c r="J179" s="303">
        <f t="shared" si="54"/>
        <v>0</v>
      </c>
      <c r="K179" s="303">
        <f t="shared" si="54"/>
        <v>0</v>
      </c>
      <c r="L179" s="303">
        <f t="shared" si="54"/>
        <v>0</v>
      </c>
      <c r="M179" s="303">
        <f t="shared" si="54"/>
        <v>0</v>
      </c>
      <c r="N179" s="303">
        <f t="shared" si="54"/>
        <v>0</v>
      </c>
      <c r="O179" s="303">
        <f t="shared" si="54"/>
        <v>0</v>
      </c>
      <c r="P179" s="303">
        <f t="shared" si="54"/>
        <v>0</v>
      </c>
      <c r="Q179" s="278"/>
    </row>
    <row r="180" spans="1:17" s="261" customFormat="1" ht="12.75" hidden="1">
      <c r="A180" s="306"/>
      <c r="B180" s="307"/>
      <c r="C180" s="308"/>
      <c r="D180" s="302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278"/>
    </row>
    <row r="181" spans="1:17" s="261" customFormat="1" ht="12.75" hidden="1">
      <c r="A181" s="1015" t="s">
        <v>325</v>
      </c>
      <c r="B181" s="1018" t="s">
        <v>326</v>
      </c>
      <c r="C181" s="308" t="s">
        <v>20</v>
      </c>
      <c r="D181" s="302">
        <f>E181+M181</f>
        <v>18629180</v>
      </c>
      <c r="E181" s="309">
        <f>F181+I181+J181+K181+L181</f>
        <v>18629180</v>
      </c>
      <c r="F181" s="309">
        <f>G181+H181</f>
        <v>5180000</v>
      </c>
      <c r="G181" s="309">
        <v>54500</v>
      </c>
      <c r="H181" s="303">
        <f>50000+100000+5000+4929000+3000+3000+3500+2000+20000+10000</f>
        <v>5125500</v>
      </c>
      <c r="I181" s="303">
        <v>0</v>
      </c>
      <c r="J181" s="303">
        <v>20000</v>
      </c>
      <c r="K181" s="303">
        <v>13429180</v>
      </c>
      <c r="L181" s="303">
        <v>0</v>
      </c>
      <c r="M181" s="303">
        <f>N181+P181</f>
        <v>0</v>
      </c>
      <c r="N181" s="303">
        <v>0</v>
      </c>
      <c r="O181" s="309">
        <v>0</v>
      </c>
      <c r="P181" s="309">
        <v>0</v>
      </c>
      <c r="Q181" s="278"/>
    </row>
    <row r="182" spans="1:17" s="261" customFormat="1" ht="12.75" hidden="1">
      <c r="A182" s="1016"/>
      <c r="B182" s="1019"/>
      <c r="C182" s="308" t="s">
        <v>21</v>
      </c>
      <c r="D182" s="302">
        <f>E182+M182</f>
        <v>0</v>
      </c>
      <c r="E182" s="303">
        <f>F182+I182+J182+K182+L182</f>
        <v>0</v>
      </c>
      <c r="F182" s="303">
        <f>G182+H182</f>
        <v>0</v>
      </c>
      <c r="G182" s="303"/>
      <c r="H182" s="303"/>
      <c r="I182" s="303"/>
      <c r="J182" s="303"/>
      <c r="K182" s="303"/>
      <c r="L182" s="303"/>
      <c r="M182" s="303">
        <f>N182+P182</f>
        <v>0</v>
      </c>
      <c r="N182" s="303"/>
      <c r="O182" s="303"/>
      <c r="P182" s="303"/>
      <c r="Q182" s="278"/>
    </row>
    <row r="183" spans="1:17" s="261" customFormat="1" ht="12.75" hidden="1">
      <c r="A183" s="1017"/>
      <c r="B183" s="1020"/>
      <c r="C183" s="308" t="s">
        <v>22</v>
      </c>
      <c r="D183" s="302">
        <f>D181+D182</f>
        <v>18629180</v>
      </c>
      <c r="E183" s="303">
        <f aca="true" t="shared" si="55" ref="E183:P183">E181+E182</f>
        <v>18629180</v>
      </c>
      <c r="F183" s="303">
        <f t="shared" si="55"/>
        <v>5180000</v>
      </c>
      <c r="G183" s="303">
        <f t="shared" si="55"/>
        <v>54500</v>
      </c>
      <c r="H183" s="303">
        <f t="shared" si="55"/>
        <v>5125500</v>
      </c>
      <c r="I183" s="303">
        <f t="shared" si="55"/>
        <v>0</v>
      </c>
      <c r="J183" s="303">
        <f t="shared" si="55"/>
        <v>20000</v>
      </c>
      <c r="K183" s="303">
        <f t="shared" si="55"/>
        <v>13429180</v>
      </c>
      <c r="L183" s="303">
        <f t="shared" si="55"/>
        <v>0</v>
      </c>
      <c r="M183" s="303">
        <f t="shared" si="55"/>
        <v>0</v>
      </c>
      <c r="N183" s="303">
        <f t="shared" si="55"/>
        <v>0</v>
      </c>
      <c r="O183" s="303">
        <f t="shared" si="55"/>
        <v>0</v>
      </c>
      <c r="P183" s="303">
        <f t="shared" si="55"/>
        <v>0</v>
      </c>
      <c r="Q183" s="278"/>
    </row>
    <row r="184" spans="1:17" s="261" customFormat="1" ht="10.5" customHeight="1" hidden="1">
      <c r="A184" s="306"/>
      <c r="B184" s="310"/>
      <c r="C184" s="308"/>
      <c r="D184" s="302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278"/>
    </row>
    <row r="185" spans="1:17" s="261" customFormat="1" ht="12.75" hidden="1">
      <c r="A185" s="1015" t="s">
        <v>220</v>
      </c>
      <c r="B185" s="1018" t="s">
        <v>221</v>
      </c>
      <c r="C185" s="301" t="s">
        <v>20</v>
      </c>
      <c r="D185" s="302">
        <f>E185+M185</f>
        <v>23000</v>
      </c>
      <c r="E185" s="309">
        <f>F185+I185+J185+K185+L185</f>
        <v>23000</v>
      </c>
      <c r="F185" s="309">
        <f>G185+H185</f>
        <v>23000</v>
      </c>
      <c r="G185" s="309">
        <v>18000</v>
      </c>
      <c r="H185" s="303">
        <v>5000</v>
      </c>
      <c r="I185" s="303">
        <v>0</v>
      </c>
      <c r="J185" s="303">
        <v>0</v>
      </c>
      <c r="K185" s="303">
        <v>0</v>
      </c>
      <c r="L185" s="303">
        <v>0</v>
      </c>
      <c r="M185" s="303">
        <f>N185+P185</f>
        <v>0</v>
      </c>
      <c r="N185" s="303">
        <v>0</v>
      </c>
      <c r="O185" s="309">
        <v>0</v>
      </c>
      <c r="P185" s="309">
        <v>0</v>
      </c>
      <c r="Q185" s="278"/>
    </row>
    <row r="186" spans="1:17" s="261" customFormat="1" ht="12.75" hidden="1">
      <c r="A186" s="1016"/>
      <c r="B186" s="1019"/>
      <c r="C186" s="301" t="s">
        <v>21</v>
      </c>
      <c r="D186" s="302">
        <f>E186+M186</f>
        <v>0</v>
      </c>
      <c r="E186" s="303">
        <f>F186+I186+J186+K186+L186</f>
        <v>0</v>
      </c>
      <c r="F186" s="303">
        <f>G186+H186</f>
        <v>0</v>
      </c>
      <c r="G186" s="303"/>
      <c r="H186" s="303"/>
      <c r="I186" s="303"/>
      <c r="J186" s="303"/>
      <c r="K186" s="303"/>
      <c r="L186" s="303"/>
      <c r="M186" s="303">
        <f>N186+P186</f>
        <v>0</v>
      </c>
      <c r="N186" s="303"/>
      <c r="O186" s="303"/>
      <c r="P186" s="303"/>
      <c r="Q186" s="278"/>
    </row>
    <row r="187" spans="1:17" s="261" customFormat="1" ht="12.75" hidden="1">
      <c r="A187" s="1017"/>
      <c r="B187" s="1020"/>
      <c r="C187" s="301" t="s">
        <v>22</v>
      </c>
      <c r="D187" s="302">
        <f>D185+D186</f>
        <v>23000</v>
      </c>
      <c r="E187" s="303">
        <f aca="true" t="shared" si="56" ref="E187:P187">E185+E186</f>
        <v>23000</v>
      </c>
      <c r="F187" s="303">
        <f t="shared" si="56"/>
        <v>23000</v>
      </c>
      <c r="G187" s="303">
        <f t="shared" si="56"/>
        <v>18000</v>
      </c>
      <c r="H187" s="303">
        <f t="shared" si="56"/>
        <v>5000</v>
      </c>
      <c r="I187" s="303">
        <f t="shared" si="56"/>
        <v>0</v>
      </c>
      <c r="J187" s="303">
        <f t="shared" si="56"/>
        <v>0</v>
      </c>
      <c r="K187" s="303">
        <f t="shared" si="56"/>
        <v>0</v>
      </c>
      <c r="L187" s="303">
        <f t="shared" si="56"/>
        <v>0</v>
      </c>
      <c r="M187" s="303">
        <f t="shared" si="56"/>
        <v>0</v>
      </c>
      <c r="N187" s="303">
        <f t="shared" si="56"/>
        <v>0</v>
      </c>
      <c r="O187" s="303">
        <f t="shared" si="56"/>
        <v>0</v>
      </c>
      <c r="P187" s="303">
        <f t="shared" si="56"/>
        <v>0</v>
      </c>
      <c r="Q187" s="278"/>
    </row>
    <row r="188" spans="1:17" s="261" customFormat="1" ht="10.5" customHeight="1" hidden="1">
      <c r="A188" s="306"/>
      <c r="B188" s="307"/>
      <c r="C188" s="308"/>
      <c r="D188" s="302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278"/>
    </row>
    <row r="189" spans="1:17" s="261" customFormat="1" ht="12.75" hidden="1">
      <c r="A189" s="1015" t="s">
        <v>327</v>
      </c>
      <c r="B189" s="1018" t="s">
        <v>210</v>
      </c>
      <c r="C189" s="301" t="s">
        <v>20</v>
      </c>
      <c r="D189" s="302">
        <f>E189+M189</f>
        <v>5809806</v>
      </c>
      <c r="E189" s="303">
        <f>F189+I189+J189+K189+L189</f>
        <v>5789806</v>
      </c>
      <c r="F189" s="303">
        <f>G189+H189</f>
        <v>582240</v>
      </c>
      <c r="G189" s="303">
        <v>17600</v>
      </c>
      <c r="H189" s="303">
        <f>74600+56900+24000+1000+297100+500+13800+96240+500</f>
        <v>564640</v>
      </c>
      <c r="I189" s="303">
        <v>135000</v>
      </c>
      <c r="J189" s="303">
        <v>123000</v>
      </c>
      <c r="K189" s="303">
        <v>4949566</v>
      </c>
      <c r="L189" s="303">
        <v>0</v>
      </c>
      <c r="M189" s="303">
        <f>N189+P189</f>
        <v>20000</v>
      </c>
      <c r="N189" s="303">
        <v>20000</v>
      </c>
      <c r="O189" s="303">
        <v>20000</v>
      </c>
      <c r="P189" s="303">
        <v>0</v>
      </c>
      <c r="Q189" s="278"/>
    </row>
    <row r="190" spans="1:17" s="261" customFormat="1" ht="12.75" hidden="1">
      <c r="A190" s="1016"/>
      <c r="B190" s="1019"/>
      <c r="C190" s="301" t="s">
        <v>21</v>
      </c>
      <c r="D190" s="302">
        <f>E190+M190</f>
        <v>0</v>
      </c>
      <c r="E190" s="303">
        <f>F190+I190+J190+K190+L190</f>
        <v>0</v>
      </c>
      <c r="F190" s="303">
        <f>G190+H190</f>
        <v>0</v>
      </c>
      <c r="G190" s="311"/>
      <c r="H190" s="311"/>
      <c r="I190" s="311"/>
      <c r="J190" s="311"/>
      <c r="K190" s="311"/>
      <c r="L190" s="311"/>
      <c r="M190" s="303">
        <f>N190+P190</f>
        <v>0</v>
      </c>
      <c r="N190" s="311"/>
      <c r="O190" s="311"/>
      <c r="P190" s="311"/>
      <c r="Q190" s="278"/>
    </row>
    <row r="191" spans="1:17" s="261" customFormat="1" ht="12.75" hidden="1">
      <c r="A191" s="1017"/>
      <c r="B191" s="1020"/>
      <c r="C191" s="301" t="s">
        <v>22</v>
      </c>
      <c r="D191" s="312">
        <f>D189+D190</f>
        <v>5809806</v>
      </c>
      <c r="E191" s="311">
        <f aca="true" t="shared" si="57" ref="E191:P191">E189+E190</f>
        <v>5789806</v>
      </c>
      <c r="F191" s="311">
        <f t="shared" si="57"/>
        <v>582240</v>
      </c>
      <c r="G191" s="311">
        <f t="shared" si="57"/>
        <v>17600</v>
      </c>
      <c r="H191" s="311">
        <f t="shared" si="57"/>
        <v>564640</v>
      </c>
      <c r="I191" s="311">
        <f t="shared" si="57"/>
        <v>135000</v>
      </c>
      <c r="J191" s="311">
        <f t="shared" si="57"/>
        <v>123000</v>
      </c>
      <c r="K191" s="311">
        <f t="shared" si="57"/>
        <v>4949566</v>
      </c>
      <c r="L191" s="311">
        <f t="shared" si="57"/>
        <v>0</v>
      </c>
      <c r="M191" s="311">
        <f t="shared" si="57"/>
        <v>20000</v>
      </c>
      <c r="N191" s="311">
        <f t="shared" si="57"/>
        <v>20000</v>
      </c>
      <c r="O191" s="311">
        <f t="shared" si="57"/>
        <v>20000</v>
      </c>
      <c r="P191" s="311">
        <f t="shared" si="57"/>
        <v>0</v>
      </c>
      <c r="Q191" s="360"/>
    </row>
    <row r="192" spans="1:17" s="261" customFormat="1" ht="9" customHeight="1" hidden="1" thickBot="1">
      <c r="A192" s="299"/>
      <c r="B192" s="313"/>
      <c r="C192" s="301"/>
      <c r="D192" s="312"/>
      <c r="E192" s="311"/>
      <c r="F192" s="311"/>
      <c r="G192" s="311"/>
      <c r="H192" s="311"/>
      <c r="I192" s="311"/>
      <c r="J192" s="311"/>
      <c r="K192" s="311"/>
      <c r="L192" s="311"/>
      <c r="M192" s="311"/>
      <c r="N192" s="311"/>
      <c r="O192" s="311"/>
      <c r="P192" s="311"/>
      <c r="Q192" s="360"/>
    </row>
    <row r="193" spans="1:17" s="336" customFormat="1" ht="14.25" hidden="1">
      <c r="A193" s="1009" t="s">
        <v>223</v>
      </c>
      <c r="B193" s="1012" t="s">
        <v>224</v>
      </c>
      <c r="C193" s="279" t="s">
        <v>20</v>
      </c>
      <c r="D193" s="280">
        <f aca="true" t="shared" si="58" ref="D193:P194">D197</f>
        <v>2000</v>
      </c>
      <c r="E193" s="361">
        <f t="shared" si="58"/>
        <v>2000</v>
      </c>
      <c r="F193" s="361">
        <f t="shared" si="58"/>
        <v>2000</v>
      </c>
      <c r="G193" s="361">
        <f t="shared" si="58"/>
        <v>0</v>
      </c>
      <c r="H193" s="361">
        <f t="shared" si="58"/>
        <v>2000</v>
      </c>
      <c r="I193" s="361">
        <f t="shared" si="58"/>
        <v>0</v>
      </c>
      <c r="J193" s="361">
        <f t="shared" si="58"/>
        <v>0</v>
      </c>
      <c r="K193" s="361">
        <f t="shared" si="58"/>
        <v>0</v>
      </c>
      <c r="L193" s="361">
        <f t="shared" si="58"/>
        <v>0</v>
      </c>
      <c r="M193" s="361">
        <f t="shared" si="58"/>
        <v>0</v>
      </c>
      <c r="N193" s="361">
        <f t="shared" si="58"/>
        <v>0</v>
      </c>
      <c r="O193" s="361">
        <f t="shared" si="58"/>
        <v>0</v>
      </c>
      <c r="P193" s="362">
        <f t="shared" si="58"/>
        <v>0</v>
      </c>
      <c r="Q193" s="365"/>
    </row>
    <row r="194" spans="1:17" s="336" customFormat="1" ht="14.25" hidden="1">
      <c r="A194" s="1010"/>
      <c r="B194" s="1013"/>
      <c r="C194" s="286" t="s">
        <v>21</v>
      </c>
      <c r="D194" s="287">
        <f t="shared" si="58"/>
        <v>0</v>
      </c>
      <c r="E194" s="363">
        <f t="shared" si="58"/>
        <v>0</v>
      </c>
      <c r="F194" s="363">
        <f t="shared" si="58"/>
        <v>0</v>
      </c>
      <c r="G194" s="363">
        <f t="shared" si="58"/>
        <v>0</v>
      </c>
      <c r="H194" s="363">
        <f t="shared" si="58"/>
        <v>0</v>
      </c>
      <c r="I194" s="363">
        <f t="shared" si="58"/>
        <v>0</v>
      </c>
      <c r="J194" s="363">
        <f t="shared" si="58"/>
        <v>0</v>
      </c>
      <c r="K194" s="363">
        <f t="shared" si="58"/>
        <v>0</v>
      </c>
      <c r="L194" s="363">
        <f t="shared" si="58"/>
        <v>0</v>
      </c>
      <c r="M194" s="363">
        <f t="shared" si="58"/>
        <v>0</v>
      </c>
      <c r="N194" s="363">
        <f t="shared" si="58"/>
        <v>0</v>
      </c>
      <c r="O194" s="363">
        <f t="shared" si="58"/>
        <v>0</v>
      </c>
      <c r="P194" s="364">
        <f t="shared" si="58"/>
        <v>0</v>
      </c>
      <c r="Q194" s="365"/>
    </row>
    <row r="195" spans="1:17" s="336" customFormat="1" ht="15" hidden="1" thickBot="1">
      <c r="A195" s="1011"/>
      <c r="B195" s="1014"/>
      <c r="C195" s="290" t="s">
        <v>22</v>
      </c>
      <c r="D195" s="291">
        <f>D193+D194</f>
        <v>2000</v>
      </c>
      <c r="E195" s="292">
        <f aca="true" t="shared" si="59" ref="E195:P195">E193+E194</f>
        <v>2000</v>
      </c>
      <c r="F195" s="292">
        <f t="shared" si="59"/>
        <v>2000</v>
      </c>
      <c r="G195" s="292">
        <f t="shared" si="59"/>
        <v>0</v>
      </c>
      <c r="H195" s="292">
        <f t="shared" si="59"/>
        <v>2000</v>
      </c>
      <c r="I195" s="292">
        <f t="shared" si="59"/>
        <v>0</v>
      </c>
      <c r="J195" s="292">
        <f t="shared" si="59"/>
        <v>0</v>
      </c>
      <c r="K195" s="292">
        <f t="shared" si="59"/>
        <v>0</v>
      </c>
      <c r="L195" s="292">
        <f t="shared" si="59"/>
        <v>0</v>
      </c>
      <c r="M195" s="292">
        <f t="shared" si="59"/>
        <v>0</v>
      </c>
      <c r="N195" s="292">
        <f t="shared" si="59"/>
        <v>0</v>
      </c>
      <c r="O195" s="292">
        <f t="shared" si="59"/>
        <v>0</v>
      </c>
      <c r="P195" s="293">
        <f t="shared" si="59"/>
        <v>0</v>
      </c>
      <c r="Q195" s="365"/>
    </row>
    <row r="196" spans="1:17" s="336" customFormat="1" ht="9.75" customHeight="1" hidden="1">
      <c r="A196" s="328"/>
      <c r="B196" s="329"/>
      <c r="C196" s="330"/>
      <c r="D196" s="331"/>
      <c r="E196" s="333"/>
      <c r="F196" s="333"/>
      <c r="G196" s="333"/>
      <c r="H196" s="333"/>
      <c r="I196" s="333"/>
      <c r="J196" s="333"/>
      <c r="K196" s="333"/>
      <c r="L196" s="333"/>
      <c r="M196" s="333"/>
      <c r="N196" s="333"/>
      <c r="O196" s="333"/>
      <c r="P196" s="344"/>
      <c r="Q196" s="365"/>
    </row>
    <row r="197" spans="1:17" s="261" customFormat="1" ht="12.75" hidden="1">
      <c r="A197" s="1015" t="s">
        <v>225</v>
      </c>
      <c r="B197" s="1018" t="s">
        <v>226</v>
      </c>
      <c r="C197" s="308" t="s">
        <v>20</v>
      </c>
      <c r="D197" s="302">
        <f>E197+M197</f>
        <v>2000</v>
      </c>
      <c r="E197" s="303">
        <f>F197+I197+J197+K197+L197</f>
        <v>2000</v>
      </c>
      <c r="F197" s="303">
        <f>G197+H197</f>
        <v>2000</v>
      </c>
      <c r="G197" s="303">
        <v>0</v>
      </c>
      <c r="H197" s="303">
        <v>2000</v>
      </c>
      <c r="I197" s="303">
        <v>0</v>
      </c>
      <c r="J197" s="303">
        <v>0</v>
      </c>
      <c r="K197" s="303">
        <v>0</v>
      </c>
      <c r="L197" s="303">
        <v>0</v>
      </c>
      <c r="M197" s="303">
        <f>N197+P197</f>
        <v>0</v>
      </c>
      <c r="N197" s="303">
        <v>0</v>
      </c>
      <c r="O197" s="303">
        <v>0</v>
      </c>
      <c r="P197" s="303">
        <v>0</v>
      </c>
      <c r="Q197" s="360"/>
    </row>
    <row r="198" spans="1:17" s="261" customFormat="1" ht="12.75" hidden="1">
      <c r="A198" s="1016"/>
      <c r="B198" s="1019"/>
      <c r="C198" s="301" t="s">
        <v>21</v>
      </c>
      <c r="D198" s="302">
        <f>E198+M198</f>
        <v>0</v>
      </c>
      <c r="E198" s="309">
        <f>F198+I198+J198+K198+L198</f>
        <v>0</v>
      </c>
      <c r="F198" s="309">
        <f>G198+H198</f>
        <v>0</v>
      </c>
      <c r="G198" s="314"/>
      <c r="H198" s="311"/>
      <c r="I198" s="311"/>
      <c r="J198" s="311"/>
      <c r="K198" s="311"/>
      <c r="L198" s="311"/>
      <c r="M198" s="303">
        <f>N198+P198</f>
        <v>0</v>
      </c>
      <c r="N198" s="311"/>
      <c r="O198" s="314"/>
      <c r="P198" s="314"/>
      <c r="Q198" s="278"/>
    </row>
    <row r="199" spans="1:17" s="261" customFormat="1" ht="12.75" hidden="1">
      <c r="A199" s="1017"/>
      <c r="B199" s="1020"/>
      <c r="C199" s="301" t="s">
        <v>22</v>
      </c>
      <c r="D199" s="312">
        <f>D197+D198</f>
        <v>2000</v>
      </c>
      <c r="E199" s="311">
        <f aca="true" t="shared" si="60" ref="E199:P199">E197+E198</f>
        <v>2000</v>
      </c>
      <c r="F199" s="311">
        <f t="shared" si="60"/>
        <v>2000</v>
      </c>
      <c r="G199" s="311">
        <f t="shared" si="60"/>
        <v>0</v>
      </c>
      <c r="H199" s="311">
        <f t="shared" si="60"/>
        <v>2000</v>
      </c>
      <c r="I199" s="311">
        <f t="shared" si="60"/>
        <v>0</v>
      </c>
      <c r="J199" s="311">
        <f t="shared" si="60"/>
        <v>0</v>
      </c>
      <c r="K199" s="311">
        <f t="shared" si="60"/>
        <v>0</v>
      </c>
      <c r="L199" s="311">
        <f t="shared" si="60"/>
        <v>0</v>
      </c>
      <c r="M199" s="311">
        <f t="shared" si="60"/>
        <v>0</v>
      </c>
      <c r="N199" s="311">
        <f t="shared" si="60"/>
        <v>0</v>
      </c>
      <c r="O199" s="311">
        <f t="shared" si="60"/>
        <v>0</v>
      </c>
      <c r="P199" s="311">
        <f t="shared" si="60"/>
        <v>0</v>
      </c>
      <c r="Q199" s="278"/>
    </row>
    <row r="200" spans="1:17" s="261" customFormat="1" ht="9.75" customHeight="1" hidden="1" thickBot="1">
      <c r="A200" s="299"/>
      <c r="B200" s="313"/>
      <c r="C200" s="301"/>
      <c r="D200" s="312"/>
      <c r="E200" s="314"/>
      <c r="F200" s="314"/>
      <c r="G200" s="314"/>
      <c r="H200" s="311"/>
      <c r="I200" s="311"/>
      <c r="J200" s="311"/>
      <c r="K200" s="311"/>
      <c r="L200" s="311"/>
      <c r="M200" s="311"/>
      <c r="N200" s="311"/>
      <c r="O200" s="314"/>
      <c r="P200" s="314"/>
      <c r="Q200" s="278"/>
    </row>
    <row r="201" spans="1:17" s="336" customFormat="1" ht="14.25" hidden="1">
      <c r="A201" s="1009" t="s">
        <v>328</v>
      </c>
      <c r="B201" s="1012" t="s">
        <v>329</v>
      </c>
      <c r="C201" s="279" t="s">
        <v>20</v>
      </c>
      <c r="D201" s="280">
        <f>D205</f>
        <v>125000</v>
      </c>
      <c r="E201" s="361">
        <f>E205</f>
        <v>125000</v>
      </c>
      <c r="F201" s="361">
        <f aca="true" t="shared" si="61" ref="F201:P202">F205</f>
        <v>125000</v>
      </c>
      <c r="G201" s="361">
        <f t="shared" si="61"/>
        <v>0</v>
      </c>
      <c r="H201" s="361">
        <f t="shared" si="61"/>
        <v>125000</v>
      </c>
      <c r="I201" s="361">
        <f t="shared" si="61"/>
        <v>0</v>
      </c>
      <c r="J201" s="361">
        <f t="shared" si="61"/>
        <v>0</v>
      </c>
      <c r="K201" s="361">
        <f t="shared" si="61"/>
        <v>0</v>
      </c>
      <c r="L201" s="361">
        <f t="shared" si="61"/>
        <v>0</v>
      </c>
      <c r="M201" s="361">
        <f t="shared" si="61"/>
        <v>0</v>
      </c>
      <c r="N201" s="361">
        <f t="shared" si="61"/>
        <v>0</v>
      </c>
      <c r="O201" s="361">
        <f t="shared" si="61"/>
        <v>0</v>
      </c>
      <c r="P201" s="362">
        <f t="shared" si="61"/>
        <v>0</v>
      </c>
      <c r="Q201" s="335"/>
    </row>
    <row r="202" spans="1:17" s="336" customFormat="1" ht="14.25" hidden="1">
      <c r="A202" s="1010"/>
      <c r="B202" s="1013"/>
      <c r="C202" s="286" t="s">
        <v>21</v>
      </c>
      <c r="D202" s="287">
        <f>D206</f>
        <v>0</v>
      </c>
      <c r="E202" s="363">
        <f>E206</f>
        <v>0</v>
      </c>
      <c r="F202" s="363">
        <f t="shared" si="61"/>
        <v>0</v>
      </c>
      <c r="G202" s="363">
        <f t="shared" si="61"/>
        <v>0</v>
      </c>
      <c r="H202" s="363">
        <f t="shared" si="61"/>
        <v>0</v>
      </c>
      <c r="I202" s="363">
        <f t="shared" si="61"/>
        <v>0</v>
      </c>
      <c r="J202" s="363">
        <f t="shared" si="61"/>
        <v>0</v>
      </c>
      <c r="K202" s="363">
        <f t="shared" si="61"/>
        <v>0</v>
      </c>
      <c r="L202" s="363">
        <f t="shared" si="61"/>
        <v>0</v>
      </c>
      <c r="M202" s="363">
        <f t="shared" si="61"/>
        <v>0</v>
      </c>
      <c r="N202" s="363">
        <f t="shared" si="61"/>
        <v>0</v>
      </c>
      <c r="O202" s="363">
        <f t="shared" si="61"/>
        <v>0</v>
      </c>
      <c r="P202" s="364">
        <f t="shared" si="61"/>
        <v>0</v>
      </c>
      <c r="Q202" s="335"/>
    </row>
    <row r="203" spans="1:17" s="336" customFormat="1" ht="15" hidden="1" thickBot="1">
      <c r="A203" s="1011"/>
      <c r="B203" s="1014"/>
      <c r="C203" s="290" t="s">
        <v>22</v>
      </c>
      <c r="D203" s="291">
        <f>D201+D202</f>
        <v>125000</v>
      </c>
      <c r="E203" s="292">
        <f aca="true" t="shared" si="62" ref="E203:P203">E201+E202</f>
        <v>125000</v>
      </c>
      <c r="F203" s="292">
        <f t="shared" si="62"/>
        <v>125000</v>
      </c>
      <c r="G203" s="292">
        <f t="shared" si="62"/>
        <v>0</v>
      </c>
      <c r="H203" s="292">
        <f t="shared" si="62"/>
        <v>125000</v>
      </c>
      <c r="I203" s="292">
        <f t="shared" si="62"/>
        <v>0</v>
      </c>
      <c r="J203" s="292">
        <f t="shared" si="62"/>
        <v>0</v>
      </c>
      <c r="K203" s="292">
        <f t="shared" si="62"/>
        <v>0</v>
      </c>
      <c r="L203" s="292">
        <f t="shared" si="62"/>
        <v>0</v>
      </c>
      <c r="M203" s="292">
        <f t="shared" si="62"/>
        <v>0</v>
      </c>
      <c r="N203" s="292">
        <f t="shared" si="62"/>
        <v>0</v>
      </c>
      <c r="O203" s="292">
        <f t="shared" si="62"/>
        <v>0</v>
      </c>
      <c r="P203" s="293">
        <f t="shared" si="62"/>
        <v>0</v>
      </c>
      <c r="Q203" s="335"/>
    </row>
    <row r="204" spans="1:17" s="336" customFormat="1" ht="14.25" hidden="1">
      <c r="A204" s="328"/>
      <c r="B204" s="329"/>
      <c r="C204" s="330"/>
      <c r="D204" s="331"/>
      <c r="E204" s="333"/>
      <c r="F204" s="333"/>
      <c r="G204" s="333"/>
      <c r="H204" s="333"/>
      <c r="I204" s="333"/>
      <c r="J204" s="333"/>
      <c r="K204" s="333"/>
      <c r="L204" s="333"/>
      <c r="M204" s="333"/>
      <c r="N204" s="333"/>
      <c r="O204" s="333"/>
      <c r="P204" s="344"/>
      <c r="Q204" s="335"/>
    </row>
    <row r="205" spans="1:17" s="261" customFormat="1" ht="12.75" hidden="1">
      <c r="A205" s="1015" t="s">
        <v>330</v>
      </c>
      <c r="B205" s="1018" t="s">
        <v>210</v>
      </c>
      <c r="C205" s="301" t="s">
        <v>20</v>
      </c>
      <c r="D205" s="302">
        <f>E205+M205</f>
        <v>125000</v>
      </c>
      <c r="E205" s="303">
        <f>F205+I205+J205+K205+L205</f>
        <v>125000</v>
      </c>
      <c r="F205" s="303">
        <f>G205+H205</f>
        <v>125000</v>
      </c>
      <c r="G205" s="303">
        <v>0</v>
      </c>
      <c r="H205" s="303">
        <v>125000</v>
      </c>
      <c r="I205" s="303">
        <v>0</v>
      </c>
      <c r="J205" s="303">
        <v>0</v>
      </c>
      <c r="K205" s="303">
        <v>0</v>
      </c>
      <c r="L205" s="303">
        <v>0</v>
      </c>
      <c r="M205" s="303">
        <f>N205+P205</f>
        <v>0</v>
      </c>
      <c r="N205" s="303">
        <v>0</v>
      </c>
      <c r="O205" s="303">
        <v>0</v>
      </c>
      <c r="P205" s="303">
        <v>0</v>
      </c>
      <c r="Q205" s="278"/>
    </row>
    <row r="206" spans="1:17" s="261" customFormat="1" ht="12.75" hidden="1">
      <c r="A206" s="1016"/>
      <c r="B206" s="1019"/>
      <c r="C206" s="301" t="s">
        <v>21</v>
      </c>
      <c r="D206" s="302">
        <f>E206+M206</f>
        <v>0</v>
      </c>
      <c r="E206" s="303">
        <f>F206+I206+J206+K206+L206</f>
        <v>0</v>
      </c>
      <c r="F206" s="303">
        <f>G206+H206</f>
        <v>0</v>
      </c>
      <c r="G206" s="311"/>
      <c r="H206" s="311"/>
      <c r="I206" s="311"/>
      <c r="J206" s="311"/>
      <c r="K206" s="311"/>
      <c r="L206" s="311"/>
      <c r="M206" s="303">
        <f>N206+P206</f>
        <v>0</v>
      </c>
      <c r="N206" s="311"/>
      <c r="O206" s="311"/>
      <c r="P206" s="311"/>
      <c r="Q206" s="278"/>
    </row>
    <row r="207" spans="1:17" s="261" customFormat="1" ht="12.75" hidden="1">
      <c r="A207" s="1017"/>
      <c r="B207" s="1020"/>
      <c r="C207" s="301" t="s">
        <v>22</v>
      </c>
      <c r="D207" s="312">
        <f>D205+D206</f>
        <v>125000</v>
      </c>
      <c r="E207" s="311">
        <f aca="true" t="shared" si="63" ref="E207:P207">E205+E206</f>
        <v>125000</v>
      </c>
      <c r="F207" s="311">
        <f t="shared" si="63"/>
        <v>125000</v>
      </c>
      <c r="G207" s="311">
        <f t="shared" si="63"/>
        <v>0</v>
      </c>
      <c r="H207" s="311">
        <f t="shared" si="63"/>
        <v>125000</v>
      </c>
      <c r="I207" s="311">
        <f t="shared" si="63"/>
        <v>0</v>
      </c>
      <c r="J207" s="311">
        <f t="shared" si="63"/>
        <v>0</v>
      </c>
      <c r="K207" s="311">
        <f t="shared" si="63"/>
        <v>0</v>
      </c>
      <c r="L207" s="311">
        <f t="shared" si="63"/>
        <v>0</v>
      </c>
      <c r="M207" s="311">
        <f t="shared" si="63"/>
        <v>0</v>
      </c>
      <c r="N207" s="311">
        <f t="shared" si="63"/>
        <v>0</v>
      </c>
      <c r="O207" s="311">
        <f t="shared" si="63"/>
        <v>0</v>
      </c>
      <c r="P207" s="311">
        <f t="shared" si="63"/>
        <v>0</v>
      </c>
      <c r="Q207" s="278"/>
    </row>
    <row r="208" spans="1:17" s="261" customFormat="1" ht="13.5" hidden="1" thickBot="1">
      <c r="A208" s="299"/>
      <c r="B208" s="313"/>
      <c r="C208" s="301"/>
      <c r="D208" s="312"/>
      <c r="E208" s="314"/>
      <c r="F208" s="314"/>
      <c r="G208" s="314"/>
      <c r="H208" s="311"/>
      <c r="I208" s="311"/>
      <c r="J208" s="311"/>
      <c r="K208" s="311"/>
      <c r="L208" s="311"/>
      <c r="M208" s="311"/>
      <c r="N208" s="311"/>
      <c r="O208" s="314"/>
      <c r="P208" s="314"/>
      <c r="Q208" s="278"/>
    </row>
    <row r="209" spans="1:17" s="336" customFormat="1" ht="14.25" hidden="1">
      <c r="A209" s="1009" t="s">
        <v>331</v>
      </c>
      <c r="B209" s="1032" t="s">
        <v>332</v>
      </c>
      <c r="C209" s="279" t="s">
        <v>20</v>
      </c>
      <c r="D209" s="280">
        <f aca="true" t="shared" si="64" ref="D209:P210">D213+D217</f>
        <v>30458665</v>
      </c>
      <c r="E209" s="281">
        <f t="shared" si="64"/>
        <v>30458665</v>
      </c>
      <c r="F209" s="281">
        <f t="shared" si="64"/>
        <v>0</v>
      </c>
      <c r="G209" s="281">
        <f t="shared" si="64"/>
        <v>0</v>
      </c>
      <c r="H209" s="281">
        <f t="shared" si="64"/>
        <v>0</v>
      </c>
      <c r="I209" s="281">
        <f t="shared" si="64"/>
        <v>0</v>
      </c>
      <c r="J209" s="281">
        <f t="shared" si="64"/>
        <v>0</v>
      </c>
      <c r="K209" s="281">
        <f t="shared" si="64"/>
        <v>0</v>
      </c>
      <c r="L209" s="281">
        <f t="shared" si="64"/>
        <v>30458665</v>
      </c>
      <c r="M209" s="281">
        <f t="shared" si="64"/>
        <v>0</v>
      </c>
      <c r="N209" s="281">
        <f t="shared" si="64"/>
        <v>0</v>
      </c>
      <c r="O209" s="281">
        <f t="shared" si="64"/>
        <v>0</v>
      </c>
      <c r="P209" s="282">
        <f t="shared" si="64"/>
        <v>0</v>
      </c>
      <c r="Q209" s="335"/>
    </row>
    <row r="210" spans="1:17" s="336" customFormat="1" ht="14.25" hidden="1">
      <c r="A210" s="1010"/>
      <c r="B210" s="1033"/>
      <c r="C210" s="286" t="s">
        <v>21</v>
      </c>
      <c r="D210" s="287">
        <f t="shared" si="64"/>
        <v>0</v>
      </c>
      <c r="E210" s="288">
        <f t="shared" si="64"/>
        <v>0</v>
      </c>
      <c r="F210" s="288">
        <f t="shared" si="64"/>
        <v>0</v>
      </c>
      <c r="G210" s="288">
        <f t="shared" si="64"/>
        <v>0</v>
      </c>
      <c r="H210" s="288">
        <f t="shared" si="64"/>
        <v>0</v>
      </c>
      <c r="I210" s="288">
        <f t="shared" si="64"/>
        <v>0</v>
      </c>
      <c r="J210" s="288">
        <f t="shared" si="64"/>
        <v>0</v>
      </c>
      <c r="K210" s="288">
        <f t="shared" si="64"/>
        <v>0</v>
      </c>
      <c r="L210" s="288">
        <f t="shared" si="64"/>
        <v>0</v>
      </c>
      <c r="M210" s="288">
        <f t="shared" si="64"/>
        <v>0</v>
      </c>
      <c r="N210" s="288">
        <f t="shared" si="64"/>
        <v>0</v>
      </c>
      <c r="O210" s="288">
        <f t="shared" si="64"/>
        <v>0</v>
      </c>
      <c r="P210" s="289">
        <f t="shared" si="64"/>
        <v>0</v>
      </c>
      <c r="Q210" s="335"/>
    </row>
    <row r="211" spans="1:17" s="336" customFormat="1" ht="15" hidden="1" thickBot="1">
      <c r="A211" s="1011"/>
      <c r="B211" s="1034"/>
      <c r="C211" s="290" t="s">
        <v>22</v>
      </c>
      <c r="D211" s="291">
        <f>D209+D210</f>
        <v>30458665</v>
      </c>
      <c r="E211" s="292">
        <f aca="true" t="shared" si="65" ref="E211:P211">E209+E210</f>
        <v>30458665</v>
      </c>
      <c r="F211" s="292">
        <f t="shared" si="65"/>
        <v>0</v>
      </c>
      <c r="G211" s="292">
        <f t="shared" si="65"/>
        <v>0</v>
      </c>
      <c r="H211" s="292">
        <f t="shared" si="65"/>
        <v>0</v>
      </c>
      <c r="I211" s="292">
        <f t="shared" si="65"/>
        <v>0</v>
      </c>
      <c r="J211" s="292">
        <f t="shared" si="65"/>
        <v>0</v>
      </c>
      <c r="K211" s="292">
        <f t="shared" si="65"/>
        <v>0</v>
      </c>
      <c r="L211" s="292">
        <f t="shared" si="65"/>
        <v>30458665</v>
      </c>
      <c r="M211" s="292">
        <f t="shared" si="65"/>
        <v>0</v>
      </c>
      <c r="N211" s="292">
        <f t="shared" si="65"/>
        <v>0</v>
      </c>
      <c r="O211" s="292">
        <f t="shared" si="65"/>
        <v>0</v>
      </c>
      <c r="P211" s="293">
        <f t="shared" si="65"/>
        <v>0</v>
      </c>
      <c r="Q211" s="335"/>
    </row>
    <row r="212" spans="1:17" s="336" customFormat="1" ht="14.25" hidden="1">
      <c r="A212" s="328"/>
      <c r="B212" s="329"/>
      <c r="C212" s="330"/>
      <c r="D212" s="331"/>
      <c r="E212" s="333"/>
      <c r="F212" s="333"/>
      <c r="G212" s="333"/>
      <c r="H212" s="333"/>
      <c r="I212" s="333"/>
      <c r="J212" s="333"/>
      <c r="K212" s="333"/>
      <c r="L212" s="333"/>
      <c r="M212" s="333"/>
      <c r="N212" s="333"/>
      <c r="O212" s="333"/>
      <c r="P212" s="344"/>
      <c r="Q212" s="335"/>
    </row>
    <row r="213" spans="1:17" s="261" customFormat="1" ht="12.75" hidden="1">
      <c r="A213" s="1015" t="s">
        <v>333</v>
      </c>
      <c r="B213" s="1018" t="s">
        <v>334</v>
      </c>
      <c r="C213" s="301" t="s">
        <v>20</v>
      </c>
      <c r="D213" s="302">
        <f>E213+M213</f>
        <v>8344640</v>
      </c>
      <c r="E213" s="303">
        <f>F213+I213+J213+K213+L213</f>
        <v>8344640</v>
      </c>
      <c r="F213" s="303">
        <f>G213+H213</f>
        <v>0</v>
      </c>
      <c r="G213" s="303">
        <v>0</v>
      </c>
      <c r="H213" s="303">
        <v>0</v>
      </c>
      <c r="I213" s="303">
        <v>0</v>
      </c>
      <c r="J213" s="303">
        <v>0</v>
      </c>
      <c r="K213" s="303">
        <v>0</v>
      </c>
      <c r="L213" s="303">
        <v>8344640</v>
      </c>
      <c r="M213" s="303">
        <f>N213+P213</f>
        <v>0</v>
      </c>
      <c r="N213" s="303">
        <v>0</v>
      </c>
      <c r="O213" s="303">
        <v>0</v>
      </c>
      <c r="P213" s="303">
        <v>0</v>
      </c>
      <c r="Q213" s="278"/>
    </row>
    <row r="214" spans="1:17" s="261" customFormat="1" ht="12.75" hidden="1">
      <c r="A214" s="1016"/>
      <c r="B214" s="1019"/>
      <c r="C214" s="301" t="s">
        <v>21</v>
      </c>
      <c r="D214" s="302">
        <f>E214+M214</f>
        <v>0</v>
      </c>
      <c r="E214" s="303">
        <f>F214+I214+J214+K214+L214</f>
        <v>0</v>
      </c>
      <c r="F214" s="303">
        <f>G214+H214</f>
        <v>0</v>
      </c>
      <c r="G214" s="303"/>
      <c r="H214" s="303"/>
      <c r="I214" s="303"/>
      <c r="J214" s="303"/>
      <c r="K214" s="303"/>
      <c r="L214" s="303"/>
      <c r="M214" s="303">
        <f>N214+P214</f>
        <v>0</v>
      </c>
      <c r="N214" s="303"/>
      <c r="O214" s="303"/>
      <c r="P214" s="303"/>
      <c r="Q214" s="278"/>
    </row>
    <row r="215" spans="1:17" s="261" customFormat="1" ht="12.75" hidden="1">
      <c r="A215" s="1017"/>
      <c r="B215" s="1020"/>
      <c r="C215" s="301" t="s">
        <v>22</v>
      </c>
      <c r="D215" s="302">
        <f>D213+D214</f>
        <v>8344640</v>
      </c>
      <c r="E215" s="303">
        <f aca="true" t="shared" si="66" ref="E215:P215">E213+E214</f>
        <v>8344640</v>
      </c>
      <c r="F215" s="303">
        <f t="shared" si="66"/>
        <v>0</v>
      </c>
      <c r="G215" s="303">
        <f t="shared" si="66"/>
        <v>0</v>
      </c>
      <c r="H215" s="303">
        <f t="shared" si="66"/>
        <v>0</v>
      </c>
      <c r="I215" s="303">
        <f t="shared" si="66"/>
        <v>0</v>
      </c>
      <c r="J215" s="303">
        <f t="shared" si="66"/>
        <v>0</v>
      </c>
      <c r="K215" s="303">
        <f t="shared" si="66"/>
        <v>0</v>
      </c>
      <c r="L215" s="303">
        <f t="shared" si="66"/>
        <v>8344640</v>
      </c>
      <c r="M215" s="303">
        <f t="shared" si="66"/>
        <v>0</v>
      </c>
      <c r="N215" s="303">
        <f t="shared" si="66"/>
        <v>0</v>
      </c>
      <c r="O215" s="303">
        <f t="shared" si="66"/>
        <v>0</v>
      </c>
      <c r="P215" s="303">
        <f t="shared" si="66"/>
        <v>0</v>
      </c>
      <c r="Q215" s="278"/>
    </row>
    <row r="216" spans="1:17" s="261" customFormat="1" ht="12.75" hidden="1">
      <c r="A216" s="306"/>
      <c r="B216" s="310"/>
      <c r="C216" s="308"/>
      <c r="D216" s="302"/>
      <c r="E216" s="309"/>
      <c r="F216" s="309"/>
      <c r="G216" s="309"/>
      <c r="H216" s="303"/>
      <c r="I216" s="303"/>
      <c r="J216" s="303"/>
      <c r="K216" s="303"/>
      <c r="L216" s="303"/>
      <c r="M216" s="303"/>
      <c r="N216" s="303"/>
      <c r="O216" s="309"/>
      <c r="P216" s="309"/>
      <c r="Q216" s="278"/>
    </row>
    <row r="217" spans="1:17" s="261" customFormat="1" ht="12.75" hidden="1">
      <c r="A217" s="1015" t="s">
        <v>335</v>
      </c>
      <c r="B217" s="1018" t="s">
        <v>336</v>
      </c>
      <c r="C217" s="301" t="s">
        <v>20</v>
      </c>
      <c r="D217" s="302">
        <f>E217+M217</f>
        <v>22114025</v>
      </c>
      <c r="E217" s="309">
        <f>F217+I217+J217+K217+L217</f>
        <v>22114025</v>
      </c>
      <c r="F217" s="309">
        <f>G217+H217</f>
        <v>0</v>
      </c>
      <c r="G217" s="309">
        <v>0</v>
      </c>
      <c r="H217" s="303">
        <v>0</v>
      </c>
      <c r="I217" s="303">
        <v>0</v>
      </c>
      <c r="J217" s="303">
        <v>0</v>
      </c>
      <c r="K217" s="303">
        <v>0</v>
      </c>
      <c r="L217" s="303">
        <f>22114025</f>
        <v>22114025</v>
      </c>
      <c r="M217" s="303">
        <f>N217+P217</f>
        <v>0</v>
      </c>
      <c r="N217" s="303">
        <v>0</v>
      </c>
      <c r="O217" s="309">
        <v>0</v>
      </c>
      <c r="P217" s="309">
        <v>0</v>
      </c>
      <c r="Q217" s="278"/>
    </row>
    <row r="218" spans="1:17" s="261" customFormat="1" ht="12.75" hidden="1">
      <c r="A218" s="1016"/>
      <c r="B218" s="1019"/>
      <c r="C218" s="301" t="s">
        <v>21</v>
      </c>
      <c r="D218" s="302">
        <f>E218+M218</f>
        <v>0</v>
      </c>
      <c r="E218" s="309">
        <f>F218+I218+J218+K218+L218</f>
        <v>0</v>
      </c>
      <c r="F218" s="309">
        <f>G218+H218</f>
        <v>0</v>
      </c>
      <c r="G218" s="314"/>
      <c r="H218" s="311"/>
      <c r="I218" s="311"/>
      <c r="J218" s="311"/>
      <c r="K218" s="311"/>
      <c r="L218" s="311"/>
      <c r="M218" s="303">
        <f>N218+P218</f>
        <v>0</v>
      </c>
      <c r="N218" s="311"/>
      <c r="O218" s="314"/>
      <c r="P218" s="314"/>
      <c r="Q218" s="278"/>
    </row>
    <row r="219" spans="1:17" s="261" customFormat="1" ht="12.75" hidden="1">
      <c r="A219" s="1017"/>
      <c r="B219" s="1020"/>
      <c r="C219" s="301" t="s">
        <v>22</v>
      </c>
      <c r="D219" s="312">
        <f>D217+D218</f>
        <v>22114025</v>
      </c>
      <c r="E219" s="311">
        <f aca="true" t="shared" si="67" ref="E219:P219">E217+E218</f>
        <v>22114025</v>
      </c>
      <c r="F219" s="311">
        <f t="shared" si="67"/>
        <v>0</v>
      </c>
      <c r="G219" s="311">
        <f t="shared" si="67"/>
        <v>0</v>
      </c>
      <c r="H219" s="311">
        <f t="shared" si="67"/>
        <v>0</v>
      </c>
      <c r="I219" s="311">
        <f t="shared" si="67"/>
        <v>0</v>
      </c>
      <c r="J219" s="311">
        <f t="shared" si="67"/>
        <v>0</v>
      </c>
      <c r="K219" s="311">
        <f t="shared" si="67"/>
        <v>0</v>
      </c>
      <c r="L219" s="311">
        <f t="shared" si="67"/>
        <v>22114025</v>
      </c>
      <c r="M219" s="311">
        <f t="shared" si="67"/>
        <v>0</v>
      </c>
      <c r="N219" s="311">
        <f t="shared" si="67"/>
        <v>0</v>
      </c>
      <c r="O219" s="311">
        <f t="shared" si="67"/>
        <v>0</v>
      </c>
      <c r="P219" s="311">
        <f t="shared" si="67"/>
        <v>0</v>
      </c>
      <c r="Q219" s="278"/>
    </row>
    <row r="220" spans="1:17" s="261" customFormat="1" ht="6" customHeight="1" thickBot="1">
      <c r="A220" s="299"/>
      <c r="B220" s="313"/>
      <c r="C220" s="301"/>
      <c r="D220" s="312"/>
      <c r="E220" s="314"/>
      <c r="F220" s="314"/>
      <c r="G220" s="314"/>
      <c r="H220" s="311"/>
      <c r="I220" s="311"/>
      <c r="J220" s="311"/>
      <c r="K220" s="311"/>
      <c r="L220" s="311"/>
      <c r="M220" s="311"/>
      <c r="N220" s="311"/>
      <c r="O220" s="314"/>
      <c r="P220" s="314"/>
      <c r="Q220" s="278"/>
    </row>
    <row r="221" spans="1:17" s="336" customFormat="1" ht="14.25">
      <c r="A221" s="1009" t="s">
        <v>337</v>
      </c>
      <c r="B221" s="1012" t="s">
        <v>338</v>
      </c>
      <c r="C221" s="279" t="s">
        <v>20</v>
      </c>
      <c r="D221" s="280">
        <f aca="true" t="shared" si="68" ref="D221:P222">D225</f>
        <v>21487624</v>
      </c>
      <c r="E221" s="281">
        <f t="shared" si="68"/>
        <v>7757624</v>
      </c>
      <c r="F221" s="281">
        <f t="shared" si="68"/>
        <v>7757624</v>
      </c>
      <c r="G221" s="281">
        <f t="shared" si="68"/>
        <v>0</v>
      </c>
      <c r="H221" s="361">
        <f t="shared" si="68"/>
        <v>7757624</v>
      </c>
      <c r="I221" s="361">
        <f t="shared" si="68"/>
        <v>0</v>
      </c>
      <c r="J221" s="361">
        <f t="shared" si="68"/>
        <v>0</v>
      </c>
      <c r="K221" s="361">
        <f t="shared" si="68"/>
        <v>0</v>
      </c>
      <c r="L221" s="361">
        <f t="shared" si="68"/>
        <v>0</v>
      </c>
      <c r="M221" s="361">
        <f t="shared" si="68"/>
        <v>13730000</v>
      </c>
      <c r="N221" s="361">
        <f t="shared" si="68"/>
        <v>13730000</v>
      </c>
      <c r="O221" s="281">
        <f t="shared" si="68"/>
        <v>0</v>
      </c>
      <c r="P221" s="282">
        <f t="shared" si="68"/>
        <v>0</v>
      </c>
      <c r="Q221" s="335"/>
    </row>
    <row r="222" spans="1:17" s="336" customFormat="1" ht="14.25">
      <c r="A222" s="1010"/>
      <c r="B222" s="1013"/>
      <c r="C222" s="286" t="s">
        <v>21</v>
      </c>
      <c r="D222" s="287">
        <f t="shared" si="68"/>
        <v>-2063457</v>
      </c>
      <c r="E222" s="288">
        <f t="shared" si="68"/>
        <v>0</v>
      </c>
      <c r="F222" s="288">
        <f t="shared" si="68"/>
        <v>0</v>
      </c>
      <c r="G222" s="288">
        <f t="shared" si="68"/>
        <v>0</v>
      </c>
      <c r="H222" s="363">
        <f t="shared" si="68"/>
        <v>0</v>
      </c>
      <c r="I222" s="363">
        <f t="shared" si="68"/>
        <v>0</v>
      </c>
      <c r="J222" s="363">
        <f t="shared" si="68"/>
        <v>0</v>
      </c>
      <c r="K222" s="363">
        <f t="shared" si="68"/>
        <v>0</v>
      </c>
      <c r="L222" s="363">
        <f t="shared" si="68"/>
        <v>0</v>
      </c>
      <c r="M222" s="363">
        <f t="shared" si="68"/>
        <v>-2063457</v>
      </c>
      <c r="N222" s="363">
        <f t="shared" si="68"/>
        <v>-2063457</v>
      </c>
      <c r="O222" s="288">
        <f t="shared" si="68"/>
        <v>0</v>
      </c>
      <c r="P222" s="289">
        <f t="shared" si="68"/>
        <v>0</v>
      </c>
      <c r="Q222" s="335"/>
    </row>
    <row r="223" spans="1:17" s="336" customFormat="1" ht="15" thickBot="1">
      <c r="A223" s="1011"/>
      <c r="B223" s="1014"/>
      <c r="C223" s="290" t="s">
        <v>22</v>
      </c>
      <c r="D223" s="291">
        <f>D221+D222</f>
        <v>19424167</v>
      </c>
      <c r="E223" s="292">
        <f aca="true" t="shared" si="69" ref="E223:P223">E221+E222</f>
        <v>7757624</v>
      </c>
      <c r="F223" s="292">
        <f t="shared" si="69"/>
        <v>7757624</v>
      </c>
      <c r="G223" s="292">
        <f t="shared" si="69"/>
        <v>0</v>
      </c>
      <c r="H223" s="292">
        <f t="shared" si="69"/>
        <v>7757624</v>
      </c>
      <c r="I223" s="292">
        <f t="shared" si="69"/>
        <v>0</v>
      </c>
      <c r="J223" s="292">
        <f t="shared" si="69"/>
        <v>0</v>
      </c>
      <c r="K223" s="292">
        <f t="shared" si="69"/>
        <v>0</v>
      </c>
      <c r="L223" s="292">
        <f t="shared" si="69"/>
        <v>0</v>
      </c>
      <c r="M223" s="292">
        <f t="shared" si="69"/>
        <v>11666543</v>
      </c>
      <c r="N223" s="292">
        <f t="shared" si="69"/>
        <v>11666543</v>
      </c>
      <c r="O223" s="292">
        <f t="shared" si="69"/>
        <v>0</v>
      </c>
      <c r="P223" s="293">
        <f t="shared" si="69"/>
        <v>0</v>
      </c>
      <c r="Q223" s="335"/>
    </row>
    <row r="224" spans="1:17" s="336" customFormat="1" ht="5.25" customHeight="1">
      <c r="A224" s="328"/>
      <c r="B224" s="329"/>
      <c r="C224" s="330"/>
      <c r="D224" s="331"/>
      <c r="E224" s="333"/>
      <c r="F224" s="333"/>
      <c r="G224" s="333"/>
      <c r="H224" s="333"/>
      <c r="I224" s="333"/>
      <c r="J224" s="333"/>
      <c r="K224" s="333"/>
      <c r="L224" s="333"/>
      <c r="M224" s="333"/>
      <c r="N224" s="333"/>
      <c r="O224" s="333"/>
      <c r="P224" s="344"/>
      <c r="Q224" s="335"/>
    </row>
    <row r="225" spans="1:17" s="261" customFormat="1" ht="12.75">
      <c r="A225" s="1015" t="s">
        <v>339</v>
      </c>
      <c r="B225" s="1018" t="s">
        <v>340</v>
      </c>
      <c r="C225" s="301" t="s">
        <v>20</v>
      </c>
      <c r="D225" s="302">
        <f>E225+M225</f>
        <v>21487624</v>
      </c>
      <c r="E225" s="309">
        <f>F225+I225+J225+K225+L225</f>
        <v>7757624</v>
      </c>
      <c r="F225" s="309">
        <f>G225+H225</f>
        <v>7757624</v>
      </c>
      <c r="G225" s="309">
        <v>0</v>
      </c>
      <c r="H225" s="303">
        <v>7757624</v>
      </c>
      <c r="I225" s="303">
        <v>0</v>
      </c>
      <c r="J225" s="303">
        <v>0</v>
      </c>
      <c r="K225" s="303">
        <v>0</v>
      </c>
      <c r="L225" s="303">
        <v>0</v>
      </c>
      <c r="M225" s="303">
        <f>N225+P225</f>
        <v>13730000</v>
      </c>
      <c r="N225" s="303">
        <v>13730000</v>
      </c>
      <c r="O225" s="309">
        <v>0</v>
      </c>
      <c r="P225" s="309">
        <v>0</v>
      </c>
      <c r="Q225" s="278"/>
    </row>
    <row r="226" spans="1:17" s="261" customFormat="1" ht="12.75">
      <c r="A226" s="1016"/>
      <c r="B226" s="1019"/>
      <c r="C226" s="301" t="s">
        <v>21</v>
      </c>
      <c r="D226" s="302">
        <f>E226+M226</f>
        <v>-2063457</v>
      </c>
      <c r="E226" s="309">
        <f>F226+I226+J226+K226+L226</f>
        <v>0</v>
      </c>
      <c r="F226" s="309">
        <f>G226+H226</f>
        <v>0</v>
      </c>
      <c r="G226" s="314"/>
      <c r="H226" s="311"/>
      <c r="I226" s="311"/>
      <c r="J226" s="311"/>
      <c r="K226" s="311"/>
      <c r="L226" s="311"/>
      <c r="M226" s="303">
        <f>N226+P226</f>
        <v>-2063457</v>
      </c>
      <c r="N226" s="311">
        <v>-2063457</v>
      </c>
      <c r="O226" s="314"/>
      <c r="P226" s="314"/>
      <c r="Q226" s="278"/>
    </row>
    <row r="227" spans="1:17" s="261" customFormat="1" ht="12.75">
      <c r="A227" s="1017"/>
      <c r="B227" s="1020"/>
      <c r="C227" s="301" t="s">
        <v>22</v>
      </c>
      <c r="D227" s="312">
        <f>D225+D226</f>
        <v>19424167</v>
      </c>
      <c r="E227" s="311">
        <f aca="true" t="shared" si="70" ref="E227:P227">E225+E226</f>
        <v>7757624</v>
      </c>
      <c r="F227" s="311">
        <f t="shared" si="70"/>
        <v>7757624</v>
      </c>
      <c r="G227" s="311">
        <f t="shared" si="70"/>
        <v>0</v>
      </c>
      <c r="H227" s="311">
        <f t="shared" si="70"/>
        <v>7757624</v>
      </c>
      <c r="I227" s="311">
        <f t="shared" si="70"/>
        <v>0</v>
      </c>
      <c r="J227" s="311">
        <f t="shared" si="70"/>
        <v>0</v>
      </c>
      <c r="K227" s="311">
        <f t="shared" si="70"/>
        <v>0</v>
      </c>
      <c r="L227" s="311">
        <f t="shared" si="70"/>
        <v>0</v>
      </c>
      <c r="M227" s="311">
        <f t="shared" si="70"/>
        <v>11666543</v>
      </c>
      <c r="N227" s="311">
        <f t="shared" si="70"/>
        <v>11666543</v>
      </c>
      <c r="O227" s="311">
        <f t="shared" si="70"/>
        <v>0</v>
      </c>
      <c r="P227" s="311">
        <f t="shared" si="70"/>
        <v>0</v>
      </c>
      <c r="Q227" s="278"/>
    </row>
    <row r="228" spans="1:17" s="261" customFormat="1" ht="6" customHeight="1" thickBot="1">
      <c r="A228" s="299"/>
      <c r="B228" s="313"/>
      <c r="C228" s="301"/>
      <c r="D228" s="312"/>
      <c r="E228" s="311"/>
      <c r="F228" s="311"/>
      <c r="G228" s="311"/>
      <c r="H228" s="311"/>
      <c r="I228" s="311"/>
      <c r="J228" s="311"/>
      <c r="K228" s="311"/>
      <c r="L228" s="311"/>
      <c r="M228" s="311"/>
      <c r="N228" s="311"/>
      <c r="O228" s="311"/>
      <c r="P228" s="311"/>
      <c r="Q228" s="278"/>
    </row>
    <row r="229" spans="1:17" s="336" customFormat="1" ht="14.25">
      <c r="A229" s="1009" t="s">
        <v>41</v>
      </c>
      <c r="B229" s="1012" t="s">
        <v>42</v>
      </c>
      <c r="C229" s="279" t="s">
        <v>20</v>
      </c>
      <c r="D229" s="280">
        <f>D233+D237+D241+D245+D249+D257+D261+D265+D269+D273+D277+D285+D281+D253</f>
        <v>64138577</v>
      </c>
      <c r="E229" s="361">
        <f>E233+E237+E241+E245+E249+E257+E261+E265+E269+E273+E277+E285+E281+E253</f>
        <v>63557298</v>
      </c>
      <c r="F229" s="361">
        <f aca="true" t="shared" si="71" ref="F229:P230">F233+F237+F241+F245+F249+F257+F261+F265+F269+F273+F277+F285+F281+F253</f>
        <v>51833498</v>
      </c>
      <c r="G229" s="361">
        <f t="shared" si="71"/>
        <v>45539568</v>
      </c>
      <c r="H229" s="361">
        <f t="shared" si="71"/>
        <v>6293930</v>
      </c>
      <c r="I229" s="361">
        <f t="shared" si="71"/>
        <v>58920</v>
      </c>
      <c r="J229" s="361">
        <f t="shared" si="71"/>
        <v>164030</v>
      </c>
      <c r="K229" s="361">
        <f t="shared" si="71"/>
        <v>11500850</v>
      </c>
      <c r="L229" s="361">
        <f t="shared" si="71"/>
        <v>0</v>
      </c>
      <c r="M229" s="361">
        <f t="shared" si="71"/>
        <v>581279</v>
      </c>
      <c r="N229" s="361">
        <f t="shared" si="71"/>
        <v>581279</v>
      </c>
      <c r="O229" s="361">
        <f t="shared" si="71"/>
        <v>422551</v>
      </c>
      <c r="P229" s="362">
        <f t="shared" si="71"/>
        <v>0</v>
      </c>
      <c r="Q229" s="335"/>
    </row>
    <row r="230" spans="1:17" s="336" customFormat="1" ht="14.25">
      <c r="A230" s="1010"/>
      <c r="B230" s="1013"/>
      <c r="C230" s="286" t="s">
        <v>21</v>
      </c>
      <c r="D230" s="287">
        <f>D234+D238+D242+D246+D250+D258+D262+D266+D270+D274+D278+D286+D282+D254</f>
        <v>150000</v>
      </c>
      <c r="E230" s="363">
        <f>E234+E238+E242+E246+E250+E258+E262+E266+E270+E274+E278+E286+E282+E254</f>
        <v>150000</v>
      </c>
      <c r="F230" s="363">
        <f t="shared" si="71"/>
        <v>150000</v>
      </c>
      <c r="G230" s="363">
        <f t="shared" si="71"/>
        <v>0</v>
      </c>
      <c r="H230" s="363">
        <f t="shared" si="71"/>
        <v>150000</v>
      </c>
      <c r="I230" s="363">
        <f t="shared" si="71"/>
        <v>0</v>
      </c>
      <c r="J230" s="363">
        <f t="shared" si="71"/>
        <v>0</v>
      </c>
      <c r="K230" s="363">
        <f t="shared" si="71"/>
        <v>0</v>
      </c>
      <c r="L230" s="363">
        <f t="shared" si="71"/>
        <v>0</v>
      </c>
      <c r="M230" s="363">
        <f t="shared" si="71"/>
        <v>0</v>
      </c>
      <c r="N230" s="363">
        <f t="shared" si="71"/>
        <v>0</v>
      </c>
      <c r="O230" s="363">
        <f t="shared" si="71"/>
        <v>0</v>
      </c>
      <c r="P230" s="364">
        <f t="shared" si="71"/>
        <v>0</v>
      </c>
      <c r="Q230" s="335"/>
    </row>
    <row r="231" spans="1:17" s="336" customFormat="1" ht="15" thickBot="1">
      <c r="A231" s="1011"/>
      <c r="B231" s="1014"/>
      <c r="C231" s="290" t="s">
        <v>22</v>
      </c>
      <c r="D231" s="291">
        <f>D229+D230</f>
        <v>64288577</v>
      </c>
      <c r="E231" s="292">
        <f aca="true" t="shared" si="72" ref="E231:P231">E229+E230</f>
        <v>63707298</v>
      </c>
      <c r="F231" s="292">
        <f t="shared" si="72"/>
        <v>51983498</v>
      </c>
      <c r="G231" s="292">
        <f t="shared" si="72"/>
        <v>45539568</v>
      </c>
      <c r="H231" s="292">
        <f t="shared" si="72"/>
        <v>6443930</v>
      </c>
      <c r="I231" s="292">
        <f t="shared" si="72"/>
        <v>58920</v>
      </c>
      <c r="J231" s="292">
        <f t="shared" si="72"/>
        <v>164030</v>
      </c>
      <c r="K231" s="292">
        <f t="shared" si="72"/>
        <v>11500850</v>
      </c>
      <c r="L231" s="292">
        <f t="shared" si="72"/>
        <v>0</v>
      </c>
      <c r="M231" s="292">
        <f t="shared" si="72"/>
        <v>581279</v>
      </c>
      <c r="N231" s="292">
        <f t="shared" si="72"/>
        <v>581279</v>
      </c>
      <c r="O231" s="292">
        <f t="shared" si="72"/>
        <v>422551</v>
      </c>
      <c r="P231" s="293">
        <f t="shared" si="72"/>
        <v>0</v>
      </c>
      <c r="Q231" s="335"/>
    </row>
    <row r="232" spans="1:17" s="336" customFormat="1" ht="14.25" hidden="1">
      <c r="A232" s="328"/>
      <c r="B232" s="329"/>
      <c r="C232" s="330"/>
      <c r="D232" s="331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  <c r="O232" s="333"/>
      <c r="P232" s="344"/>
      <c r="Q232" s="335"/>
    </row>
    <row r="233" spans="1:17" s="261" customFormat="1" ht="12.75" hidden="1">
      <c r="A233" s="1015" t="s">
        <v>341</v>
      </c>
      <c r="B233" s="1018" t="s">
        <v>342</v>
      </c>
      <c r="C233" s="301" t="s">
        <v>20</v>
      </c>
      <c r="D233" s="302">
        <f>E233+M233</f>
        <v>10879820</v>
      </c>
      <c r="E233" s="309">
        <f>F233+I233+J233+K233+L233</f>
        <v>10879820</v>
      </c>
      <c r="F233" s="309">
        <f>G233+H233</f>
        <v>10866791</v>
      </c>
      <c r="G233" s="309">
        <v>9929293</v>
      </c>
      <c r="H233" s="303">
        <v>937498</v>
      </c>
      <c r="I233" s="303">
        <v>0</v>
      </c>
      <c r="J233" s="303">
        <v>13029</v>
      </c>
      <c r="K233" s="303">
        <v>0</v>
      </c>
      <c r="L233" s="303">
        <v>0</v>
      </c>
      <c r="M233" s="303">
        <f>N233+P233</f>
        <v>0</v>
      </c>
      <c r="N233" s="303">
        <v>0</v>
      </c>
      <c r="O233" s="309">
        <v>0</v>
      </c>
      <c r="P233" s="309">
        <v>0</v>
      </c>
      <c r="Q233" s="278"/>
    </row>
    <row r="234" spans="1:17" s="261" customFormat="1" ht="12.75" hidden="1">
      <c r="A234" s="1016"/>
      <c r="B234" s="1019"/>
      <c r="C234" s="301" t="s">
        <v>21</v>
      </c>
      <c r="D234" s="302">
        <f>E234+M234</f>
        <v>0</v>
      </c>
      <c r="E234" s="309">
        <f>F234+I234+J234+K234+L234</f>
        <v>0</v>
      </c>
      <c r="F234" s="309">
        <f>G234+H234</f>
        <v>0</v>
      </c>
      <c r="G234" s="309"/>
      <c r="H234" s="303"/>
      <c r="I234" s="303"/>
      <c r="J234" s="303"/>
      <c r="K234" s="303"/>
      <c r="L234" s="303"/>
      <c r="M234" s="303">
        <f>N234+P234</f>
        <v>0</v>
      </c>
      <c r="N234" s="303"/>
      <c r="O234" s="309"/>
      <c r="P234" s="309"/>
      <c r="Q234" s="278"/>
    </row>
    <row r="235" spans="1:17" s="261" customFormat="1" ht="12.75" hidden="1">
      <c r="A235" s="1017"/>
      <c r="B235" s="1020"/>
      <c r="C235" s="301" t="s">
        <v>22</v>
      </c>
      <c r="D235" s="302">
        <f>D233+D234</f>
        <v>10879820</v>
      </c>
      <c r="E235" s="303">
        <f aca="true" t="shared" si="73" ref="E235:P235">E233+E234</f>
        <v>10879820</v>
      </c>
      <c r="F235" s="303">
        <f t="shared" si="73"/>
        <v>10866791</v>
      </c>
      <c r="G235" s="303">
        <f t="shared" si="73"/>
        <v>9929293</v>
      </c>
      <c r="H235" s="303">
        <f t="shared" si="73"/>
        <v>937498</v>
      </c>
      <c r="I235" s="303">
        <f t="shared" si="73"/>
        <v>0</v>
      </c>
      <c r="J235" s="303">
        <f t="shared" si="73"/>
        <v>13029</v>
      </c>
      <c r="K235" s="303">
        <f t="shared" si="73"/>
        <v>0</v>
      </c>
      <c r="L235" s="303">
        <f t="shared" si="73"/>
        <v>0</v>
      </c>
      <c r="M235" s="303">
        <f t="shared" si="73"/>
        <v>0</v>
      </c>
      <c r="N235" s="303">
        <f t="shared" si="73"/>
        <v>0</v>
      </c>
      <c r="O235" s="303">
        <f t="shared" si="73"/>
        <v>0</v>
      </c>
      <c r="P235" s="303">
        <f t="shared" si="73"/>
        <v>0</v>
      </c>
      <c r="Q235" s="278"/>
    </row>
    <row r="236" spans="1:17" s="261" customFormat="1" ht="12.75" hidden="1">
      <c r="A236" s="306"/>
      <c r="B236" s="310"/>
      <c r="C236" s="308"/>
      <c r="D236" s="302"/>
      <c r="E236" s="303"/>
      <c r="F236" s="303"/>
      <c r="G236" s="303"/>
      <c r="H236" s="303"/>
      <c r="I236" s="303"/>
      <c r="J236" s="303"/>
      <c r="K236" s="303"/>
      <c r="L236" s="303"/>
      <c r="M236" s="303"/>
      <c r="N236" s="303"/>
      <c r="O236" s="303"/>
      <c r="P236" s="303"/>
      <c r="Q236" s="278"/>
    </row>
    <row r="237" spans="1:17" s="261" customFormat="1" ht="12.75" hidden="1">
      <c r="A237" s="1015" t="s">
        <v>343</v>
      </c>
      <c r="B237" s="1018" t="s">
        <v>344</v>
      </c>
      <c r="C237" s="301" t="s">
        <v>20</v>
      </c>
      <c r="D237" s="302">
        <f>E237+M237</f>
        <v>222279</v>
      </c>
      <c r="E237" s="309">
        <f>F237+I237+J237+K237+L237</f>
        <v>0</v>
      </c>
      <c r="F237" s="309">
        <f>G237+H237</f>
        <v>0</v>
      </c>
      <c r="G237" s="309">
        <v>0</v>
      </c>
      <c r="H237" s="303">
        <v>0</v>
      </c>
      <c r="I237" s="303">
        <v>0</v>
      </c>
      <c r="J237" s="303">
        <v>0</v>
      </c>
      <c r="K237" s="303">
        <v>0</v>
      </c>
      <c r="L237" s="303">
        <v>0</v>
      </c>
      <c r="M237" s="303">
        <f>N237+P237</f>
        <v>222279</v>
      </c>
      <c r="N237" s="303">
        <v>222279</v>
      </c>
      <c r="O237" s="309">
        <v>222279</v>
      </c>
      <c r="P237" s="309">
        <v>0</v>
      </c>
      <c r="Q237" s="278"/>
    </row>
    <row r="238" spans="1:17" s="261" customFormat="1" ht="12.75" hidden="1">
      <c r="A238" s="1016"/>
      <c r="B238" s="1019"/>
      <c r="C238" s="301" t="s">
        <v>21</v>
      </c>
      <c r="D238" s="302">
        <f>E238+M238</f>
        <v>0</v>
      </c>
      <c r="E238" s="309">
        <f>F238+I238+J238+K238+L238</f>
        <v>0</v>
      </c>
      <c r="F238" s="309">
        <f>G238+H238</f>
        <v>0</v>
      </c>
      <c r="G238" s="309"/>
      <c r="H238" s="303"/>
      <c r="I238" s="303"/>
      <c r="J238" s="303"/>
      <c r="K238" s="303"/>
      <c r="L238" s="303"/>
      <c r="M238" s="303">
        <f>N238+P238</f>
        <v>0</v>
      </c>
      <c r="N238" s="303"/>
      <c r="O238" s="309"/>
      <c r="P238" s="309"/>
      <c r="Q238" s="278"/>
    </row>
    <row r="239" spans="1:17" s="261" customFormat="1" ht="12.75" hidden="1">
      <c r="A239" s="1017"/>
      <c r="B239" s="1020"/>
      <c r="C239" s="301" t="s">
        <v>22</v>
      </c>
      <c r="D239" s="302">
        <f>D237+D238</f>
        <v>222279</v>
      </c>
      <c r="E239" s="303">
        <f aca="true" t="shared" si="74" ref="E239:P239">E237+E238</f>
        <v>0</v>
      </c>
      <c r="F239" s="303">
        <f t="shared" si="74"/>
        <v>0</v>
      </c>
      <c r="G239" s="303">
        <f t="shared" si="74"/>
        <v>0</v>
      </c>
      <c r="H239" s="303">
        <f t="shared" si="74"/>
        <v>0</v>
      </c>
      <c r="I239" s="303">
        <f t="shared" si="74"/>
        <v>0</v>
      </c>
      <c r="J239" s="303">
        <f t="shared" si="74"/>
        <v>0</v>
      </c>
      <c r="K239" s="303">
        <f t="shared" si="74"/>
        <v>0</v>
      </c>
      <c r="L239" s="303">
        <f t="shared" si="74"/>
        <v>0</v>
      </c>
      <c r="M239" s="303">
        <f t="shared" si="74"/>
        <v>222279</v>
      </c>
      <c r="N239" s="303">
        <f t="shared" si="74"/>
        <v>222279</v>
      </c>
      <c r="O239" s="303">
        <f t="shared" si="74"/>
        <v>222279</v>
      </c>
      <c r="P239" s="303">
        <f t="shared" si="74"/>
        <v>0</v>
      </c>
      <c r="Q239" s="278"/>
    </row>
    <row r="240" spans="1:17" s="261" customFormat="1" ht="12.75" hidden="1">
      <c r="A240" s="306"/>
      <c r="B240" s="307"/>
      <c r="C240" s="308"/>
      <c r="D240" s="302"/>
      <c r="E240" s="303"/>
      <c r="F240" s="303"/>
      <c r="G240" s="303"/>
      <c r="H240" s="303"/>
      <c r="I240" s="303"/>
      <c r="J240" s="303"/>
      <c r="K240" s="303"/>
      <c r="L240" s="303"/>
      <c r="M240" s="303"/>
      <c r="N240" s="303"/>
      <c r="O240" s="303"/>
      <c r="P240" s="303"/>
      <c r="Q240" s="278"/>
    </row>
    <row r="241" spans="1:17" s="261" customFormat="1" ht="12.75" hidden="1">
      <c r="A241" s="1015" t="s">
        <v>345</v>
      </c>
      <c r="B241" s="1018" t="s">
        <v>346</v>
      </c>
      <c r="C241" s="301" t="s">
        <v>20</v>
      </c>
      <c r="D241" s="302">
        <f>E241+M241</f>
        <v>264319</v>
      </c>
      <c r="E241" s="309">
        <f>F241+I241+J241+K241+L241</f>
        <v>264319</v>
      </c>
      <c r="F241" s="309">
        <f>G241+H241</f>
        <v>262973</v>
      </c>
      <c r="G241" s="309">
        <v>248641</v>
      </c>
      <c r="H241" s="303">
        <v>14332</v>
      </c>
      <c r="I241" s="303">
        <v>0</v>
      </c>
      <c r="J241" s="303">
        <v>1346</v>
      </c>
      <c r="K241" s="303">
        <v>0</v>
      </c>
      <c r="L241" s="303">
        <v>0</v>
      </c>
      <c r="M241" s="303">
        <f>N241+P241</f>
        <v>0</v>
      </c>
      <c r="N241" s="303">
        <v>0</v>
      </c>
      <c r="O241" s="309">
        <v>0</v>
      </c>
      <c r="P241" s="309">
        <v>0</v>
      </c>
      <c r="Q241" s="278"/>
    </row>
    <row r="242" spans="1:17" s="261" customFormat="1" ht="12.75" hidden="1">
      <c r="A242" s="1016"/>
      <c r="B242" s="1019"/>
      <c r="C242" s="301" t="s">
        <v>21</v>
      </c>
      <c r="D242" s="302">
        <f>E242+M242</f>
        <v>0</v>
      </c>
      <c r="E242" s="309">
        <f>F242+I242+J242+K242+L242</f>
        <v>0</v>
      </c>
      <c r="F242" s="309">
        <f>G242+H242</f>
        <v>0</v>
      </c>
      <c r="G242" s="309"/>
      <c r="H242" s="303"/>
      <c r="I242" s="303"/>
      <c r="J242" s="303"/>
      <c r="K242" s="303"/>
      <c r="L242" s="303"/>
      <c r="M242" s="303">
        <f>N242+P242</f>
        <v>0</v>
      </c>
      <c r="N242" s="303"/>
      <c r="O242" s="309"/>
      <c r="P242" s="309"/>
      <c r="Q242" s="278"/>
    </row>
    <row r="243" spans="1:17" s="261" customFormat="1" ht="12.75" hidden="1">
      <c r="A243" s="1017"/>
      <c r="B243" s="1020"/>
      <c r="C243" s="301" t="s">
        <v>22</v>
      </c>
      <c r="D243" s="302">
        <f>D241+D242</f>
        <v>264319</v>
      </c>
      <c r="E243" s="303">
        <f aca="true" t="shared" si="75" ref="E243:P243">E241+E242</f>
        <v>264319</v>
      </c>
      <c r="F243" s="303">
        <f t="shared" si="75"/>
        <v>262973</v>
      </c>
      <c r="G243" s="303">
        <f t="shared" si="75"/>
        <v>248641</v>
      </c>
      <c r="H243" s="303">
        <f t="shared" si="75"/>
        <v>14332</v>
      </c>
      <c r="I243" s="303">
        <f t="shared" si="75"/>
        <v>0</v>
      </c>
      <c r="J243" s="303">
        <f t="shared" si="75"/>
        <v>1346</v>
      </c>
      <c r="K243" s="303">
        <f t="shared" si="75"/>
        <v>0</v>
      </c>
      <c r="L243" s="303">
        <f t="shared" si="75"/>
        <v>0</v>
      </c>
      <c r="M243" s="303">
        <f t="shared" si="75"/>
        <v>0</v>
      </c>
      <c r="N243" s="303">
        <f t="shared" si="75"/>
        <v>0</v>
      </c>
      <c r="O243" s="303">
        <f t="shared" si="75"/>
        <v>0</v>
      </c>
      <c r="P243" s="303">
        <f t="shared" si="75"/>
        <v>0</v>
      </c>
      <c r="Q243" s="278"/>
    </row>
    <row r="244" spans="1:17" s="261" customFormat="1" ht="12.75" hidden="1">
      <c r="A244" s="306"/>
      <c r="B244" s="307"/>
      <c r="C244" s="308"/>
      <c r="D244" s="302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3"/>
      <c r="Q244" s="278"/>
    </row>
    <row r="245" spans="1:17" s="261" customFormat="1" ht="12.75" hidden="1">
      <c r="A245" s="1015" t="s">
        <v>347</v>
      </c>
      <c r="B245" s="1018" t="s">
        <v>348</v>
      </c>
      <c r="C245" s="301" t="s">
        <v>20</v>
      </c>
      <c r="D245" s="302">
        <f>E245+M245</f>
        <v>6146107</v>
      </c>
      <c r="E245" s="303">
        <f>F245+I245+J245+K245+L245</f>
        <v>6146107</v>
      </c>
      <c r="F245" s="303">
        <f>G245+H245</f>
        <v>6136460</v>
      </c>
      <c r="G245" s="303">
        <v>5672439</v>
      </c>
      <c r="H245" s="303">
        <v>464021</v>
      </c>
      <c r="I245" s="303">
        <v>0</v>
      </c>
      <c r="J245" s="303">
        <v>9647</v>
      </c>
      <c r="K245" s="303">
        <v>0</v>
      </c>
      <c r="L245" s="303">
        <v>0</v>
      </c>
      <c r="M245" s="303">
        <f>N245+P245</f>
        <v>0</v>
      </c>
      <c r="N245" s="303">
        <v>0</v>
      </c>
      <c r="O245" s="303">
        <v>0</v>
      </c>
      <c r="P245" s="303">
        <v>0</v>
      </c>
      <c r="Q245" s="278"/>
    </row>
    <row r="246" spans="1:17" s="261" customFormat="1" ht="12.75" hidden="1">
      <c r="A246" s="1016"/>
      <c r="B246" s="1019"/>
      <c r="C246" s="301" t="s">
        <v>21</v>
      </c>
      <c r="D246" s="302">
        <f>E246+M246</f>
        <v>0</v>
      </c>
      <c r="E246" s="303">
        <f>F246+I246+J246+K246+L246</f>
        <v>0</v>
      </c>
      <c r="F246" s="303">
        <f>G246+H246</f>
        <v>0</v>
      </c>
      <c r="G246" s="303"/>
      <c r="H246" s="303"/>
      <c r="I246" s="303"/>
      <c r="J246" s="303"/>
      <c r="K246" s="303"/>
      <c r="L246" s="303"/>
      <c r="M246" s="303">
        <f>N246+P246</f>
        <v>0</v>
      </c>
      <c r="N246" s="303"/>
      <c r="O246" s="303"/>
      <c r="P246" s="303"/>
      <c r="Q246" s="278"/>
    </row>
    <row r="247" spans="1:17" s="261" customFormat="1" ht="12.75" hidden="1">
      <c r="A247" s="1017"/>
      <c r="B247" s="1020"/>
      <c r="C247" s="301" t="s">
        <v>22</v>
      </c>
      <c r="D247" s="302">
        <f>D245+D246</f>
        <v>6146107</v>
      </c>
      <c r="E247" s="303">
        <f aca="true" t="shared" si="76" ref="E247:P247">E245+E246</f>
        <v>6146107</v>
      </c>
      <c r="F247" s="303">
        <f t="shared" si="76"/>
        <v>6136460</v>
      </c>
      <c r="G247" s="303">
        <f t="shared" si="76"/>
        <v>5672439</v>
      </c>
      <c r="H247" s="303">
        <f t="shared" si="76"/>
        <v>464021</v>
      </c>
      <c r="I247" s="303">
        <f t="shared" si="76"/>
        <v>0</v>
      </c>
      <c r="J247" s="303">
        <f t="shared" si="76"/>
        <v>9647</v>
      </c>
      <c r="K247" s="303">
        <f t="shared" si="76"/>
        <v>0</v>
      </c>
      <c r="L247" s="303">
        <f t="shared" si="76"/>
        <v>0</v>
      </c>
      <c r="M247" s="303">
        <f t="shared" si="76"/>
        <v>0</v>
      </c>
      <c r="N247" s="303">
        <f t="shared" si="76"/>
        <v>0</v>
      </c>
      <c r="O247" s="303">
        <f t="shared" si="76"/>
        <v>0</v>
      </c>
      <c r="P247" s="303">
        <f t="shared" si="76"/>
        <v>0</v>
      </c>
      <c r="Q247" s="278"/>
    </row>
    <row r="248" spans="1:17" s="261" customFormat="1" ht="12.75" hidden="1">
      <c r="A248" s="306"/>
      <c r="B248" s="307"/>
      <c r="C248" s="308"/>
      <c r="D248" s="302"/>
      <c r="E248" s="309"/>
      <c r="F248" s="309"/>
      <c r="G248" s="309"/>
      <c r="H248" s="303"/>
      <c r="I248" s="303"/>
      <c r="J248" s="303"/>
      <c r="K248" s="303"/>
      <c r="L248" s="303"/>
      <c r="M248" s="303"/>
      <c r="N248" s="303"/>
      <c r="O248" s="309"/>
      <c r="P248" s="309"/>
      <c r="Q248" s="278"/>
    </row>
    <row r="249" spans="1:17" s="261" customFormat="1" ht="12.75" hidden="1">
      <c r="A249" s="1015" t="s">
        <v>349</v>
      </c>
      <c r="B249" s="1018" t="s">
        <v>350</v>
      </c>
      <c r="C249" s="301" t="s">
        <v>20</v>
      </c>
      <c r="D249" s="302">
        <f>E249+M249</f>
        <v>16500</v>
      </c>
      <c r="E249" s="303">
        <f>F249+I249+J249+K249+L249</f>
        <v>16500</v>
      </c>
      <c r="F249" s="303">
        <f>G249+H249</f>
        <v>16500</v>
      </c>
      <c r="G249" s="303">
        <v>0</v>
      </c>
      <c r="H249" s="303">
        <v>16500</v>
      </c>
      <c r="I249" s="303">
        <v>0</v>
      </c>
      <c r="J249" s="303">
        <v>0</v>
      </c>
      <c r="K249" s="303">
        <v>0</v>
      </c>
      <c r="L249" s="303">
        <v>0</v>
      </c>
      <c r="M249" s="303">
        <f>N249+P249</f>
        <v>0</v>
      </c>
      <c r="N249" s="303">
        <v>0</v>
      </c>
      <c r="O249" s="303">
        <v>0</v>
      </c>
      <c r="P249" s="303">
        <v>0</v>
      </c>
      <c r="Q249" s="278"/>
    </row>
    <row r="250" spans="1:17" s="261" customFormat="1" ht="12.75" hidden="1">
      <c r="A250" s="1016"/>
      <c r="B250" s="1019"/>
      <c r="C250" s="301" t="s">
        <v>21</v>
      </c>
      <c r="D250" s="302">
        <f>E250+M250</f>
        <v>0</v>
      </c>
      <c r="E250" s="303">
        <f>F250+I250+J250+K250+L250</f>
        <v>0</v>
      </c>
      <c r="F250" s="303">
        <f>G250+H250</f>
        <v>0</v>
      </c>
      <c r="G250" s="303"/>
      <c r="H250" s="303"/>
      <c r="I250" s="303"/>
      <c r="J250" s="303"/>
      <c r="K250" s="303"/>
      <c r="L250" s="303"/>
      <c r="M250" s="303">
        <f>N250+P250</f>
        <v>0</v>
      </c>
      <c r="N250" s="303"/>
      <c r="O250" s="303"/>
      <c r="P250" s="303"/>
      <c r="Q250" s="278"/>
    </row>
    <row r="251" spans="1:17" s="261" customFormat="1" ht="12.75" hidden="1">
      <c r="A251" s="1017"/>
      <c r="B251" s="1020"/>
      <c r="C251" s="301" t="s">
        <v>22</v>
      </c>
      <c r="D251" s="302">
        <f>D249+D250</f>
        <v>16500</v>
      </c>
      <c r="E251" s="303">
        <f aca="true" t="shared" si="77" ref="E251:P251">E249+E250</f>
        <v>16500</v>
      </c>
      <c r="F251" s="303">
        <f t="shared" si="77"/>
        <v>16500</v>
      </c>
      <c r="G251" s="303">
        <f t="shared" si="77"/>
        <v>0</v>
      </c>
      <c r="H251" s="303">
        <f t="shared" si="77"/>
        <v>16500</v>
      </c>
      <c r="I251" s="303">
        <f t="shared" si="77"/>
        <v>0</v>
      </c>
      <c r="J251" s="303">
        <f t="shared" si="77"/>
        <v>0</v>
      </c>
      <c r="K251" s="303">
        <f t="shared" si="77"/>
        <v>0</v>
      </c>
      <c r="L251" s="303">
        <f t="shared" si="77"/>
        <v>0</v>
      </c>
      <c r="M251" s="303">
        <f t="shared" si="77"/>
        <v>0</v>
      </c>
      <c r="N251" s="303">
        <f t="shared" si="77"/>
        <v>0</v>
      </c>
      <c r="O251" s="303">
        <f t="shared" si="77"/>
        <v>0</v>
      </c>
      <c r="P251" s="303">
        <f t="shared" si="77"/>
        <v>0</v>
      </c>
      <c r="Q251" s="278"/>
    </row>
    <row r="252" spans="1:17" s="261" customFormat="1" ht="12.75" hidden="1">
      <c r="A252" s="299"/>
      <c r="B252" s="300"/>
      <c r="C252" s="301"/>
      <c r="D252" s="302"/>
      <c r="E252" s="303"/>
      <c r="F252" s="303"/>
      <c r="G252" s="303"/>
      <c r="H252" s="303"/>
      <c r="I252" s="303"/>
      <c r="J252" s="303"/>
      <c r="K252" s="303"/>
      <c r="L252" s="303"/>
      <c r="M252" s="303"/>
      <c r="N252" s="303"/>
      <c r="O252" s="303"/>
      <c r="P252" s="303"/>
      <c r="Q252" s="278"/>
    </row>
    <row r="253" spans="1:17" s="261" customFormat="1" ht="12.75" hidden="1">
      <c r="A253" s="1015" t="s">
        <v>351</v>
      </c>
      <c r="B253" s="1021" t="s">
        <v>352</v>
      </c>
      <c r="C253" s="338" t="s">
        <v>20</v>
      </c>
      <c r="D253" s="302">
        <f>E253+M253</f>
        <v>58920</v>
      </c>
      <c r="E253" s="309">
        <f>F253+I253+J253+K253+L253</f>
        <v>58920</v>
      </c>
      <c r="F253" s="309">
        <f>G253+H253</f>
        <v>0</v>
      </c>
      <c r="G253" s="309">
        <v>0</v>
      </c>
      <c r="H253" s="303">
        <v>0</v>
      </c>
      <c r="I253" s="303">
        <v>58920</v>
      </c>
      <c r="J253" s="303">
        <v>0</v>
      </c>
      <c r="K253" s="303">
        <v>0</v>
      </c>
      <c r="L253" s="303">
        <v>0</v>
      </c>
      <c r="M253" s="303">
        <f>N253+P253</f>
        <v>0</v>
      </c>
      <c r="N253" s="303">
        <v>0</v>
      </c>
      <c r="O253" s="309">
        <v>0</v>
      </c>
      <c r="P253" s="309">
        <v>0</v>
      </c>
      <c r="Q253" s="278"/>
    </row>
    <row r="254" spans="1:17" s="261" customFormat="1" ht="12.75" hidden="1">
      <c r="A254" s="1016"/>
      <c r="B254" s="1022"/>
      <c r="C254" s="338" t="s">
        <v>21</v>
      </c>
      <c r="D254" s="302">
        <f>E254+M254</f>
        <v>0</v>
      </c>
      <c r="E254" s="309">
        <f>F254+I254+J254+K254+L254</f>
        <v>0</v>
      </c>
      <c r="F254" s="309">
        <f>G254+H254</f>
        <v>0</v>
      </c>
      <c r="G254" s="309"/>
      <c r="H254" s="303"/>
      <c r="I254" s="303"/>
      <c r="J254" s="303"/>
      <c r="K254" s="303"/>
      <c r="L254" s="303"/>
      <c r="M254" s="303">
        <f>N254+P254</f>
        <v>0</v>
      </c>
      <c r="N254" s="303"/>
      <c r="O254" s="309"/>
      <c r="P254" s="309"/>
      <c r="Q254" s="278"/>
    </row>
    <row r="255" spans="1:17" s="261" customFormat="1" ht="12.75" hidden="1">
      <c r="A255" s="1017"/>
      <c r="B255" s="1023"/>
      <c r="C255" s="338" t="s">
        <v>22</v>
      </c>
      <c r="D255" s="302">
        <f>D253+D254</f>
        <v>58920</v>
      </c>
      <c r="E255" s="303">
        <f aca="true" t="shared" si="78" ref="E255:P255">E253+E254</f>
        <v>58920</v>
      </c>
      <c r="F255" s="303">
        <f t="shared" si="78"/>
        <v>0</v>
      </c>
      <c r="G255" s="303">
        <f t="shared" si="78"/>
        <v>0</v>
      </c>
      <c r="H255" s="303">
        <f t="shared" si="78"/>
        <v>0</v>
      </c>
      <c r="I255" s="303">
        <f t="shared" si="78"/>
        <v>58920</v>
      </c>
      <c r="J255" s="303">
        <f t="shared" si="78"/>
        <v>0</v>
      </c>
      <c r="K255" s="303">
        <f t="shared" si="78"/>
        <v>0</v>
      </c>
      <c r="L255" s="303">
        <f t="shared" si="78"/>
        <v>0</v>
      </c>
      <c r="M255" s="303">
        <f t="shared" si="78"/>
        <v>0</v>
      </c>
      <c r="N255" s="303">
        <f t="shared" si="78"/>
        <v>0</v>
      </c>
      <c r="O255" s="303">
        <f t="shared" si="78"/>
        <v>0</v>
      </c>
      <c r="P255" s="303">
        <f t="shared" si="78"/>
        <v>0</v>
      </c>
      <c r="Q255" s="278"/>
    </row>
    <row r="256" spans="1:17" s="261" customFormat="1" ht="12.75" hidden="1">
      <c r="A256" s="306"/>
      <c r="B256" s="307"/>
      <c r="C256" s="308"/>
      <c r="D256" s="302"/>
      <c r="E256" s="309"/>
      <c r="F256" s="309"/>
      <c r="G256" s="309"/>
      <c r="H256" s="303"/>
      <c r="I256" s="303"/>
      <c r="J256" s="303"/>
      <c r="K256" s="303"/>
      <c r="L256" s="303"/>
      <c r="M256" s="303"/>
      <c r="N256" s="303"/>
      <c r="O256" s="309"/>
      <c r="P256" s="309"/>
      <c r="Q256" s="278"/>
    </row>
    <row r="257" spans="1:17" s="261" customFormat="1" ht="12.75" hidden="1">
      <c r="A257" s="1015" t="s">
        <v>353</v>
      </c>
      <c r="B257" s="1021" t="s">
        <v>354</v>
      </c>
      <c r="C257" s="338" t="s">
        <v>20</v>
      </c>
      <c r="D257" s="302">
        <f>E257+M257</f>
        <v>2930968</v>
      </c>
      <c r="E257" s="303">
        <f>F257+I257+J257+K257+L257</f>
        <v>2930968</v>
      </c>
      <c r="F257" s="303">
        <f>G257+H257</f>
        <v>2926216</v>
      </c>
      <c r="G257" s="303">
        <v>2730411</v>
      </c>
      <c r="H257" s="303">
        <v>195805</v>
      </c>
      <c r="I257" s="303">
        <v>0</v>
      </c>
      <c r="J257" s="303">
        <v>4752</v>
      </c>
      <c r="K257" s="303">
        <v>0</v>
      </c>
      <c r="L257" s="303">
        <v>0</v>
      </c>
      <c r="M257" s="303">
        <f>N257+P257</f>
        <v>0</v>
      </c>
      <c r="N257" s="303">
        <v>0</v>
      </c>
      <c r="O257" s="303">
        <v>0</v>
      </c>
      <c r="P257" s="303">
        <v>0</v>
      </c>
      <c r="Q257" s="278"/>
    </row>
    <row r="258" spans="1:17" s="261" customFormat="1" ht="12.75" hidden="1">
      <c r="A258" s="1016"/>
      <c r="B258" s="1022"/>
      <c r="C258" s="338" t="s">
        <v>21</v>
      </c>
      <c r="D258" s="302">
        <f>E258+M258</f>
        <v>0</v>
      </c>
      <c r="E258" s="303">
        <f>F258+I258+J258+K258+L258</f>
        <v>0</v>
      </c>
      <c r="F258" s="303">
        <f>G258+H258</f>
        <v>0</v>
      </c>
      <c r="G258" s="303"/>
      <c r="H258" s="303"/>
      <c r="I258" s="303"/>
      <c r="J258" s="303"/>
      <c r="K258" s="303"/>
      <c r="L258" s="303"/>
      <c r="M258" s="303">
        <f>N258+P258</f>
        <v>0</v>
      </c>
      <c r="N258" s="303"/>
      <c r="O258" s="303"/>
      <c r="P258" s="303"/>
      <c r="Q258" s="278"/>
    </row>
    <row r="259" spans="1:17" s="261" customFormat="1" ht="12.75" hidden="1">
      <c r="A259" s="1017"/>
      <c r="B259" s="1023"/>
      <c r="C259" s="338" t="s">
        <v>22</v>
      </c>
      <c r="D259" s="302">
        <f>D257+D258</f>
        <v>2930968</v>
      </c>
      <c r="E259" s="303">
        <f aca="true" t="shared" si="79" ref="E259:P259">E257+E258</f>
        <v>2930968</v>
      </c>
      <c r="F259" s="303">
        <f t="shared" si="79"/>
        <v>2926216</v>
      </c>
      <c r="G259" s="303">
        <f t="shared" si="79"/>
        <v>2730411</v>
      </c>
      <c r="H259" s="303">
        <f t="shared" si="79"/>
        <v>195805</v>
      </c>
      <c r="I259" s="303">
        <f t="shared" si="79"/>
        <v>0</v>
      </c>
      <c r="J259" s="303">
        <f t="shared" si="79"/>
        <v>4752</v>
      </c>
      <c r="K259" s="303">
        <f t="shared" si="79"/>
        <v>0</v>
      </c>
      <c r="L259" s="303">
        <f t="shared" si="79"/>
        <v>0</v>
      </c>
      <c r="M259" s="303">
        <f t="shared" si="79"/>
        <v>0</v>
      </c>
      <c r="N259" s="303">
        <f t="shared" si="79"/>
        <v>0</v>
      </c>
      <c r="O259" s="303">
        <f t="shared" si="79"/>
        <v>0</v>
      </c>
      <c r="P259" s="303">
        <f t="shared" si="79"/>
        <v>0</v>
      </c>
      <c r="Q259" s="278"/>
    </row>
    <row r="260" spans="1:17" s="261" customFormat="1" ht="4.5" customHeight="1">
      <c r="A260" s="306"/>
      <c r="B260" s="307"/>
      <c r="C260" s="308"/>
      <c r="D260" s="302"/>
      <c r="E260" s="303"/>
      <c r="F260" s="303"/>
      <c r="G260" s="303"/>
      <c r="H260" s="303"/>
      <c r="I260" s="303"/>
      <c r="J260" s="303"/>
      <c r="K260" s="303"/>
      <c r="L260" s="303"/>
      <c r="M260" s="303"/>
      <c r="N260" s="303"/>
      <c r="O260" s="303"/>
      <c r="P260" s="303"/>
      <c r="Q260" s="278"/>
    </row>
    <row r="261" spans="1:17" s="261" customFormat="1" ht="12.75">
      <c r="A261" s="1015" t="s">
        <v>355</v>
      </c>
      <c r="B261" s="1018" t="s">
        <v>356</v>
      </c>
      <c r="C261" s="308" t="s">
        <v>20</v>
      </c>
      <c r="D261" s="302">
        <f>E261+M261</f>
        <v>9124108</v>
      </c>
      <c r="E261" s="303">
        <f>F261+I261+J261+K261+L261</f>
        <v>8854108</v>
      </c>
      <c r="F261" s="303">
        <f>G261+H261</f>
        <v>5098191</v>
      </c>
      <c r="G261" s="303">
        <v>4359993</v>
      </c>
      <c r="H261" s="303">
        <f>3000+105000+85000+165000+39000+2700+108000+12750+500+5500+5500+203748+2500</f>
        <v>738198</v>
      </c>
      <c r="I261" s="303">
        <v>0</v>
      </c>
      <c r="J261" s="303">
        <v>10000</v>
      </c>
      <c r="K261" s="303">
        <v>3745917</v>
      </c>
      <c r="L261" s="303">
        <v>0</v>
      </c>
      <c r="M261" s="303">
        <f>N261+P261</f>
        <v>270000</v>
      </c>
      <c r="N261" s="303">
        <v>270000</v>
      </c>
      <c r="O261" s="303">
        <v>150272</v>
      </c>
      <c r="P261" s="303">
        <v>0</v>
      </c>
      <c r="Q261" s="278"/>
    </row>
    <row r="262" spans="1:17" s="261" customFormat="1" ht="12.75">
      <c r="A262" s="1016"/>
      <c r="B262" s="1019"/>
      <c r="C262" s="308" t="s">
        <v>21</v>
      </c>
      <c r="D262" s="302">
        <f>E262+M262</f>
        <v>150000</v>
      </c>
      <c r="E262" s="303">
        <f>F262+I262+J262+K262+L262</f>
        <v>150000</v>
      </c>
      <c r="F262" s="303">
        <f>G262+H262</f>
        <v>150000</v>
      </c>
      <c r="G262" s="303"/>
      <c r="H262" s="303">
        <v>150000</v>
      </c>
      <c r="I262" s="303"/>
      <c r="J262" s="303"/>
      <c r="K262" s="303"/>
      <c r="L262" s="303"/>
      <c r="M262" s="303">
        <f>N262+P262</f>
        <v>0</v>
      </c>
      <c r="N262" s="303"/>
      <c r="O262" s="303"/>
      <c r="P262" s="303"/>
      <c r="Q262" s="278"/>
    </row>
    <row r="263" spans="1:17" s="261" customFormat="1" ht="12.75">
      <c r="A263" s="1017"/>
      <c r="B263" s="1020"/>
      <c r="C263" s="308" t="s">
        <v>22</v>
      </c>
      <c r="D263" s="302">
        <f>D261+D262</f>
        <v>9274108</v>
      </c>
      <c r="E263" s="303">
        <f aca="true" t="shared" si="80" ref="E263:P263">E261+E262</f>
        <v>9004108</v>
      </c>
      <c r="F263" s="303">
        <f t="shared" si="80"/>
        <v>5248191</v>
      </c>
      <c r="G263" s="303">
        <f t="shared" si="80"/>
        <v>4359993</v>
      </c>
      <c r="H263" s="303">
        <f t="shared" si="80"/>
        <v>888198</v>
      </c>
      <c r="I263" s="303">
        <f t="shared" si="80"/>
        <v>0</v>
      </c>
      <c r="J263" s="303">
        <f t="shared" si="80"/>
        <v>10000</v>
      </c>
      <c r="K263" s="303">
        <f t="shared" si="80"/>
        <v>3745917</v>
      </c>
      <c r="L263" s="303">
        <f t="shared" si="80"/>
        <v>0</v>
      </c>
      <c r="M263" s="303">
        <f t="shared" si="80"/>
        <v>270000</v>
      </c>
      <c r="N263" s="303">
        <f t="shared" si="80"/>
        <v>270000</v>
      </c>
      <c r="O263" s="303">
        <f t="shared" si="80"/>
        <v>150272</v>
      </c>
      <c r="P263" s="303">
        <f t="shared" si="80"/>
        <v>0</v>
      </c>
      <c r="Q263" s="278"/>
    </row>
    <row r="264" spans="1:17" s="261" customFormat="1" ht="12.75" hidden="1">
      <c r="A264" s="306"/>
      <c r="B264" s="307"/>
      <c r="C264" s="308"/>
      <c r="D264" s="302"/>
      <c r="E264" s="309"/>
      <c r="F264" s="309"/>
      <c r="G264" s="309"/>
      <c r="H264" s="303"/>
      <c r="I264" s="303"/>
      <c r="J264" s="303"/>
      <c r="K264" s="303"/>
      <c r="L264" s="303"/>
      <c r="M264" s="303"/>
      <c r="N264" s="303"/>
      <c r="O264" s="309"/>
      <c r="P264" s="309"/>
      <c r="Q264" s="278"/>
    </row>
    <row r="265" spans="1:17" s="261" customFormat="1" ht="12.75" hidden="1">
      <c r="A265" s="1015" t="s">
        <v>357</v>
      </c>
      <c r="B265" s="1018" t="s">
        <v>358</v>
      </c>
      <c r="C265" s="301" t="s">
        <v>20</v>
      </c>
      <c r="D265" s="302">
        <f>E265+M265</f>
        <v>10238915</v>
      </c>
      <c r="E265" s="309">
        <f>F265+I265+J265+K265+L265</f>
        <v>10238915</v>
      </c>
      <c r="F265" s="309">
        <f>G265+H265</f>
        <v>10231015</v>
      </c>
      <c r="G265" s="309">
        <v>9163090</v>
      </c>
      <c r="H265" s="303">
        <v>1067925</v>
      </c>
      <c r="I265" s="303">
        <v>0</v>
      </c>
      <c r="J265" s="303">
        <v>7900</v>
      </c>
      <c r="K265" s="303">
        <v>0</v>
      </c>
      <c r="L265" s="303">
        <v>0</v>
      </c>
      <c r="M265" s="303">
        <f>N265+P265</f>
        <v>0</v>
      </c>
      <c r="N265" s="303">
        <v>0</v>
      </c>
      <c r="O265" s="309">
        <v>0</v>
      </c>
      <c r="P265" s="309">
        <v>0</v>
      </c>
      <c r="Q265" s="278"/>
    </row>
    <row r="266" spans="1:17" s="261" customFormat="1" ht="12.75" hidden="1">
      <c r="A266" s="1016"/>
      <c r="B266" s="1019"/>
      <c r="C266" s="301" t="s">
        <v>21</v>
      </c>
      <c r="D266" s="302">
        <f>E266+M266</f>
        <v>0</v>
      </c>
      <c r="E266" s="309">
        <f>F266+I266+J266+K266+L266</f>
        <v>0</v>
      </c>
      <c r="F266" s="309">
        <f>G266+H266</f>
        <v>0</v>
      </c>
      <c r="G266" s="309"/>
      <c r="H266" s="303"/>
      <c r="I266" s="303"/>
      <c r="J266" s="303"/>
      <c r="K266" s="303"/>
      <c r="L266" s="303"/>
      <c r="M266" s="303">
        <f>N266+P266</f>
        <v>0</v>
      </c>
      <c r="N266" s="303"/>
      <c r="O266" s="309"/>
      <c r="P266" s="309"/>
      <c r="Q266" s="278"/>
    </row>
    <row r="267" spans="1:17" s="261" customFormat="1" ht="12.75" hidden="1">
      <c r="A267" s="1017"/>
      <c r="B267" s="1020"/>
      <c r="C267" s="301" t="s">
        <v>22</v>
      </c>
      <c r="D267" s="302">
        <f>D265+D266</f>
        <v>10238915</v>
      </c>
      <c r="E267" s="303">
        <f aca="true" t="shared" si="81" ref="E267:P267">E265+E266</f>
        <v>10238915</v>
      </c>
      <c r="F267" s="303">
        <f t="shared" si="81"/>
        <v>10231015</v>
      </c>
      <c r="G267" s="303">
        <f t="shared" si="81"/>
        <v>9163090</v>
      </c>
      <c r="H267" s="303">
        <f t="shared" si="81"/>
        <v>1067925</v>
      </c>
      <c r="I267" s="303">
        <f t="shared" si="81"/>
        <v>0</v>
      </c>
      <c r="J267" s="303">
        <f t="shared" si="81"/>
        <v>7900</v>
      </c>
      <c r="K267" s="303">
        <f t="shared" si="81"/>
        <v>0</v>
      </c>
      <c r="L267" s="303">
        <f t="shared" si="81"/>
        <v>0</v>
      </c>
      <c r="M267" s="303">
        <f t="shared" si="81"/>
        <v>0</v>
      </c>
      <c r="N267" s="303">
        <f t="shared" si="81"/>
        <v>0</v>
      </c>
      <c r="O267" s="303">
        <f t="shared" si="81"/>
        <v>0</v>
      </c>
      <c r="P267" s="303">
        <f t="shared" si="81"/>
        <v>0</v>
      </c>
      <c r="Q267" s="278"/>
    </row>
    <row r="268" spans="1:17" s="261" customFormat="1" ht="12.75" hidden="1">
      <c r="A268" s="306"/>
      <c r="B268" s="307"/>
      <c r="C268" s="308"/>
      <c r="D268" s="302"/>
      <c r="E268" s="309"/>
      <c r="F268" s="309"/>
      <c r="G268" s="309"/>
      <c r="H268" s="303"/>
      <c r="I268" s="303"/>
      <c r="J268" s="303"/>
      <c r="K268" s="303"/>
      <c r="L268" s="303"/>
      <c r="M268" s="303"/>
      <c r="N268" s="303"/>
      <c r="O268" s="309"/>
      <c r="P268" s="309"/>
      <c r="Q268" s="278"/>
    </row>
    <row r="269" spans="1:17" s="261" customFormat="1" ht="12.75" hidden="1">
      <c r="A269" s="1015" t="s">
        <v>359</v>
      </c>
      <c r="B269" s="1018" t="s">
        <v>360</v>
      </c>
      <c r="C269" s="308" t="s">
        <v>20</v>
      </c>
      <c r="D269" s="302">
        <f>E269+M269</f>
        <v>2146689</v>
      </c>
      <c r="E269" s="309">
        <f>F269+I269+J269+K269+L269</f>
        <v>2146689</v>
      </c>
      <c r="F269" s="309">
        <f>G269+H269</f>
        <v>2145189</v>
      </c>
      <c r="G269" s="309">
        <v>1864918</v>
      </c>
      <c r="H269" s="303">
        <v>280271</v>
      </c>
      <c r="I269" s="303">
        <v>0</v>
      </c>
      <c r="J269" s="303">
        <v>1500</v>
      </c>
      <c r="K269" s="303">
        <v>0</v>
      </c>
      <c r="L269" s="303">
        <v>0</v>
      </c>
      <c r="M269" s="303">
        <f>N269+P269</f>
        <v>0</v>
      </c>
      <c r="N269" s="303">
        <f>O1767</f>
        <v>0</v>
      </c>
      <c r="O269" s="309">
        <v>0</v>
      </c>
      <c r="P269" s="309">
        <v>0</v>
      </c>
      <c r="Q269" s="278"/>
    </row>
    <row r="270" spans="1:17" s="261" customFormat="1" ht="12.75" hidden="1">
      <c r="A270" s="1016"/>
      <c r="B270" s="1019"/>
      <c r="C270" s="308" t="s">
        <v>21</v>
      </c>
      <c r="D270" s="302">
        <f>E270+M270</f>
        <v>0</v>
      </c>
      <c r="E270" s="309">
        <f>F270+I270+J270+K270+L270</f>
        <v>0</v>
      </c>
      <c r="F270" s="309">
        <f>G270+H270</f>
        <v>0</v>
      </c>
      <c r="G270" s="309"/>
      <c r="H270" s="303"/>
      <c r="I270" s="303"/>
      <c r="J270" s="303"/>
      <c r="K270" s="303"/>
      <c r="L270" s="303"/>
      <c r="M270" s="303">
        <f>N270+P270</f>
        <v>0</v>
      </c>
      <c r="N270" s="303"/>
      <c r="O270" s="309"/>
      <c r="P270" s="309"/>
      <c r="Q270" s="278"/>
    </row>
    <row r="271" spans="1:17" s="261" customFormat="1" ht="12.75" hidden="1">
      <c r="A271" s="1017"/>
      <c r="B271" s="1020"/>
      <c r="C271" s="308" t="s">
        <v>22</v>
      </c>
      <c r="D271" s="302">
        <f>D269+D270</f>
        <v>2146689</v>
      </c>
      <c r="E271" s="303">
        <f aca="true" t="shared" si="82" ref="E271:P271">E269+E270</f>
        <v>2146689</v>
      </c>
      <c r="F271" s="303">
        <f t="shared" si="82"/>
        <v>2145189</v>
      </c>
      <c r="G271" s="303">
        <f t="shared" si="82"/>
        <v>1864918</v>
      </c>
      <c r="H271" s="303">
        <f t="shared" si="82"/>
        <v>280271</v>
      </c>
      <c r="I271" s="303">
        <f t="shared" si="82"/>
        <v>0</v>
      </c>
      <c r="J271" s="303">
        <f t="shared" si="82"/>
        <v>1500</v>
      </c>
      <c r="K271" s="303">
        <f t="shared" si="82"/>
        <v>0</v>
      </c>
      <c r="L271" s="303">
        <f t="shared" si="82"/>
        <v>0</v>
      </c>
      <c r="M271" s="303">
        <f t="shared" si="82"/>
        <v>0</v>
      </c>
      <c r="N271" s="303">
        <f t="shared" si="82"/>
        <v>0</v>
      </c>
      <c r="O271" s="303">
        <f t="shared" si="82"/>
        <v>0</v>
      </c>
      <c r="P271" s="303">
        <f t="shared" si="82"/>
        <v>0</v>
      </c>
      <c r="Q271" s="278"/>
    </row>
    <row r="272" spans="1:17" s="261" customFormat="1" ht="12.75" hidden="1">
      <c r="A272" s="306"/>
      <c r="B272" s="307"/>
      <c r="C272" s="308"/>
      <c r="D272" s="302"/>
      <c r="E272" s="309"/>
      <c r="F272" s="309"/>
      <c r="G272" s="309"/>
      <c r="H272" s="303"/>
      <c r="I272" s="303"/>
      <c r="J272" s="303"/>
      <c r="K272" s="303"/>
      <c r="L272" s="303"/>
      <c r="M272" s="303"/>
      <c r="N272" s="303"/>
      <c r="O272" s="309"/>
      <c r="P272" s="309"/>
      <c r="Q272" s="278"/>
    </row>
    <row r="273" spans="1:17" s="261" customFormat="1" ht="12.75" hidden="1">
      <c r="A273" s="1015" t="s">
        <v>361</v>
      </c>
      <c r="B273" s="1018" t="s">
        <v>362</v>
      </c>
      <c r="C273" s="301" t="s">
        <v>20</v>
      </c>
      <c r="D273" s="302">
        <f>E273+M273</f>
        <v>7588842</v>
      </c>
      <c r="E273" s="309">
        <f>F273+I273+J273+K273+L273</f>
        <v>7588842</v>
      </c>
      <c r="F273" s="309">
        <f>G273+H273</f>
        <v>7579742</v>
      </c>
      <c r="G273" s="309">
        <v>6571993</v>
      </c>
      <c r="H273" s="303">
        <v>1007749</v>
      </c>
      <c r="I273" s="303">
        <v>0</v>
      </c>
      <c r="J273" s="303">
        <v>9100</v>
      </c>
      <c r="K273" s="303">
        <v>0</v>
      </c>
      <c r="L273" s="303">
        <v>0</v>
      </c>
      <c r="M273" s="303">
        <f>N273+P273</f>
        <v>0</v>
      </c>
      <c r="N273" s="303">
        <v>0</v>
      </c>
      <c r="O273" s="309">
        <v>0</v>
      </c>
      <c r="P273" s="309">
        <v>0</v>
      </c>
      <c r="Q273" s="278"/>
    </row>
    <row r="274" spans="1:17" s="261" customFormat="1" ht="12.75" hidden="1">
      <c r="A274" s="1016"/>
      <c r="B274" s="1019"/>
      <c r="C274" s="301" t="s">
        <v>21</v>
      </c>
      <c r="D274" s="302">
        <f>E274+M274</f>
        <v>0</v>
      </c>
      <c r="E274" s="303">
        <f>F274+I274+J274+K274+L274</f>
        <v>0</v>
      </c>
      <c r="F274" s="303">
        <f>G274+H274</f>
        <v>0</v>
      </c>
      <c r="G274" s="303"/>
      <c r="H274" s="303"/>
      <c r="I274" s="303"/>
      <c r="J274" s="303"/>
      <c r="K274" s="303"/>
      <c r="L274" s="303"/>
      <c r="M274" s="303">
        <f>N274+P274</f>
        <v>0</v>
      </c>
      <c r="N274" s="303"/>
      <c r="O274" s="303"/>
      <c r="P274" s="303"/>
      <c r="Q274" s="278"/>
    </row>
    <row r="275" spans="1:17" s="261" customFormat="1" ht="12.75" hidden="1">
      <c r="A275" s="1017"/>
      <c r="B275" s="1020"/>
      <c r="C275" s="301" t="s">
        <v>22</v>
      </c>
      <c r="D275" s="302">
        <f>D273+D274</f>
        <v>7588842</v>
      </c>
      <c r="E275" s="303">
        <f aca="true" t="shared" si="83" ref="E275:P275">E273+E274</f>
        <v>7588842</v>
      </c>
      <c r="F275" s="303">
        <f t="shared" si="83"/>
        <v>7579742</v>
      </c>
      <c r="G275" s="303">
        <f t="shared" si="83"/>
        <v>6571993</v>
      </c>
      <c r="H275" s="303">
        <f t="shared" si="83"/>
        <v>1007749</v>
      </c>
      <c r="I275" s="303">
        <f t="shared" si="83"/>
        <v>0</v>
      </c>
      <c r="J275" s="303">
        <f t="shared" si="83"/>
        <v>9100</v>
      </c>
      <c r="K275" s="303">
        <f t="shared" si="83"/>
        <v>0</v>
      </c>
      <c r="L275" s="303">
        <f t="shared" si="83"/>
        <v>0</v>
      </c>
      <c r="M275" s="303">
        <f t="shared" si="83"/>
        <v>0</v>
      </c>
      <c r="N275" s="303">
        <f t="shared" si="83"/>
        <v>0</v>
      </c>
      <c r="O275" s="303">
        <f t="shared" si="83"/>
        <v>0</v>
      </c>
      <c r="P275" s="303">
        <f t="shared" si="83"/>
        <v>0</v>
      </c>
      <c r="Q275" s="278"/>
    </row>
    <row r="276" spans="1:17" s="261" customFormat="1" ht="12.75" hidden="1">
      <c r="A276" s="306"/>
      <c r="B276" s="307"/>
      <c r="C276" s="308"/>
      <c r="D276" s="302"/>
      <c r="E276" s="309"/>
      <c r="F276" s="309"/>
      <c r="G276" s="309"/>
      <c r="H276" s="303"/>
      <c r="I276" s="303"/>
      <c r="J276" s="303"/>
      <c r="K276" s="303"/>
      <c r="L276" s="303"/>
      <c r="M276" s="303"/>
      <c r="N276" s="303"/>
      <c r="O276" s="309"/>
      <c r="P276" s="309"/>
      <c r="Q276" s="278"/>
    </row>
    <row r="277" spans="1:17" s="261" customFormat="1" ht="12.75" hidden="1">
      <c r="A277" s="1015" t="s">
        <v>43</v>
      </c>
      <c r="B277" s="1018" t="s">
        <v>363</v>
      </c>
      <c r="C277" s="301" t="s">
        <v>20</v>
      </c>
      <c r="D277" s="302">
        <f>E277+M277</f>
        <v>5580355</v>
      </c>
      <c r="E277" s="309">
        <f>F277+I277+J277+K277+L277</f>
        <v>5541355</v>
      </c>
      <c r="F277" s="309">
        <f>G277+H277</f>
        <v>5529599</v>
      </c>
      <c r="G277" s="309">
        <v>4775607</v>
      </c>
      <c r="H277" s="303">
        <v>753992</v>
      </c>
      <c r="I277" s="303">
        <v>0</v>
      </c>
      <c r="J277" s="303">
        <v>11756</v>
      </c>
      <c r="K277" s="303">
        <v>0</v>
      </c>
      <c r="L277" s="303">
        <v>0</v>
      </c>
      <c r="M277" s="303">
        <f>N277+P277</f>
        <v>39000</v>
      </c>
      <c r="N277" s="303">
        <v>39000</v>
      </c>
      <c r="O277" s="309">
        <v>0</v>
      </c>
      <c r="P277" s="309">
        <v>0</v>
      </c>
      <c r="Q277" s="278"/>
    </row>
    <row r="278" spans="1:17" s="261" customFormat="1" ht="12.75" hidden="1">
      <c r="A278" s="1016"/>
      <c r="B278" s="1019"/>
      <c r="C278" s="301" t="s">
        <v>21</v>
      </c>
      <c r="D278" s="302">
        <f>E278+M278</f>
        <v>0</v>
      </c>
      <c r="E278" s="303">
        <f>F278+I278+J278+K278+L278</f>
        <v>0</v>
      </c>
      <c r="F278" s="303">
        <f>G278+H278</f>
        <v>0</v>
      </c>
      <c r="G278" s="303"/>
      <c r="H278" s="303"/>
      <c r="I278" s="303"/>
      <c r="J278" s="303"/>
      <c r="K278" s="303"/>
      <c r="L278" s="303"/>
      <c r="M278" s="303">
        <f>N278+P278</f>
        <v>0</v>
      </c>
      <c r="N278" s="303"/>
      <c r="O278" s="303"/>
      <c r="P278" s="303"/>
      <c r="Q278" s="278"/>
    </row>
    <row r="279" spans="1:17" s="261" customFormat="1" ht="12.75" hidden="1">
      <c r="A279" s="1017"/>
      <c r="B279" s="1020"/>
      <c r="C279" s="301" t="s">
        <v>22</v>
      </c>
      <c r="D279" s="302">
        <f>D277+D278</f>
        <v>5580355</v>
      </c>
      <c r="E279" s="303">
        <f aca="true" t="shared" si="84" ref="E279:P279">E277+E278</f>
        <v>5541355</v>
      </c>
      <c r="F279" s="303">
        <f t="shared" si="84"/>
        <v>5529599</v>
      </c>
      <c r="G279" s="303">
        <f t="shared" si="84"/>
        <v>4775607</v>
      </c>
      <c r="H279" s="303">
        <f t="shared" si="84"/>
        <v>753992</v>
      </c>
      <c r="I279" s="303">
        <f t="shared" si="84"/>
        <v>0</v>
      </c>
      <c r="J279" s="303">
        <f t="shared" si="84"/>
        <v>11756</v>
      </c>
      <c r="K279" s="303">
        <f t="shared" si="84"/>
        <v>0</v>
      </c>
      <c r="L279" s="303">
        <f t="shared" si="84"/>
        <v>0</v>
      </c>
      <c r="M279" s="303">
        <f t="shared" si="84"/>
        <v>39000</v>
      </c>
      <c r="N279" s="303">
        <f t="shared" si="84"/>
        <v>39000</v>
      </c>
      <c r="O279" s="303">
        <f t="shared" si="84"/>
        <v>0</v>
      </c>
      <c r="P279" s="303">
        <f t="shared" si="84"/>
        <v>0</v>
      </c>
      <c r="Q279" s="278"/>
    </row>
    <row r="280" spans="1:17" s="261" customFormat="1" ht="12.75" hidden="1">
      <c r="A280" s="306"/>
      <c r="B280" s="310"/>
      <c r="C280" s="308"/>
      <c r="D280" s="302"/>
      <c r="E280" s="309"/>
      <c r="F280" s="309"/>
      <c r="G280" s="309"/>
      <c r="H280" s="303"/>
      <c r="I280" s="303"/>
      <c r="J280" s="303"/>
      <c r="K280" s="303"/>
      <c r="L280" s="303"/>
      <c r="M280" s="303"/>
      <c r="N280" s="303"/>
      <c r="O280" s="309"/>
      <c r="P280" s="309"/>
      <c r="Q280" s="278"/>
    </row>
    <row r="281" spans="1:17" s="261" customFormat="1" ht="12.75" hidden="1">
      <c r="A281" s="1015" t="s">
        <v>364</v>
      </c>
      <c r="B281" s="1018" t="s">
        <v>365</v>
      </c>
      <c r="C281" s="301" t="s">
        <v>20</v>
      </c>
      <c r="D281" s="302">
        <f>E281+M281</f>
        <v>117285</v>
      </c>
      <c r="E281" s="309">
        <f>F281+I281+J281+K281+L281</f>
        <v>117285</v>
      </c>
      <c r="F281" s="309">
        <f>G281+H281</f>
        <v>117285</v>
      </c>
      <c r="G281" s="309">
        <v>116911</v>
      </c>
      <c r="H281" s="303">
        <v>374</v>
      </c>
      <c r="I281" s="303">
        <v>0</v>
      </c>
      <c r="J281" s="303">
        <v>0</v>
      </c>
      <c r="K281" s="303">
        <v>0</v>
      </c>
      <c r="L281" s="303">
        <v>0</v>
      </c>
      <c r="M281" s="303">
        <f>N281+P281</f>
        <v>0</v>
      </c>
      <c r="N281" s="303">
        <v>0</v>
      </c>
      <c r="O281" s="309">
        <v>0</v>
      </c>
      <c r="P281" s="309">
        <v>0</v>
      </c>
      <c r="Q281" s="278"/>
    </row>
    <row r="282" spans="1:17" s="261" customFormat="1" ht="12.75" hidden="1">
      <c r="A282" s="1016"/>
      <c r="B282" s="1019"/>
      <c r="C282" s="301" t="s">
        <v>21</v>
      </c>
      <c r="D282" s="302">
        <f>E282+M282</f>
        <v>0</v>
      </c>
      <c r="E282" s="303">
        <f>F282+I282+J282+K282+L282</f>
        <v>0</v>
      </c>
      <c r="F282" s="303">
        <f>G282+H282</f>
        <v>0</v>
      </c>
      <c r="G282" s="303"/>
      <c r="H282" s="303"/>
      <c r="I282" s="303"/>
      <c r="J282" s="303"/>
      <c r="K282" s="303"/>
      <c r="L282" s="303"/>
      <c r="M282" s="303">
        <f>N282+P282</f>
        <v>0</v>
      </c>
      <c r="N282" s="303"/>
      <c r="O282" s="303"/>
      <c r="P282" s="303"/>
      <c r="Q282" s="278"/>
    </row>
    <row r="283" spans="1:17" s="261" customFormat="1" ht="12.75" hidden="1">
      <c r="A283" s="1017"/>
      <c r="B283" s="1020"/>
      <c r="C283" s="301" t="s">
        <v>22</v>
      </c>
      <c r="D283" s="302">
        <f>D281+D282</f>
        <v>117285</v>
      </c>
      <c r="E283" s="303">
        <f aca="true" t="shared" si="85" ref="E283:P283">E281+E282</f>
        <v>117285</v>
      </c>
      <c r="F283" s="303">
        <f t="shared" si="85"/>
        <v>117285</v>
      </c>
      <c r="G283" s="303">
        <f t="shared" si="85"/>
        <v>116911</v>
      </c>
      <c r="H283" s="303">
        <f t="shared" si="85"/>
        <v>374</v>
      </c>
      <c r="I283" s="303">
        <f t="shared" si="85"/>
        <v>0</v>
      </c>
      <c r="J283" s="303">
        <f t="shared" si="85"/>
        <v>0</v>
      </c>
      <c r="K283" s="303">
        <f t="shared" si="85"/>
        <v>0</v>
      </c>
      <c r="L283" s="303">
        <f t="shared" si="85"/>
        <v>0</v>
      </c>
      <c r="M283" s="303">
        <f t="shared" si="85"/>
        <v>0</v>
      </c>
      <c r="N283" s="303">
        <f t="shared" si="85"/>
        <v>0</v>
      </c>
      <c r="O283" s="303">
        <f t="shared" si="85"/>
        <v>0</v>
      </c>
      <c r="P283" s="303">
        <f t="shared" si="85"/>
        <v>0</v>
      </c>
      <c r="Q283" s="278"/>
    </row>
    <row r="284" spans="1:17" s="261" customFormat="1" ht="12.75" hidden="1">
      <c r="A284" s="306"/>
      <c r="B284" s="307"/>
      <c r="C284" s="308"/>
      <c r="D284" s="302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  <c r="O284" s="303"/>
      <c r="P284" s="303"/>
      <c r="Q284" s="278"/>
    </row>
    <row r="285" spans="1:17" s="261" customFormat="1" ht="12.75" hidden="1">
      <c r="A285" s="1015" t="s">
        <v>366</v>
      </c>
      <c r="B285" s="1018" t="s">
        <v>210</v>
      </c>
      <c r="C285" s="301" t="s">
        <v>20</v>
      </c>
      <c r="D285" s="302">
        <f>E285+M285</f>
        <v>8823470</v>
      </c>
      <c r="E285" s="309">
        <f>F285+I285+J285+K285+L285</f>
        <v>8773470</v>
      </c>
      <c r="F285" s="309">
        <f>G285+H285</f>
        <v>923537</v>
      </c>
      <c r="G285" s="309">
        <v>106272</v>
      </c>
      <c r="H285" s="303">
        <f>76000+23500+1000+108500+507265+6000+95000</f>
        <v>817265</v>
      </c>
      <c r="I285" s="303">
        <v>0</v>
      </c>
      <c r="J285" s="303">
        <f>180000-85000</f>
        <v>95000</v>
      </c>
      <c r="K285" s="303">
        <v>7754933</v>
      </c>
      <c r="L285" s="303">
        <v>0</v>
      </c>
      <c r="M285" s="303">
        <f>N285+P285</f>
        <v>50000</v>
      </c>
      <c r="N285" s="303">
        <v>50000</v>
      </c>
      <c r="O285" s="309">
        <v>50000</v>
      </c>
      <c r="P285" s="309">
        <v>0</v>
      </c>
      <c r="Q285" s="278"/>
    </row>
    <row r="286" spans="1:17" s="261" customFormat="1" ht="12.75" hidden="1">
      <c r="A286" s="1016"/>
      <c r="B286" s="1019"/>
      <c r="C286" s="301" t="s">
        <v>21</v>
      </c>
      <c r="D286" s="302">
        <f>E286+M286</f>
        <v>0</v>
      </c>
      <c r="E286" s="309">
        <f>F286+I286+J286+K286+L286</f>
        <v>0</v>
      </c>
      <c r="F286" s="309">
        <f>G286+H286</f>
        <v>0</v>
      </c>
      <c r="G286" s="314"/>
      <c r="H286" s="311"/>
      <c r="I286" s="311"/>
      <c r="J286" s="311"/>
      <c r="K286" s="311"/>
      <c r="L286" s="311"/>
      <c r="M286" s="303">
        <f>N286+P286</f>
        <v>0</v>
      </c>
      <c r="N286" s="311"/>
      <c r="O286" s="314"/>
      <c r="P286" s="314"/>
      <c r="Q286" s="278"/>
    </row>
    <row r="287" spans="1:17" s="261" customFormat="1" ht="12.75" hidden="1">
      <c r="A287" s="1017"/>
      <c r="B287" s="1020"/>
      <c r="C287" s="301" t="s">
        <v>22</v>
      </c>
      <c r="D287" s="312">
        <f>D285+D286</f>
        <v>8823470</v>
      </c>
      <c r="E287" s="311">
        <f aca="true" t="shared" si="86" ref="E287:P287">E285+E286</f>
        <v>8773470</v>
      </c>
      <c r="F287" s="311">
        <f t="shared" si="86"/>
        <v>923537</v>
      </c>
      <c r="G287" s="311">
        <f t="shared" si="86"/>
        <v>106272</v>
      </c>
      <c r="H287" s="311">
        <f t="shared" si="86"/>
        <v>817265</v>
      </c>
      <c r="I287" s="311">
        <f t="shared" si="86"/>
        <v>0</v>
      </c>
      <c r="J287" s="311">
        <f t="shared" si="86"/>
        <v>95000</v>
      </c>
      <c r="K287" s="311">
        <f t="shared" si="86"/>
        <v>7754933</v>
      </c>
      <c r="L287" s="311">
        <f t="shared" si="86"/>
        <v>0</v>
      </c>
      <c r="M287" s="311">
        <f t="shared" si="86"/>
        <v>50000</v>
      </c>
      <c r="N287" s="311">
        <f t="shared" si="86"/>
        <v>50000</v>
      </c>
      <c r="O287" s="311">
        <f t="shared" si="86"/>
        <v>50000</v>
      </c>
      <c r="P287" s="311">
        <f t="shared" si="86"/>
        <v>0</v>
      </c>
      <c r="Q287" s="278"/>
    </row>
    <row r="288" spans="1:17" s="261" customFormat="1" ht="13.5" hidden="1" thickBot="1">
      <c r="A288" s="299"/>
      <c r="B288" s="313"/>
      <c r="C288" s="301"/>
      <c r="D288" s="312"/>
      <c r="E288" s="311"/>
      <c r="F288" s="311"/>
      <c r="G288" s="311"/>
      <c r="H288" s="311"/>
      <c r="I288" s="311"/>
      <c r="J288" s="311"/>
      <c r="K288" s="311"/>
      <c r="L288" s="311"/>
      <c r="M288" s="311"/>
      <c r="N288" s="311"/>
      <c r="O288" s="311"/>
      <c r="P288" s="311"/>
      <c r="Q288" s="278"/>
    </row>
    <row r="289" spans="1:17" s="336" customFormat="1" ht="14.25" hidden="1">
      <c r="A289" s="1009" t="s">
        <v>44</v>
      </c>
      <c r="B289" s="1012" t="s">
        <v>45</v>
      </c>
      <c r="C289" s="279" t="s">
        <v>20</v>
      </c>
      <c r="D289" s="280">
        <f aca="true" t="shared" si="87" ref="D289:P290">D301+D305+D309+D313+D317+D321+D293+D297</f>
        <v>10619074</v>
      </c>
      <c r="E289" s="361">
        <f t="shared" si="87"/>
        <v>4698000</v>
      </c>
      <c r="F289" s="361">
        <f t="shared" si="87"/>
        <v>3088160</v>
      </c>
      <c r="G289" s="361">
        <f t="shared" si="87"/>
        <v>17000</v>
      </c>
      <c r="H289" s="361">
        <f t="shared" si="87"/>
        <v>3071160</v>
      </c>
      <c r="I289" s="361">
        <f t="shared" si="87"/>
        <v>1609840</v>
      </c>
      <c r="J289" s="361">
        <f t="shared" si="87"/>
        <v>0</v>
      </c>
      <c r="K289" s="361">
        <f t="shared" si="87"/>
        <v>0</v>
      </c>
      <c r="L289" s="361">
        <f t="shared" si="87"/>
        <v>0</v>
      </c>
      <c r="M289" s="361">
        <f t="shared" si="87"/>
        <v>5921074</v>
      </c>
      <c r="N289" s="361">
        <f t="shared" si="87"/>
        <v>921074</v>
      </c>
      <c r="O289" s="361">
        <f t="shared" si="87"/>
        <v>0</v>
      </c>
      <c r="P289" s="362">
        <f t="shared" si="87"/>
        <v>5000000</v>
      </c>
      <c r="Q289" s="335"/>
    </row>
    <row r="290" spans="1:17" s="336" customFormat="1" ht="14.25" hidden="1">
      <c r="A290" s="1010"/>
      <c r="B290" s="1013"/>
      <c r="C290" s="286" t="s">
        <v>21</v>
      </c>
      <c r="D290" s="287">
        <f t="shared" si="87"/>
        <v>0</v>
      </c>
      <c r="E290" s="363">
        <f t="shared" si="87"/>
        <v>0</v>
      </c>
      <c r="F290" s="363">
        <f t="shared" si="87"/>
        <v>0</v>
      </c>
      <c r="G290" s="363">
        <f t="shared" si="87"/>
        <v>0</v>
      </c>
      <c r="H290" s="363">
        <f t="shared" si="87"/>
        <v>0</v>
      </c>
      <c r="I290" s="363">
        <f t="shared" si="87"/>
        <v>0</v>
      </c>
      <c r="J290" s="363">
        <f t="shared" si="87"/>
        <v>0</v>
      </c>
      <c r="K290" s="363">
        <f t="shared" si="87"/>
        <v>0</v>
      </c>
      <c r="L290" s="363">
        <f t="shared" si="87"/>
        <v>0</v>
      </c>
      <c r="M290" s="363">
        <f t="shared" si="87"/>
        <v>0</v>
      </c>
      <c r="N290" s="363">
        <f t="shared" si="87"/>
        <v>0</v>
      </c>
      <c r="O290" s="363">
        <f t="shared" si="87"/>
        <v>0</v>
      </c>
      <c r="P290" s="364">
        <f t="shared" si="87"/>
        <v>0</v>
      </c>
      <c r="Q290" s="335"/>
    </row>
    <row r="291" spans="1:17" s="336" customFormat="1" ht="15" hidden="1" thickBot="1">
      <c r="A291" s="1011"/>
      <c r="B291" s="1014"/>
      <c r="C291" s="290" t="s">
        <v>22</v>
      </c>
      <c r="D291" s="291">
        <f>D289+D290</f>
        <v>10619074</v>
      </c>
      <c r="E291" s="292">
        <f aca="true" t="shared" si="88" ref="E291:P291">E289+E290</f>
        <v>4698000</v>
      </c>
      <c r="F291" s="292">
        <f t="shared" si="88"/>
        <v>3088160</v>
      </c>
      <c r="G291" s="292">
        <f t="shared" si="88"/>
        <v>17000</v>
      </c>
      <c r="H291" s="292">
        <f t="shared" si="88"/>
        <v>3071160</v>
      </c>
      <c r="I291" s="292">
        <f t="shared" si="88"/>
        <v>1609840</v>
      </c>
      <c r="J291" s="292">
        <f t="shared" si="88"/>
        <v>0</v>
      </c>
      <c r="K291" s="292">
        <f t="shared" si="88"/>
        <v>0</v>
      </c>
      <c r="L291" s="292">
        <f t="shared" si="88"/>
        <v>0</v>
      </c>
      <c r="M291" s="292">
        <f t="shared" si="88"/>
        <v>5921074</v>
      </c>
      <c r="N291" s="292">
        <f t="shared" si="88"/>
        <v>921074</v>
      </c>
      <c r="O291" s="292">
        <f t="shared" si="88"/>
        <v>0</v>
      </c>
      <c r="P291" s="293">
        <f t="shared" si="88"/>
        <v>5000000</v>
      </c>
      <c r="Q291" s="335"/>
    </row>
    <row r="292" spans="1:17" s="261" customFormat="1" ht="12.75" hidden="1">
      <c r="A292" s="366"/>
      <c r="B292" s="295"/>
      <c r="C292" s="296"/>
      <c r="D292" s="297"/>
      <c r="E292" s="298"/>
      <c r="F292" s="298"/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78"/>
    </row>
    <row r="293" spans="1:17" s="261" customFormat="1" ht="12.75" hidden="1">
      <c r="A293" s="1035">
        <v>85111</v>
      </c>
      <c r="B293" s="1018" t="s">
        <v>367</v>
      </c>
      <c r="C293" s="308" t="s">
        <v>20</v>
      </c>
      <c r="D293" s="302">
        <f>E293+M293</f>
        <v>634946</v>
      </c>
      <c r="E293" s="303">
        <f>F293+I293+J293+K293+L293</f>
        <v>0</v>
      </c>
      <c r="F293" s="303">
        <f>G293+H293</f>
        <v>0</v>
      </c>
      <c r="G293" s="303">
        <v>0</v>
      </c>
      <c r="H293" s="303">
        <v>0</v>
      </c>
      <c r="I293" s="303">
        <v>0</v>
      </c>
      <c r="J293" s="303">
        <v>0</v>
      </c>
      <c r="K293" s="303">
        <v>0</v>
      </c>
      <c r="L293" s="303">
        <v>0</v>
      </c>
      <c r="M293" s="303">
        <f>N293+P293</f>
        <v>634946</v>
      </c>
      <c r="N293" s="303">
        <v>634946</v>
      </c>
      <c r="O293" s="303">
        <v>0</v>
      </c>
      <c r="P293" s="303">
        <v>0</v>
      </c>
      <c r="Q293" s="278"/>
    </row>
    <row r="294" spans="1:17" s="261" customFormat="1" ht="12.75" hidden="1">
      <c r="A294" s="1036"/>
      <c r="B294" s="1019"/>
      <c r="C294" s="308" t="s">
        <v>21</v>
      </c>
      <c r="D294" s="302">
        <f>E294+M294</f>
        <v>0</v>
      </c>
      <c r="E294" s="303">
        <f>F294+I294+J294+K294+L294</f>
        <v>0</v>
      </c>
      <c r="F294" s="303">
        <f>G294+H294</f>
        <v>0</v>
      </c>
      <c r="G294" s="303"/>
      <c r="H294" s="303"/>
      <c r="I294" s="303"/>
      <c r="J294" s="303"/>
      <c r="K294" s="303"/>
      <c r="L294" s="303"/>
      <c r="M294" s="303">
        <f>N294+P294</f>
        <v>0</v>
      </c>
      <c r="N294" s="303"/>
      <c r="O294" s="303"/>
      <c r="P294" s="303"/>
      <c r="Q294" s="278"/>
    </row>
    <row r="295" spans="1:17" s="261" customFormat="1" ht="12.75" hidden="1">
      <c r="A295" s="1037"/>
      <c r="B295" s="1020"/>
      <c r="C295" s="308" t="s">
        <v>22</v>
      </c>
      <c r="D295" s="302">
        <f>D293+D294</f>
        <v>634946</v>
      </c>
      <c r="E295" s="303">
        <f aca="true" t="shared" si="89" ref="E295:O295">E293+E294</f>
        <v>0</v>
      </c>
      <c r="F295" s="303">
        <f t="shared" si="89"/>
        <v>0</v>
      </c>
      <c r="G295" s="303">
        <f t="shared" si="89"/>
        <v>0</v>
      </c>
      <c r="H295" s="303">
        <f t="shared" si="89"/>
        <v>0</v>
      </c>
      <c r="I295" s="303">
        <f t="shared" si="89"/>
        <v>0</v>
      </c>
      <c r="J295" s="303">
        <f t="shared" si="89"/>
        <v>0</v>
      </c>
      <c r="K295" s="303">
        <f t="shared" si="89"/>
        <v>0</v>
      </c>
      <c r="L295" s="303">
        <f t="shared" si="89"/>
        <v>0</v>
      </c>
      <c r="M295" s="303">
        <f t="shared" si="89"/>
        <v>634946</v>
      </c>
      <c r="N295" s="303">
        <f t="shared" si="89"/>
        <v>634946</v>
      </c>
      <c r="O295" s="303">
        <f t="shared" si="89"/>
        <v>0</v>
      </c>
      <c r="P295" s="303">
        <f>P293+P294</f>
        <v>0</v>
      </c>
      <c r="Q295" s="278"/>
    </row>
    <row r="296" spans="1:17" s="261" customFormat="1" ht="12.75" hidden="1">
      <c r="A296" s="368"/>
      <c r="B296" s="310"/>
      <c r="C296" s="308"/>
      <c r="D296" s="302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278"/>
    </row>
    <row r="297" spans="1:17" s="261" customFormat="1" ht="12.75" hidden="1">
      <c r="A297" s="1035">
        <v>85141</v>
      </c>
      <c r="B297" s="1018" t="s">
        <v>368</v>
      </c>
      <c r="C297" s="301" t="s">
        <v>20</v>
      </c>
      <c r="D297" s="302">
        <f>E297+M297</f>
        <v>286128</v>
      </c>
      <c r="E297" s="309">
        <f>F297+I297+J297+K297+L297</f>
        <v>0</v>
      </c>
      <c r="F297" s="309">
        <f>G297+H297</f>
        <v>0</v>
      </c>
      <c r="G297" s="309">
        <v>0</v>
      </c>
      <c r="H297" s="303">
        <v>0</v>
      </c>
      <c r="I297" s="303">
        <v>0</v>
      </c>
      <c r="J297" s="303">
        <v>0</v>
      </c>
      <c r="K297" s="303">
        <v>0</v>
      </c>
      <c r="L297" s="303">
        <v>0</v>
      </c>
      <c r="M297" s="303">
        <f>N297+P297</f>
        <v>286128</v>
      </c>
      <c r="N297" s="303">
        <v>286128</v>
      </c>
      <c r="O297" s="309">
        <v>0</v>
      </c>
      <c r="P297" s="309">
        <v>0</v>
      </c>
      <c r="Q297" s="278"/>
    </row>
    <row r="298" spans="1:17" s="261" customFormat="1" ht="12.75" hidden="1">
      <c r="A298" s="1036"/>
      <c r="B298" s="1019"/>
      <c r="C298" s="301" t="s">
        <v>21</v>
      </c>
      <c r="D298" s="302">
        <f>E298+M298</f>
        <v>0</v>
      </c>
      <c r="E298" s="309">
        <f>F298+I298+J298+K298+L298</f>
        <v>0</v>
      </c>
      <c r="F298" s="309">
        <f>G298+H298</f>
        <v>0</v>
      </c>
      <c r="G298" s="309"/>
      <c r="H298" s="303"/>
      <c r="I298" s="303"/>
      <c r="J298" s="303"/>
      <c r="K298" s="303"/>
      <c r="L298" s="303"/>
      <c r="M298" s="303">
        <f>N298+P298</f>
        <v>0</v>
      </c>
      <c r="N298" s="303"/>
      <c r="O298" s="309"/>
      <c r="P298" s="309"/>
      <c r="Q298" s="278"/>
    </row>
    <row r="299" spans="1:17" s="261" customFormat="1" ht="12.75" hidden="1">
      <c r="A299" s="1037"/>
      <c r="B299" s="1020"/>
      <c r="C299" s="301" t="s">
        <v>22</v>
      </c>
      <c r="D299" s="302">
        <f>D297+D298</f>
        <v>286128</v>
      </c>
      <c r="E299" s="303">
        <f aca="true" t="shared" si="90" ref="E299:P299">E297+E298</f>
        <v>0</v>
      </c>
      <c r="F299" s="303">
        <f t="shared" si="90"/>
        <v>0</v>
      </c>
      <c r="G299" s="303">
        <f t="shared" si="90"/>
        <v>0</v>
      </c>
      <c r="H299" s="303">
        <f t="shared" si="90"/>
        <v>0</v>
      </c>
      <c r="I299" s="303">
        <f t="shared" si="90"/>
        <v>0</v>
      </c>
      <c r="J299" s="303">
        <f t="shared" si="90"/>
        <v>0</v>
      </c>
      <c r="K299" s="303">
        <f t="shared" si="90"/>
        <v>0</v>
      </c>
      <c r="L299" s="303">
        <f t="shared" si="90"/>
        <v>0</v>
      </c>
      <c r="M299" s="303">
        <f t="shared" si="90"/>
        <v>286128</v>
      </c>
      <c r="N299" s="303">
        <f t="shared" si="90"/>
        <v>286128</v>
      </c>
      <c r="O299" s="303">
        <f t="shared" si="90"/>
        <v>0</v>
      </c>
      <c r="P299" s="303">
        <f t="shared" si="90"/>
        <v>0</v>
      </c>
      <c r="Q299" s="278"/>
    </row>
    <row r="300" spans="1:17" s="261" customFormat="1" ht="12.75" hidden="1">
      <c r="A300" s="368"/>
      <c r="B300" s="307"/>
      <c r="C300" s="308"/>
      <c r="D300" s="302"/>
      <c r="E300" s="303"/>
      <c r="F300" s="303"/>
      <c r="G300" s="303"/>
      <c r="H300" s="303"/>
      <c r="I300" s="303"/>
      <c r="J300" s="303"/>
      <c r="K300" s="303"/>
      <c r="L300" s="303"/>
      <c r="M300" s="303"/>
      <c r="N300" s="303"/>
      <c r="O300" s="303"/>
      <c r="P300" s="303"/>
      <c r="Q300" s="278"/>
    </row>
    <row r="301" spans="1:17" s="261" customFormat="1" ht="12.75" hidden="1">
      <c r="A301" s="1035">
        <v>85148</v>
      </c>
      <c r="B301" s="1018" t="s">
        <v>369</v>
      </c>
      <c r="C301" s="301" t="s">
        <v>20</v>
      </c>
      <c r="D301" s="302">
        <f>E301+M301</f>
        <v>2900000</v>
      </c>
      <c r="E301" s="309">
        <f>F301+I301+J301+K301+L301</f>
        <v>2900000</v>
      </c>
      <c r="F301" s="309">
        <f>G301+H301</f>
        <v>2900000</v>
      </c>
      <c r="G301" s="309">
        <v>0</v>
      </c>
      <c r="H301" s="303">
        <v>2900000</v>
      </c>
      <c r="I301" s="303">
        <v>0</v>
      </c>
      <c r="J301" s="303">
        <v>0</v>
      </c>
      <c r="K301" s="303">
        <v>0</v>
      </c>
      <c r="L301" s="303">
        <v>0</v>
      </c>
      <c r="M301" s="303">
        <f>N301+P301</f>
        <v>0</v>
      </c>
      <c r="N301" s="303">
        <v>0</v>
      </c>
      <c r="O301" s="309">
        <v>0</v>
      </c>
      <c r="P301" s="309">
        <v>0</v>
      </c>
      <c r="Q301" s="278"/>
    </row>
    <row r="302" spans="1:17" s="261" customFormat="1" ht="12.75" hidden="1">
      <c r="A302" s="1036"/>
      <c r="B302" s="1019"/>
      <c r="C302" s="301" t="s">
        <v>21</v>
      </c>
      <c r="D302" s="302">
        <f>E302+M302</f>
        <v>0</v>
      </c>
      <c r="E302" s="309">
        <f>F302+I302+J302+K302+L302</f>
        <v>0</v>
      </c>
      <c r="F302" s="309">
        <f>G302+H302</f>
        <v>0</v>
      </c>
      <c r="G302" s="309"/>
      <c r="H302" s="303"/>
      <c r="I302" s="303"/>
      <c r="J302" s="303"/>
      <c r="K302" s="303"/>
      <c r="L302" s="303"/>
      <c r="M302" s="303">
        <f>N302+P302</f>
        <v>0</v>
      </c>
      <c r="N302" s="303"/>
      <c r="O302" s="309"/>
      <c r="P302" s="309"/>
      <c r="Q302" s="278"/>
    </row>
    <row r="303" spans="1:17" s="261" customFormat="1" ht="12.75" hidden="1">
      <c r="A303" s="1037"/>
      <c r="B303" s="1020"/>
      <c r="C303" s="301" t="s">
        <v>22</v>
      </c>
      <c r="D303" s="302">
        <f>D301+D302</f>
        <v>2900000</v>
      </c>
      <c r="E303" s="303">
        <f aca="true" t="shared" si="91" ref="E303:P303">E301+E302</f>
        <v>2900000</v>
      </c>
      <c r="F303" s="303">
        <f t="shared" si="91"/>
        <v>2900000</v>
      </c>
      <c r="G303" s="303">
        <f t="shared" si="91"/>
        <v>0</v>
      </c>
      <c r="H303" s="303">
        <f t="shared" si="91"/>
        <v>2900000</v>
      </c>
      <c r="I303" s="303">
        <f t="shared" si="91"/>
        <v>0</v>
      </c>
      <c r="J303" s="303">
        <f t="shared" si="91"/>
        <v>0</v>
      </c>
      <c r="K303" s="303">
        <f t="shared" si="91"/>
        <v>0</v>
      </c>
      <c r="L303" s="303">
        <f t="shared" si="91"/>
        <v>0</v>
      </c>
      <c r="M303" s="303">
        <f t="shared" si="91"/>
        <v>0</v>
      </c>
      <c r="N303" s="303">
        <f t="shared" si="91"/>
        <v>0</v>
      </c>
      <c r="O303" s="303">
        <f t="shared" si="91"/>
        <v>0</v>
      </c>
      <c r="P303" s="303">
        <f t="shared" si="91"/>
        <v>0</v>
      </c>
      <c r="Q303" s="278"/>
    </row>
    <row r="304" spans="1:17" s="261" customFormat="1" ht="12.75" hidden="1">
      <c r="A304" s="368"/>
      <c r="B304" s="307"/>
      <c r="C304" s="308"/>
      <c r="D304" s="302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278"/>
    </row>
    <row r="305" spans="1:17" s="261" customFormat="1" ht="12.75" hidden="1">
      <c r="A305" s="1035">
        <v>85149</v>
      </c>
      <c r="B305" s="1018" t="s">
        <v>370</v>
      </c>
      <c r="C305" s="301" t="s">
        <v>20</v>
      </c>
      <c r="D305" s="302">
        <f>E305+M305</f>
        <v>900000</v>
      </c>
      <c r="E305" s="303">
        <f>F305+I305+J305+K305+L305</f>
        <v>900000</v>
      </c>
      <c r="F305" s="303">
        <f>G305+H305</f>
        <v>160</v>
      </c>
      <c r="G305" s="303">
        <v>0</v>
      </c>
      <c r="H305" s="303">
        <v>160</v>
      </c>
      <c r="I305" s="303">
        <v>899840</v>
      </c>
      <c r="J305" s="303">
        <v>0</v>
      </c>
      <c r="K305" s="303">
        <v>0</v>
      </c>
      <c r="L305" s="303">
        <v>0</v>
      </c>
      <c r="M305" s="303">
        <f>N305+P305</f>
        <v>0</v>
      </c>
      <c r="N305" s="303">
        <v>0</v>
      </c>
      <c r="O305" s="303">
        <v>0</v>
      </c>
      <c r="P305" s="303">
        <v>0</v>
      </c>
      <c r="Q305" s="278"/>
    </row>
    <row r="306" spans="1:17" s="261" customFormat="1" ht="12.75" hidden="1">
      <c r="A306" s="1036"/>
      <c r="B306" s="1019"/>
      <c r="C306" s="301" t="s">
        <v>21</v>
      </c>
      <c r="D306" s="302">
        <f>E306+M306</f>
        <v>0</v>
      </c>
      <c r="E306" s="303">
        <f>F306+I306+J306+K306+L306</f>
        <v>0</v>
      </c>
      <c r="F306" s="303">
        <f>G306+H306</f>
        <v>0</v>
      </c>
      <c r="G306" s="303"/>
      <c r="H306" s="303"/>
      <c r="I306" s="303"/>
      <c r="J306" s="303"/>
      <c r="K306" s="303"/>
      <c r="L306" s="303"/>
      <c r="M306" s="303">
        <f>N306+P306</f>
        <v>0</v>
      </c>
      <c r="N306" s="303"/>
      <c r="O306" s="303"/>
      <c r="P306" s="303"/>
      <c r="Q306" s="278"/>
    </row>
    <row r="307" spans="1:17" s="261" customFormat="1" ht="12.75" hidden="1">
      <c r="A307" s="1037"/>
      <c r="B307" s="1020"/>
      <c r="C307" s="301" t="s">
        <v>22</v>
      </c>
      <c r="D307" s="302">
        <f>D305+D306</f>
        <v>900000</v>
      </c>
      <c r="E307" s="303">
        <f aca="true" t="shared" si="92" ref="E307:P307">E305+E306</f>
        <v>900000</v>
      </c>
      <c r="F307" s="303">
        <f t="shared" si="92"/>
        <v>160</v>
      </c>
      <c r="G307" s="303">
        <f t="shared" si="92"/>
        <v>0</v>
      </c>
      <c r="H307" s="303">
        <f t="shared" si="92"/>
        <v>160</v>
      </c>
      <c r="I307" s="303">
        <f t="shared" si="92"/>
        <v>899840</v>
      </c>
      <c r="J307" s="303">
        <f t="shared" si="92"/>
        <v>0</v>
      </c>
      <c r="K307" s="303">
        <f t="shared" si="92"/>
        <v>0</v>
      </c>
      <c r="L307" s="303">
        <f t="shared" si="92"/>
        <v>0</v>
      </c>
      <c r="M307" s="303">
        <f t="shared" si="92"/>
        <v>0</v>
      </c>
      <c r="N307" s="303">
        <f t="shared" si="92"/>
        <v>0</v>
      </c>
      <c r="O307" s="303">
        <f t="shared" si="92"/>
        <v>0</v>
      </c>
      <c r="P307" s="303">
        <f t="shared" si="92"/>
        <v>0</v>
      </c>
      <c r="Q307" s="278"/>
    </row>
    <row r="308" spans="1:17" s="261" customFormat="1" ht="12.75" hidden="1">
      <c r="A308" s="368"/>
      <c r="B308" s="307"/>
      <c r="C308" s="308"/>
      <c r="D308" s="302"/>
      <c r="E308" s="309"/>
      <c r="F308" s="309"/>
      <c r="G308" s="309"/>
      <c r="H308" s="303"/>
      <c r="I308" s="303"/>
      <c r="J308" s="303"/>
      <c r="K308" s="303"/>
      <c r="L308" s="303"/>
      <c r="M308" s="303"/>
      <c r="N308" s="303"/>
      <c r="O308" s="309"/>
      <c r="P308" s="309"/>
      <c r="Q308" s="278"/>
    </row>
    <row r="309" spans="1:17" s="261" customFormat="1" ht="12.75" hidden="1">
      <c r="A309" s="1035">
        <v>85153</v>
      </c>
      <c r="B309" s="1018" t="s">
        <v>371</v>
      </c>
      <c r="C309" s="301" t="s">
        <v>20</v>
      </c>
      <c r="D309" s="302">
        <f>E309+M309</f>
        <v>480000</v>
      </c>
      <c r="E309" s="309">
        <f>F309+I309+J309+K309+L309</f>
        <v>480000</v>
      </c>
      <c r="F309" s="309">
        <f>G309+H309</f>
        <v>130000</v>
      </c>
      <c r="G309" s="309">
        <v>14000</v>
      </c>
      <c r="H309" s="303">
        <v>116000</v>
      </c>
      <c r="I309" s="303">
        <v>350000</v>
      </c>
      <c r="J309" s="303">
        <v>0</v>
      </c>
      <c r="K309" s="303">
        <v>0</v>
      </c>
      <c r="L309" s="303">
        <v>0</v>
      </c>
      <c r="M309" s="303">
        <f>N309+P309</f>
        <v>0</v>
      </c>
      <c r="N309" s="303">
        <v>0</v>
      </c>
      <c r="O309" s="309">
        <v>0</v>
      </c>
      <c r="P309" s="309">
        <v>0</v>
      </c>
      <c r="Q309" s="278"/>
    </row>
    <row r="310" spans="1:17" s="261" customFormat="1" ht="12.75" hidden="1">
      <c r="A310" s="1036"/>
      <c r="B310" s="1019"/>
      <c r="C310" s="301" t="s">
        <v>21</v>
      </c>
      <c r="D310" s="302">
        <f>E310+M310</f>
        <v>0</v>
      </c>
      <c r="E310" s="309">
        <f>F310+I310+J310+K310+L310</f>
        <v>0</v>
      </c>
      <c r="F310" s="309">
        <f>G310+H310</f>
        <v>0</v>
      </c>
      <c r="G310" s="309"/>
      <c r="H310" s="303"/>
      <c r="I310" s="303"/>
      <c r="J310" s="303"/>
      <c r="K310" s="303"/>
      <c r="L310" s="303"/>
      <c r="M310" s="303">
        <f>N310+P310</f>
        <v>0</v>
      </c>
      <c r="N310" s="303"/>
      <c r="O310" s="309"/>
      <c r="P310" s="309"/>
      <c r="Q310" s="278"/>
    </row>
    <row r="311" spans="1:17" s="261" customFormat="1" ht="12.75" hidden="1">
      <c r="A311" s="1037"/>
      <c r="B311" s="1020"/>
      <c r="C311" s="301" t="s">
        <v>22</v>
      </c>
      <c r="D311" s="302">
        <f>D309+D310</f>
        <v>480000</v>
      </c>
      <c r="E311" s="303">
        <f aca="true" t="shared" si="93" ref="E311:P311">E309+E310</f>
        <v>480000</v>
      </c>
      <c r="F311" s="303">
        <f t="shared" si="93"/>
        <v>130000</v>
      </c>
      <c r="G311" s="303">
        <f t="shared" si="93"/>
        <v>14000</v>
      </c>
      <c r="H311" s="303">
        <f t="shared" si="93"/>
        <v>116000</v>
      </c>
      <c r="I311" s="303">
        <f t="shared" si="93"/>
        <v>350000</v>
      </c>
      <c r="J311" s="303">
        <f t="shared" si="93"/>
        <v>0</v>
      </c>
      <c r="K311" s="303">
        <f t="shared" si="93"/>
        <v>0</v>
      </c>
      <c r="L311" s="303">
        <f t="shared" si="93"/>
        <v>0</v>
      </c>
      <c r="M311" s="303">
        <f t="shared" si="93"/>
        <v>0</v>
      </c>
      <c r="N311" s="303">
        <f t="shared" si="93"/>
        <v>0</v>
      </c>
      <c r="O311" s="303">
        <f t="shared" si="93"/>
        <v>0</v>
      </c>
      <c r="P311" s="303">
        <f t="shared" si="93"/>
        <v>0</v>
      </c>
      <c r="Q311" s="278"/>
    </row>
    <row r="312" spans="1:17" s="261" customFormat="1" ht="12.75" hidden="1">
      <c r="A312" s="368"/>
      <c r="B312" s="307"/>
      <c r="C312" s="308"/>
      <c r="D312" s="302"/>
      <c r="E312" s="303"/>
      <c r="F312" s="303"/>
      <c r="G312" s="303"/>
      <c r="H312" s="303"/>
      <c r="I312" s="303"/>
      <c r="J312" s="303"/>
      <c r="K312" s="303"/>
      <c r="L312" s="303"/>
      <c r="M312" s="303"/>
      <c r="N312" s="303"/>
      <c r="O312" s="303"/>
      <c r="P312" s="303"/>
      <c r="Q312" s="278"/>
    </row>
    <row r="313" spans="1:17" s="261" customFormat="1" ht="12.75" hidden="1">
      <c r="A313" s="1035">
        <v>85154</v>
      </c>
      <c r="B313" s="1018" t="s">
        <v>372</v>
      </c>
      <c r="C313" s="301" t="s">
        <v>20</v>
      </c>
      <c r="D313" s="302">
        <f>E313+M313</f>
        <v>390000</v>
      </c>
      <c r="E313" s="309">
        <f>F313+I313+J313+K313+L313</f>
        <v>390000</v>
      </c>
      <c r="F313" s="309">
        <f>G313+H313</f>
        <v>30000</v>
      </c>
      <c r="G313" s="309">
        <v>3000</v>
      </c>
      <c r="H313" s="303">
        <v>27000</v>
      </c>
      <c r="I313" s="303">
        <v>360000</v>
      </c>
      <c r="J313" s="303">
        <v>0</v>
      </c>
      <c r="K313" s="303">
        <v>0</v>
      </c>
      <c r="L313" s="303">
        <v>0</v>
      </c>
      <c r="M313" s="303">
        <f>N313+P313</f>
        <v>0</v>
      </c>
      <c r="N313" s="303">
        <v>0</v>
      </c>
      <c r="O313" s="309">
        <v>0</v>
      </c>
      <c r="P313" s="309">
        <v>0</v>
      </c>
      <c r="Q313" s="278"/>
    </row>
    <row r="314" spans="1:17" s="261" customFormat="1" ht="12.75" hidden="1">
      <c r="A314" s="1036"/>
      <c r="B314" s="1019"/>
      <c r="C314" s="301" t="s">
        <v>21</v>
      </c>
      <c r="D314" s="302">
        <f>E314+M314</f>
        <v>0</v>
      </c>
      <c r="E314" s="303">
        <f>F314+I314+J314+K314+L314</f>
        <v>0</v>
      </c>
      <c r="F314" s="303">
        <f>G314+H314</f>
        <v>0</v>
      </c>
      <c r="G314" s="303"/>
      <c r="H314" s="303"/>
      <c r="I314" s="303"/>
      <c r="J314" s="303"/>
      <c r="K314" s="303"/>
      <c r="L314" s="303"/>
      <c r="M314" s="303">
        <f>N314+P314</f>
        <v>0</v>
      </c>
      <c r="N314" s="303"/>
      <c r="O314" s="303"/>
      <c r="P314" s="303"/>
      <c r="Q314" s="278"/>
    </row>
    <row r="315" spans="1:17" s="261" customFormat="1" ht="12.75" hidden="1">
      <c r="A315" s="1037"/>
      <c r="B315" s="1020"/>
      <c r="C315" s="301" t="s">
        <v>22</v>
      </c>
      <c r="D315" s="302">
        <f>D313+D314</f>
        <v>390000</v>
      </c>
      <c r="E315" s="303">
        <f aca="true" t="shared" si="94" ref="E315:P315">E313+E314</f>
        <v>390000</v>
      </c>
      <c r="F315" s="303">
        <f t="shared" si="94"/>
        <v>30000</v>
      </c>
      <c r="G315" s="303">
        <f t="shared" si="94"/>
        <v>3000</v>
      </c>
      <c r="H315" s="303">
        <f t="shared" si="94"/>
        <v>27000</v>
      </c>
      <c r="I315" s="303">
        <f t="shared" si="94"/>
        <v>360000</v>
      </c>
      <c r="J315" s="303">
        <f t="shared" si="94"/>
        <v>0</v>
      </c>
      <c r="K315" s="303">
        <f t="shared" si="94"/>
        <v>0</v>
      </c>
      <c r="L315" s="303">
        <f t="shared" si="94"/>
        <v>0</v>
      </c>
      <c r="M315" s="303">
        <f t="shared" si="94"/>
        <v>0</v>
      </c>
      <c r="N315" s="303">
        <f t="shared" si="94"/>
        <v>0</v>
      </c>
      <c r="O315" s="303">
        <f t="shared" si="94"/>
        <v>0</v>
      </c>
      <c r="P315" s="303">
        <f t="shared" si="94"/>
        <v>0</v>
      </c>
      <c r="Q315" s="278"/>
    </row>
    <row r="316" spans="1:17" s="261" customFormat="1" ht="12.75" hidden="1">
      <c r="A316" s="368"/>
      <c r="B316" s="307"/>
      <c r="C316" s="308"/>
      <c r="D316" s="302"/>
      <c r="E316" s="309"/>
      <c r="F316" s="309"/>
      <c r="G316" s="309"/>
      <c r="H316" s="303"/>
      <c r="I316" s="303"/>
      <c r="J316" s="303"/>
      <c r="K316" s="303"/>
      <c r="L316" s="303"/>
      <c r="M316" s="303"/>
      <c r="N316" s="303"/>
      <c r="O316" s="309"/>
      <c r="P316" s="309"/>
      <c r="Q316" s="278"/>
    </row>
    <row r="317" spans="1:17" s="261" customFormat="1" ht="12.75" hidden="1">
      <c r="A317" s="1035">
        <v>85156</v>
      </c>
      <c r="B317" s="1018" t="s">
        <v>229</v>
      </c>
      <c r="C317" s="301" t="s">
        <v>20</v>
      </c>
      <c r="D317" s="302">
        <f>E317+M317</f>
        <v>16000</v>
      </c>
      <c r="E317" s="309">
        <f>F317+I317+J317+K317+L317</f>
        <v>16000</v>
      </c>
      <c r="F317" s="309">
        <f>G317+H317</f>
        <v>16000</v>
      </c>
      <c r="G317" s="309">
        <v>0</v>
      </c>
      <c r="H317" s="303">
        <v>16000</v>
      </c>
      <c r="I317" s="303">
        <v>0</v>
      </c>
      <c r="J317" s="303">
        <v>0</v>
      </c>
      <c r="K317" s="303">
        <v>0</v>
      </c>
      <c r="L317" s="303">
        <v>0</v>
      </c>
      <c r="M317" s="303">
        <f>N317+P317</f>
        <v>0</v>
      </c>
      <c r="N317" s="303">
        <v>0</v>
      </c>
      <c r="O317" s="309">
        <v>0</v>
      </c>
      <c r="P317" s="309">
        <v>0</v>
      </c>
      <c r="Q317" s="278"/>
    </row>
    <row r="318" spans="1:17" s="261" customFormat="1" ht="12.75" hidden="1">
      <c r="A318" s="1036"/>
      <c r="B318" s="1019"/>
      <c r="C318" s="301" t="s">
        <v>21</v>
      </c>
      <c r="D318" s="302">
        <f>E318+M318</f>
        <v>0</v>
      </c>
      <c r="E318" s="309">
        <f>F318+I318+J318+K318+L318</f>
        <v>0</v>
      </c>
      <c r="F318" s="309">
        <f>G318+H318</f>
        <v>0</v>
      </c>
      <c r="G318" s="309"/>
      <c r="H318" s="303"/>
      <c r="I318" s="303"/>
      <c r="J318" s="303"/>
      <c r="K318" s="303"/>
      <c r="L318" s="303"/>
      <c r="M318" s="303">
        <f>N318+P318</f>
        <v>0</v>
      </c>
      <c r="N318" s="303"/>
      <c r="O318" s="309"/>
      <c r="P318" s="309"/>
      <c r="Q318" s="278"/>
    </row>
    <row r="319" spans="1:17" s="261" customFormat="1" ht="12.75" hidden="1">
      <c r="A319" s="1037"/>
      <c r="B319" s="1020"/>
      <c r="C319" s="301" t="s">
        <v>22</v>
      </c>
      <c r="D319" s="302">
        <f>D317+D318</f>
        <v>16000</v>
      </c>
      <c r="E319" s="303">
        <f aca="true" t="shared" si="95" ref="E319:P319">E317+E318</f>
        <v>16000</v>
      </c>
      <c r="F319" s="303">
        <f t="shared" si="95"/>
        <v>16000</v>
      </c>
      <c r="G319" s="303">
        <f t="shared" si="95"/>
        <v>0</v>
      </c>
      <c r="H319" s="303">
        <f t="shared" si="95"/>
        <v>16000</v>
      </c>
      <c r="I319" s="303">
        <f t="shared" si="95"/>
        <v>0</v>
      </c>
      <c r="J319" s="303">
        <f t="shared" si="95"/>
        <v>0</v>
      </c>
      <c r="K319" s="303">
        <f t="shared" si="95"/>
        <v>0</v>
      </c>
      <c r="L319" s="303">
        <f t="shared" si="95"/>
        <v>0</v>
      </c>
      <c r="M319" s="303">
        <f t="shared" si="95"/>
        <v>0</v>
      </c>
      <c r="N319" s="303">
        <f t="shared" si="95"/>
        <v>0</v>
      </c>
      <c r="O319" s="303">
        <f t="shared" si="95"/>
        <v>0</v>
      </c>
      <c r="P319" s="303">
        <f t="shared" si="95"/>
        <v>0</v>
      </c>
      <c r="Q319" s="278"/>
    </row>
    <row r="320" spans="1:17" s="261" customFormat="1" ht="12.75" hidden="1">
      <c r="A320" s="368"/>
      <c r="B320" s="307"/>
      <c r="C320" s="308"/>
      <c r="D320" s="302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278"/>
    </row>
    <row r="321" spans="1:17" s="261" customFormat="1" ht="12.75" hidden="1">
      <c r="A321" s="1035">
        <v>85195</v>
      </c>
      <c r="B321" s="1018" t="s">
        <v>210</v>
      </c>
      <c r="C321" s="301" t="s">
        <v>20</v>
      </c>
      <c r="D321" s="302">
        <f>E321+M321</f>
        <v>5012000</v>
      </c>
      <c r="E321" s="309">
        <f>F321+I321+J321+K321+L321</f>
        <v>12000</v>
      </c>
      <c r="F321" s="309">
        <f>G321+H321</f>
        <v>12000</v>
      </c>
      <c r="G321" s="309">
        <v>0</v>
      </c>
      <c r="H321" s="303">
        <v>12000</v>
      </c>
      <c r="I321" s="303">
        <v>0</v>
      </c>
      <c r="J321" s="303">
        <v>0</v>
      </c>
      <c r="K321" s="303">
        <v>0</v>
      </c>
      <c r="L321" s="303">
        <v>0</v>
      </c>
      <c r="M321" s="303">
        <f>N321+P321</f>
        <v>5000000</v>
      </c>
      <c r="N321" s="303">
        <v>0</v>
      </c>
      <c r="O321" s="309">
        <v>0</v>
      </c>
      <c r="P321" s="309">
        <v>5000000</v>
      </c>
      <c r="Q321" s="278"/>
    </row>
    <row r="322" spans="1:17" s="261" customFormat="1" ht="12.75" hidden="1">
      <c r="A322" s="1036"/>
      <c r="B322" s="1019"/>
      <c r="C322" s="301" t="s">
        <v>21</v>
      </c>
      <c r="D322" s="302">
        <f>E322+M322</f>
        <v>0</v>
      </c>
      <c r="E322" s="309">
        <f>F322+I322+J322+K322+L322</f>
        <v>0</v>
      </c>
      <c r="F322" s="309">
        <f>G322+H322</f>
        <v>0</v>
      </c>
      <c r="G322" s="314"/>
      <c r="H322" s="311"/>
      <c r="I322" s="311"/>
      <c r="J322" s="311"/>
      <c r="K322" s="311"/>
      <c r="L322" s="311"/>
      <c r="M322" s="303">
        <f>N322+P322</f>
        <v>0</v>
      </c>
      <c r="N322" s="311"/>
      <c r="O322" s="314"/>
      <c r="P322" s="314"/>
      <c r="Q322" s="278"/>
    </row>
    <row r="323" spans="1:17" s="261" customFormat="1" ht="12.75" hidden="1">
      <c r="A323" s="1037"/>
      <c r="B323" s="1020"/>
      <c r="C323" s="301" t="s">
        <v>22</v>
      </c>
      <c r="D323" s="312">
        <f>D321+D322</f>
        <v>5012000</v>
      </c>
      <c r="E323" s="311">
        <f aca="true" t="shared" si="96" ref="E323:P323">E321+E322</f>
        <v>12000</v>
      </c>
      <c r="F323" s="311">
        <f t="shared" si="96"/>
        <v>12000</v>
      </c>
      <c r="G323" s="311">
        <f t="shared" si="96"/>
        <v>0</v>
      </c>
      <c r="H323" s="311">
        <f t="shared" si="96"/>
        <v>12000</v>
      </c>
      <c r="I323" s="311">
        <f t="shared" si="96"/>
        <v>0</v>
      </c>
      <c r="J323" s="311">
        <f t="shared" si="96"/>
        <v>0</v>
      </c>
      <c r="K323" s="311">
        <f t="shared" si="96"/>
        <v>0</v>
      </c>
      <c r="L323" s="311">
        <f t="shared" si="96"/>
        <v>0</v>
      </c>
      <c r="M323" s="311">
        <f t="shared" si="96"/>
        <v>5000000</v>
      </c>
      <c r="N323" s="311">
        <f t="shared" si="96"/>
        <v>0</v>
      </c>
      <c r="O323" s="311">
        <f t="shared" si="96"/>
        <v>0</v>
      </c>
      <c r="P323" s="311">
        <f t="shared" si="96"/>
        <v>5000000</v>
      </c>
      <c r="Q323" s="278"/>
    </row>
    <row r="324" spans="1:17" s="261" customFormat="1" ht="13.5" hidden="1" thickBot="1">
      <c r="A324" s="367"/>
      <c r="B324" s="313"/>
      <c r="C324" s="301"/>
      <c r="D324" s="312"/>
      <c r="E324" s="311"/>
      <c r="F324" s="311"/>
      <c r="G324" s="311"/>
      <c r="H324" s="311"/>
      <c r="I324" s="311"/>
      <c r="J324" s="311"/>
      <c r="K324" s="311"/>
      <c r="L324" s="311"/>
      <c r="M324" s="311"/>
      <c r="N324" s="311"/>
      <c r="O324" s="311"/>
      <c r="P324" s="311"/>
      <c r="Q324" s="278"/>
    </row>
    <row r="325" spans="1:17" s="336" customFormat="1" ht="14.25" hidden="1">
      <c r="A325" s="1038">
        <v>852</v>
      </c>
      <c r="B325" s="1012" t="s">
        <v>46</v>
      </c>
      <c r="C325" s="279" t="s">
        <v>20</v>
      </c>
      <c r="D325" s="280">
        <f>D329+D333+D337+D341</f>
        <v>16753496</v>
      </c>
      <c r="E325" s="361">
        <f>E329+E333+E337+E341</f>
        <v>15415496</v>
      </c>
      <c r="F325" s="361">
        <f aca="true" t="shared" si="97" ref="F325:P326">F329+F333+F337+F341</f>
        <v>2747292</v>
      </c>
      <c r="G325" s="361">
        <f t="shared" si="97"/>
        <v>2097982</v>
      </c>
      <c r="H325" s="361">
        <f t="shared" si="97"/>
        <v>649310</v>
      </c>
      <c r="I325" s="361">
        <f t="shared" si="97"/>
        <v>870000</v>
      </c>
      <c r="J325" s="361">
        <f t="shared" si="97"/>
        <v>48000</v>
      </c>
      <c r="K325" s="361">
        <f t="shared" si="97"/>
        <v>11750204</v>
      </c>
      <c r="L325" s="361">
        <f t="shared" si="97"/>
        <v>0</v>
      </c>
      <c r="M325" s="361">
        <f t="shared" si="97"/>
        <v>1338000</v>
      </c>
      <c r="N325" s="361">
        <f t="shared" si="97"/>
        <v>1338000</v>
      </c>
      <c r="O325" s="361">
        <f t="shared" si="97"/>
        <v>208000</v>
      </c>
      <c r="P325" s="362">
        <f t="shared" si="97"/>
        <v>0</v>
      </c>
      <c r="Q325" s="335"/>
    </row>
    <row r="326" spans="1:17" s="336" customFormat="1" ht="14.25" hidden="1">
      <c r="A326" s="1039"/>
      <c r="B326" s="1013"/>
      <c r="C326" s="286" t="s">
        <v>21</v>
      </c>
      <c r="D326" s="287">
        <f>D330+D334+D338+D342</f>
        <v>0</v>
      </c>
      <c r="E326" s="363">
        <f>E330+E334+E338+E342</f>
        <v>0</v>
      </c>
      <c r="F326" s="363">
        <f t="shared" si="97"/>
        <v>0</v>
      </c>
      <c r="G326" s="363">
        <f t="shared" si="97"/>
        <v>0</v>
      </c>
      <c r="H326" s="363">
        <f t="shared" si="97"/>
        <v>0</v>
      </c>
      <c r="I326" s="363">
        <f t="shared" si="97"/>
        <v>0</v>
      </c>
      <c r="J326" s="363">
        <f t="shared" si="97"/>
        <v>0</v>
      </c>
      <c r="K326" s="363">
        <f t="shared" si="97"/>
        <v>0</v>
      </c>
      <c r="L326" s="363">
        <f t="shared" si="97"/>
        <v>0</v>
      </c>
      <c r="M326" s="363">
        <f t="shared" si="97"/>
        <v>0</v>
      </c>
      <c r="N326" s="363">
        <f t="shared" si="97"/>
        <v>0</v>
      </c>
      <c r="O326" s="363">
        <f t="shared" si="97"/>
        <v>0</v>
      </c>
      <c r="P326" s="364">
        <f t="shared" si="97"/>
        <v>0</v>
      </c>
      <c r="Q326" s="335"/>
    </row>
    <row r="327" spans="1:17" s="336" customFormat="1" ht="15" hidden="1" thickBot="1">
      <c r="A327" s="1040"/>
      <c r="B327" s="1014"/>
      <c r="C327" s="290" t="s">
        <v>22</v>
      </c>
      <c r="D327" s="291">
        <f>D325+D326</f>
        <v>16753496</v>
      </c>
      <c r="E327" s="292">
        <f aca="true" t="shared" si="98" ref="E327:P327">E325+E326</f>
        <v>15415496</v>
      </c>
      <c r="F327" s="292">
        <f t="shared" si="98"/>
        <v>2747292</v>
      </c>
      <c r="G327" s="292">
        <f t="shared" si="98"/>
        <v>2097982</v>
      </c>
      <c r="H327" s="292">
        <f t="shared" si="98"/>
        <v>649310</v>
      </c>
      <c r="I327" s="292">
        <f t="shared" si="98"/>
        <v>870000</v>
      </c>
      <c r="J327" s="292">
        <f t="shared" si="98"/>
        <v>48000</v>
      </c>
      <c r="K327" s="292">
        <f t="shared" si="98"/>
        <v>11750204</v>
      </c>
      <c r="L327" s="292">
        <f t="shared" si="98"/>
        <v>0</v>
      </c>
      <c r="M327" s="292">
        <f t="shared" si="98"/>
        <v>1338000</v>
      </c>
      <c r="N327" s="292">
        <f t="shared" si="98"/>
        <v>1338000</v>
      </c>
      <c r="O327" s="292">
        <f t="shared" si="98"/>
        <v>208000</v>
      </c>
      <c r="P327" s="293">
        <f t="shared" si="98"/>
        <v>0</v>
      </c>
      <c r="Q327" s="335"/>
    </row>
    <row r="328" spans="1:17" s="336" customFormat="1" ht="14.25" hidden="1">
      <c r="A328" s="369"/>
      <c r="B328" s="370"/>
      <c r="C328" s="371"/>
      <c r="D328" s="331"/>
      <c r="E328" s="333"/>
      <c r="F328" s="333"/>
      <c r="G328" s="333"/>
      <c r="H328" s="333"/>
      <c r="I328" s="333"/>
      <c r="J328" s="333"/>
      <c r="K328" s="333"/>
      <c r="L328" s="333"/>
      <c r="M328" s="333"/>
      <c r="N328" s="333"/>
      <c r="O328" s="333"/>
      <c r="P328" s="333"/>
      <c r="Q328" s="335"/>
    </row>
    <row r="329" spans="1:17" s="261" customFormat="1" ht="12.75" hidden="1">
      <c r="A329" s="1035">
        <v>85203</v>
      </c>
      <c r="B329" s="1018" t="s">
        <v>373</v>
      </c>
      <c r="C329" s="308" t="s">
        <v>20</v>
      </c>
      <c r="D329" s="302">
        <f>E329+M329</f>
        <v>562369</v>
      </c>
      <c r="E329" s="303">
        <f>F329+I329+J329+K329+L329</f>
        <v>419369</v>
      </c>
      <c r="F329" s="303">
        <f>G329+H329</f>
        <v>0</v>
      </c>
      <c r="G329" s="303">
        <v>0</v>
      </c>
      <c r="H329" s="303">
        <v>0</v>
      </c>
      <c r="I329" s="303">
        <v>0</v>
      </c>
      <c r="J329" s="303">
        <v>0</v>
      </c>
      <c r="K329" s="303">
        <v>419369</v>
      </c>
      <c r="L329" s="303">
        <v>0</v>
      </c>
      <c r="M329" s="303">
        <f>N329+P329</f>
        <v>143000</v>
      </c>
      <c r="N329" s="303">
        <v>143000</v>
      </c>
      <c r="O329" s="303">
        <v>143000</v>
      </c>
      <c r="P329" s="303">
        <v>0</v>
      </c>
      <c r="Q329" s="278"/>
    </row>
    <row r="330" spans="1:17" s="261" customFormat="1" ht="12.75" hidden="1">
      <c r="A330" s="1036"/>
      <c r="B330" s="1019"/>
      <c r="C330" s="308" t="s">
        <v>21</v>
      </c>
      <c r="D330" s="302">
        <f>E330+M330</f>
        <v>0</v>
      </c>
      <c r="E330" s="303">
        <f>F330+I330+J330+K330+L330</f>
        <v>0</v>
      </c>
      <c r="F330" s="303">
        <f>G330+H330</f>
        <v>0</v>
      </c>
      <c r="G330" s="298"/>
      <c r="H330" s="298"/>
      <c r="I330" s="298"/>
      <c r="J330" s="298"/>
      <c r="K330" s="298"/>
      <c r="L330" s="298"/>
      <c r="M330" s="303">
        <f>N330+P330</f>
        <v>0</v>
      </c>
      <c r="N330" s="298"/>
      <c r="O330" s="298"/>
      <c r="P330" s="298"/>
      <c r="Q330" s="278"/>
    </row>
    <row r="331" spans="1:17" s="261" customFormat="1" ht="12.75" hidden="1">
      <c r="A331" s="1037"/>
      <c r="B331" s="1020"/>
      <c r="C331" s="308" t="s">
        <v>22</v>
      </c>
      <c r="D331" s="302">
        <f>D329+D330</f>
        <v>562369</v>
      </c>
      <c r="E331" s="303">
        <f aca="true" t="shared" si="99" ref="E331:P331">E329+E330</f>
        <v>419369</v>
      </c>
      <c r="F331" s="303">
        <f t="shared" si="99"/>
        <v>0</v>
      </c>
      <c r="G331" s="303">
        <f t="shared" si="99"/>
        <v>0</v>
      </c>
      <c r="H331" s="303">
        <f t="shared" si="99"/>
        <v>0</v>
      </c>
      <c r="I331" s="303">
        <f t="shared" si="99"/>
        <v>0</v>
      </c>
      <c r="J331" s="303">
        <f t="shared" si="99"/>
        <v>0</v>
      </c>
      <c r="K331" s="303">
        <f t="shared" si="99"/>
        <v>419369</v>
      </c>
      <c r="L331" s="303">
        <f t="shared" si="99"/>
        <v>0</v>
      </c>
      <c r="M331" s="303">
        <f t="shared" si="99"/>
        <v>143000</v>
      </c>
      <c r="N331" s="303">
        <f t="shared" si="99"/>
        <v>143000</v>
      </c>
      <c r="O331" s="303">
        <f t="shared" si="99"/>
        <v>143000</v>
      </c>
      <c r="P331" s="303">
        <f t="shared" si="99"/>
        <v>0</v>
      </c>
      <c r="Q331" s="278"/>
    </row>
    <row r="332" spans="1:17" s="336" customFormat="1" ht="14.25" hidden="1">
      <c r="A332" s="372"/>
      <c r="B332" s="285"/>
      <c r="C332" s="286"/>
      <c r="D332" s="287"/>
      <c r="E332" s="333"/>
      <c r="F332" s="333"/>
      <c r="G332" s="333"/>
      <c r="H332" s="333"/>
      <c r="I332" s="333"/>
      <c r="J332" s="333"/>
      <c r="K332" s="333"/>
      <c r="L332" s="333"/>
      <c r="M332" s="333"/>
      <c r="N332" s="333"/>
      <c r="O332" s="333"/>
      <c r="P332" s="333"/>
      <c r="Q332" s="335"/>
    </row>
    <row r="333" spans="1:17" s="261" customFormat="1" ht="12.75" hidden="1">
      <c r="A333" s="1035">
        <v>85205</v>
      </c>
      <c r="B333" s="1018" t="s">
        <v>374</v>
      </c>
      <c r="C333" s="308" t="s">
        <v>20</v>
      </c>
      <c r="D333" s="302">
        <f>E333+M333</f>
        <v>430000</v>
      </c>
      <c r="E333" s="303">
        <f>F333+I333+J333+K333+L333</f>
        <v>430000</v>
      </c>
      <c r="F333" s="303">
        <f>G333+H333</f>
        <v>360000</v>
      </c>
      <c r="G333" s="303">
        <v>206000</v>
      </c>
      <c r="H333" s="303">
        <v>154000</v>
      </c>
      <c r="I333" s="303">
        <v>70000</v>
      </c>
      <c r="J333" s="303">
        <v>0</v>
      </c>
      <c r="K333" s="303">
        <v>0</v>
      </c>
      <c r="L333" s="303">
        <v>0</v>
      </c>
      <c r="M333" s="303">
        <f>N333+P333</f>
        <v>0</v>
      </c>
      <c r="N333" s="303">
        <v>0</v>
      </c>
      <c r="O333" s="303">
        <v>0</v>
      </c>
      <c r="P333" s="303">
        <v>0</v>
      </c>
      <c r="Q333" s="278"/>
    </row>
    <row r="334" spans="1:17" s="261" customFormat="1" ht="12.75" hidden="1">
      <c r="A334" s="1036"/>
      <c r="B334" s="1019"/>
      <c r="C334" s="308" t="s">
        <v>21</v>
      </c>
      <c r="D334" s="302">
        <f>E334+M334</f>
        <v>0</v>
      </c>
      <c r="E334" s="309">
        <f>F334+I334+J334+K334+L334</f>
        <v>0</v>
      </c>
      <c r="F334" s="309">
        <f>G334+H334</f>
        <v>0</v>
      </c>
      <c r="G334" s="309"/>
      <c r="H334" s="303"/>
      <c r="I334" s="303"/>
      <c r="J334" s="303"/>
      <c r="K334" s="303"/>
      <c r="L334" s="303"/>
      <c r="M334" s="303">
        <f>N334+P334</f>
        <v>0</v>
      </c>
      <c r="N334" s="303"/>
      <c r="O334" s="309"/>
      <c r="P334" s="309"/>
      <c r="Q334" s="278"/>
    </row>
    <row r="335" spans="1:17" s="261" customFormat="1" ht="12.75" hidden="1">
      <c r="A335" s="1037"/>
      <c r="B335" s="1020"/>
      <c r="C335" s="308" t="s">
        <v>22</v>
      </c>
      <c r="D335" s="302">
        <f>D333+D334</f>
        <v>430000</v>
      </c>
      <c r="E335" s="303">
        <f aca="true" t="shared" si="100" ref="E335:P335">E333+E334</f>
        <v>430000</v>
      </c>
      <c r="F335" s="303">
        <f t="shared" si="100"/>
        <v>360000</v>
      </c>
      <c r="G335" s="303">
        <f t="shared" si="100"/>
        <v>206000</v>
      </c>
      <c r="H335" s="303">
        <f t="shared" si="100"/>
        <v>154000</v>
      </c>
      <c r="I335" s="303">
        <f t="shared" si="100"/>
        <v>70000</v>
      </c>
      <c r="J335" s="303">
        <f t="shared" si="100"/>
        <v>0</v>
      </c>
      <c r="K335" s="303">
        <f t="shared" si="100"/>
        <v>0</v>
      </c>
      <c r="L335" s="303">
        <f t="shared" si="100"/>
        <v>0</v>
      </c>
      <c r="M335" s="303">
        <f t="shared" si="100"/>
        <v>0</v>
      </c>
      <c r="N335" s="303">
        <f t="shared" si="100"/>
        <v>0</v>
      </c>
      <c r="O335" s="303">
        <f t="shared" si="100"/>
        <v>0</v>
      </c>
      <c r="P335" s="303">
        <f t="shared" si="100"/>
        <v>0</v>
      </c>
      <c r="Q335" s="278"/>
    </row>
    <row r="336" spans="1:17" s="261" customFormat="1" ht="12.75" hidden="1">
      <c r="A336" s="368"/>
      <c r="B336" s="307"/>
      <c r="C336" s="308"/>
      <c r="D336" s="302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  <c r="O336" s="303"/>
      <c r="P336" s="303"/>
      <c r="Q336" s="278"/>
    </row>
    <row r="337" spans="1:17" s="261" customFormat="1" ht="12.75" hidden="1">
      <c r="A337" s="1035">
        <v>85217</v>
      </c>
      <c r="B337" s="1018" t="s">
        <v>375</v>
      </c>
      <c r="C337" s="301" t="s">
        <v>20</v>
      </c>
      <c r="D337" s="302">
        <f>E337+M337</f>
        <v>3405292</v>
      </c>
      <c r="E337" s="303">
        <f>F337+I337+J337+K337+L337</f>
        <v>2275292</v>
      </c>
      <c r="F337" s="303">
        <f>G337+H337</f>
        <v>2272292</v>
      </c>
      <c r="G337" s="303">
        <v>1886982</v>
      </c>
      <c r="H337" s="303">
        <v>385310</v>
      </c>
      <c r="I337" s="303">
        <v>0</v>
      </c>
      <c r="J337" s="303">
        <v>3000</v>
      </c>
      <c r="K337" s="303">
        <v>0</v>
      </c>
      <c r="L337" s="303">
        <v>0</v>
      </c>
      <c r="M337" s="303">
        <f>N337+P337</f>
        <v>1130000</v>
      </c>
      <c r="N337" s="303">
        <v>1130000</v>
      </c>
      <c r="O337" s="303">
        <v>0</v>
      </c>
      <c r="P337" s="303">
        <v>0</v>
      </c>
      <c r="Q337" s="278"/>
    </row>
    <row r="338" spans="1:17" s="261" customFormat="1" ht="12.75" hidden="1">
      <c r="A338" s="1036"/>
      <c r="B338" s="1019"/>
      <c r="C338" s="301" t="s">
        <v>21</v>
      </c>
      <c r="D338" s="302">
        <f>E338+M338</f>
        <v>0</v>
      </c>
      <c r="E338" s="303">
        <f>F338+I338+J338+K338+L338</f>
        <v>0</v>
      </c>
      <c r="F338" s="303">
        <f>G338+H338</f>
        <v>0</v>
      </c>
      <c r="G338" s="303"/>
      <c r="H338" s="303"/>
      <c r="I338" s="303"/>
      <c r="J338" s="303"/>
      <c r="K338" s="303"/>
      <c r="L338" s="303"/>
      <c r="M338" s="303">
        <f>N338+P338</f>
        <v>0</v>
      </c>
      <c r="N338" s="303"/>
      <c r="O338" s="303"/>
      <c r="P338" s="303"/>
      <c r="Q338" s="278"/>
    </row>
    <row r="339" spans="1:17" s="261" customFormat="1" ht="12.75" hidden="1">
      <c r="A339" s="1037"/>
      <c r="B339" s="1020"/>
      <c r="C339" s="301" t="s">
        <v>22</v>
      </c>
      <c r="D339" s="302">
        <f>D337+D338</f>
        <v>3405292</v>
      </c>
      <c r="E339" s="303">
        <f aca="true" t="shared" si="101" ref="E339:P339">E337+E338</f>
        <v>2275292</v>
      </c>
      <c r="F339" s="303">
        <f t="shared" si="101"/>
        <v>2272292</v>
      </c>
      <c r="G339" s="303">
        <f t="shared" si="101"/>
        <v>1886982</v>
      </c>
      <c r="H339" s="303">
        <f t="shared" si="101"/>
        <v>385310</v>
      </c>
      <c r="I339" s="303">
        <f t="shared" si="101"/>
        <v>0</v>
      </c>
      <c r="J339" s="303">
        <f t="shared" si="101"/>
        <v>3000</v>
      </c>
      <c r="K339" s="303">
        <f t="shared" si="101"/>
        <v>0</v>
      </c>
      <c r="L339" s="303">
        <f t="shared" si="101"/>
        <v>0</v>
      </c>
      <c r="M339" s="303">
        <f t="shared" si="101"/>
        <v>1130000</v>
      </c>
      <c r="N339" s="303">
        <f t="shared" si="101"/>
        <v>1130000</v>
      </c>
      <c r="O339" s="303">
        <f t="shared" si="101"/>
        <v>0</v>
      </c>
      <c r="P339" s="303">
        <f t="shared" si="101"/>
        <v>0</v>
      </c>
      <c r="Q339" s="278"/>
    </row>
    <row r="340" spans="1:17" s="261" customFormat="1" ht="12.75" hidden="1">
      <c r="A340" s="368"/>
      <c r="B340" s="307"/>
      <c r="C340" s="308"/>
      <c r="D340" s="302"/>
      <c r="E340" s="309"/>
      <c r="F340" s="309"/>
      <c r="G340" s="309"/>
      <c r="H340" s="303"/>
      <c r="I340" s="303"/>
      <c r="J340" s="303"/>
      <c r="K340" s="303"/>
      <c r="L340" s="303"/>
      <c r="M340" s="303"/>
      <c r="N340" s="303"/>
      <c r="O340" s="309"/>
      <c r="P340" s="309"/>
      <c r="Q340" s="278"/>
    </row>
    <row r="341" spans="1:17" s="261" customFormat="1" ht="12.75" hidden="1">
      <c r="A341" s="1035">
        <v>85295</v>
      </c>
      <c r="B341" s="1018" t="s">
        <v>210</v>
      </c>
      <c r="C341" s="301" t="s">
        <v>20</v>
      </c>
      <c r="D341" s="302">
        <f>E341+M341</f>
        <v>12355835</v>
      </c>
      <c r="E341" s="303">
        <f>F341+I341+J341+K341+L341</f>
        <v>12290835</v>
      </c>
      <c r="F341" s="303">
        <f>G341+H341</f>
        <v>115000</v>
      </c>
      <c r="G341" s="303">
        <v>5000</v>
      </c>
      <c r="H341" s="303">
        <f>2000+900+100+107000</f>
        <v>110000</v>
      </c>
      <c r="I341" s="303">
        <v>800000</v>
      </c>
      <c r="J341" s="303">
        <v>45000</v>
      </c>
      <c r="K341" s="303">
        <f>510000+7650696+1061211+721772+127371+32212+5683+130867+23095+18652+3292+22618+3991+12350+2179+4675+825+817739+144307+6290+1110+850+150+4335+765+13430+2370+6800+1200</f>
        <v>11330835</v>
      </c>
      <c r="L341" s="303">
        <v>0</v>
      </c>
      <c r="M341" s="303">
        <f>N341+P341</f>
        <v>65000</v>
      </c>
      <c r="N341" s="303">
        <v>65000</v>
      </c>
      <c r="O341" s="303">
        <v>65000</v>
      </c>
      <c r="P341" s="303">
        <v>0</v>
      </c>
      <c r="Q341" s="360"/>
    </row>
    <row r="342" spans="1:17" s="261" customFormat="1" ht="12.75" hidden="1">
      <c r="A342" s="1036"/>
      <c r="B342" s="1019"/>
      <c r="C342" s="301" t="s">
        <v>21</v>
      </c>
      <c r="D342" s="302">
        <f>E342+M342</f>
        <v>0</v>
      </c>
      <c r="E342" s="303">
        <f>F342+I342+J342+K342+L342</f>
        <v>0</v>
      </c>
      <c r="F342" s="303">
        <f>G342+H342</f>
        <v>0</v>
      </c>
      <c r="G342" s="311"/>
      <c r="H342" s="311"/>
      <c r="I342" s="311"/>
      <c r="J342" s="311"/>
      <c r="K342" s="311"/>
      <c r="L342" s="311"/>
      <c r="M342" s="303">
        <f>N342+P342</f>
        <v>0</v>
      </c>
      <c r="N342" s="311"/>
      <c r="O342" s="311"/>
      <c r="P342" s="311"/>
      <c r="Q342" s="360"/>
    </row>
    <row r="343" spans="1:17" s="261" customFormat="1" ht="12.75" hidden="1">
      <c r="A343" s="1037"/>
      <c r="B343" s="1020"/>
      <c r="C343" s="301" t="s">
        <v>22</v>
      </c>
      <c r="D343" s="312">
        <f aca="true" t="shared" si="102" ref="D343:P343">D341+D342</f>
        <v>12355835</v>
      </c>
      <c r="E343" s="311">
        <f t="shared" si="102"/>
        <v>12290835</v>
      </c>
      <c r="F343" s="311">
        <f t="shared" si="102"/>
        <v>115000</v>
      </c>
      <c r="G343" s="311">
        <f t="shared" si="102"/>
        <v>5000</v>
      </c>
      <c r="H343" s="311">
        <f t="shared" si="102"/>
        <v>110000</v>
      </c>
      <c r="I343" s="311">
        <f t="shared" si="102"/>
        <v>800000</v>
      </c>
      <c r="J343" s="311">
        <f t="shared" si="102"/>
        <v>45000</v>
      </c>
      <c r="K343" s="311">
        <f t="shared" si="102"/>
        <v>11330835</v>
      </c>
      <c r="L343" s="311">
        <f t="shared" si="102"/>
        <v>0</v>
      </c>
      <c r="M343" s="311">
        <f t="shared" si="102"/>
        <v>65000</v>
      </c>
      <c r="N343" s="311">
        <f t="shared" si="102"/>
        <v>65000</v>
      </c>
      <c r="O343" s="311">
        <f t="shared" si="102"/>
        <v>65000</v>
      </c>
      <c r="P343" s="311">
        <f t="shared" si="102"/>
        <v>0</v>
      </c>
      <c r="Q343" s="360"/>
    </row>
    <row r="344" spans="1:17" s="261" customFormat="1" ht="6" customHeight="1" thickBot="1">
      <c r="A344" s="367"/>
      <c r="B344" s="313"/>
      <c r="C344" s="301"/>
      <c r="D344" s="312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60"/>
    </row>
    <row r="345" spans="1:17" s="336" customFormat="1" ht="17.25" customHeight="1">
      <c r="A345" s="1038">
        <v>853</v>
      </c>
      <c r="B345" s="1012" t="s">
        <v>47</v>
      </c>
      <c r="C345" s="279" t="s">
        <v>20</v>
      </c>
      <c r="D345" s="280">
        <f aca="true" t="shared" si="103" ref="D345:P346">D349+D353+D361+D365+D357</f>
        <v>17430285</v>
      </c>
      <c r="E345" s="281">
        <f t="shared" si="103"/>
        <v>17213549</v>
      </c>
      <c r="F345" s="281">
        <f t="shared" si="103"/>
        <v>9571726</v>
      </c>
      <c r="G345" s="281">
        <f t="shared" si="103"/>
        <v>7787820</v>
      </c>
      <c r="H345" s="281">
        <f t="shared" si="103"/>
        <v>1783906</v>
      </c>
      <c r="I345" s="281">
        <f t="shared" si="103"/>
        <v>794000</v>
      </c>
      <c r="J345" s="281">
        <f t="shared" si="103"/>
        <v>11000</v>
      </c>
      <c r="K345" s="281">
        <f t="shared" si="103"/>
        <v>6836823</v>
      </c>
      <c r="L345" s="281">
        <f t="shared" si="103"/>
        <v>0</v>
      </c>
      <c r="M345" s="281">
        <f t="shared" si="103"/>
        <v>216736</v>
      </c>
      <c r="N345" s="281">
        <f t="shared" si="103"/>
        <v>216736</v>
      </c>
      <c r="O345" s="281">
        <f t="shared" si="103"/>
        <v>126736</v>
      </c>
      <c r="P345" s="282">
        <f t="shared" si="103"/>
        <v>0</v>
      </c>
      <c r="Q345" s="335"/>
    </row>
    <row r="346" spans="1:17" s="336" customFormat="1" ht="17.25" customHeight="1">
      <c r="A346" s="1039"/>
      <c r="B346" s="1013"/>
      <c r="C346" s="286" t="s">
        <v>21</v>
      </c>
      <c r="D346" s="287">
        <f t="shared" si="103"/>
        <v>1748685</v>
      </c>
      <c r="E346" s="288">
        <f t="shared" si="103"/>
        <v>748685</v>
      </c>
      <c r="F346" s="288">
        <f t="shared" si="103"/>
        <v>748685</v>
      </c>
      <c r="G346" s="288">
        <f t="shared" si="103"/>
        <v>0</v>
      </c>
      <c r="H346" s="288">
        <f t="shared" si="103"/>
        <v>748685</v>
      </c>
      <c r="I346" s="288">
        <f t="shared" si="103"/>
        <v>0</v>
      </c>
      <c r="J346" s="288">
        <f t="shared" si="103"/>
        <v>0</v>
      </c>
      <c r="K346" s="288">
        <f t="shared" si="103"/>
        <v>0</v>
      </c>
      <c r="L346" s="288">
        <f t="shared" si="103"/>
        <v>0</v>
      </c>
      <c r="M346" s="288">
        <f t="shared" si="103"/>
        <v>1000000</v>
      </c>
      <c r="N346" s="288">
        <f t="shared" si="103"/>
        <v>1000000</v>
      </c>
      <c r="O346" s="288">
        <f t="shared" si="103"/>
        <v>0</v>
      </c>
      <c r="P346" s="289">
        <f t="shared" si="103"/>
        <v>0</v>
      </c>
      <c r="Q346" s="335"/>
    </row>
    <row r="347" spans="1:17" s="336" customFormat="1" ht="17.25" customHeight="1" thickBot="1">
      <c r="A347" s="1040"/>
      <c r="B347" s="1014"/>
      <c r="C347" s="290" t="s">
        <v>22</v>
      </c>
      <c r="D347" s="291">
        <f>D345+D346</f>
        <v>19178970</v>
      </c>
      <c r="E347" s="292">
        <f aca="true" t="shared" si="104" ref="E347:P347">E345+E346</f>
        <v>17962234</v>
      </c>
      <c r="F347" s="292">
        <f t="shared" si="104"/>
        <v>10320411</v>
      </c>
      <c r="G347" s="292">
        <f t="shared" si="104"/>
        <v>7787820</v>
      </c>
      <c r="H347" s="292">
        <f t="shared" si="104"/>
        <v>2532591</v>
      </c>
      <c r="I347" s="292">
        <f t="shared" si="104"/>
        <v>794000</v>
      </c>
      <c r="J347" s="292">
        <f t="shared" si="104"/>
        <v>11000</v>
      </c>
      <c r="K347" s="292">
        <f t="shared" si="104"/>
        <v>6836823</v>
      </c>
      <c r="L347" s="292">
        <f t="shared" si="104"/>
        <v>0</v>
      </c>
      <c r="M347" s="292">
        <f t="shared" si="104"/>
        <v>1216736</v>
      </c>
      <c r="N347" s="292">
        <f t="shared" si="104"/>
        <v>1216736</v>
      </c>
      <c r="O347" s="292">
        <f t="shared" si="104"/>
        <v>126736</v>
      </c>
      <c r="P347" s="293">
        <f t="shared" si="104"/>
        <v>0</v>
      </c>
      <c r="Q347" s="335"/>
    </row>
    <row r="348" spans="1:17" s="336" customFormat="1" ht="14.25" hidden="1">
      <c r="A348" s="373"/>
      <c r="B348" s="329"/>
      <c r="C348" s="330"/>
      <c r="D348" s="331"/>
      <c r="E348" s="333"/>
      <c r="F348" s="333"/>
      <c r="G348" s="333"/>
      <c r="H348" s="333"/>
      <c r="I348" s="333"/>
      <c r="J348" s="333"/>
      <c r="K348" s="333"/>
      <c r="L348" s="333"/>
      <c r="M348" s="333"/>
      <c r="N348" s="333"/>
      <c r="O348" s="333"/>
      <c r="P348" s="344"/>
      <c r="Q348" s="335"/>
    </row>
    <row r="349" spans="1:17" s="261" customFormat="1" ht="12.75" hidden="1">
      <c r="A349" s="1035">
        <v>85311</v>
      </c>
      <c r="B349" s="1018" t="s">
        <v>376</v>
      </c>
      <c r="C349" s="301" t="s">
        <v>20</v>
      </c>
      <c r="D349" s="302">
        <f>E349+M349</f>
        <v>444000</v>
      </c>
      <c r="E349" s="309">
        <f>F349+I349+J349+K349+L349</f>
        <v>444000</v>
      </c>
      <c r="F349" s="309">
        <f>G349+H349</f>
        <v>0</v>
      </c>
      <c r="G349" s="309">
        <v>0</v>
      </c>
      <c r="H349" s="303">
        <v>0</v>
      </c>
      <c r="I349" s="303">
        <v>444000</v>
      </c>
      <c r="J349" s="303">
        <v>0</v>
      </c>
      <c r="K349" s="303">
        <v>0</v>
      </c>
      <c r="L349" s="303">
        <v>0</v>
      </c>
      <c r="M349" s="303">
        <f>N349+P349</f>
        <v>0</v>
      </c>
      <c r="N349" s="303">
        <v>0</v>
      </c>
      <c r="O349" s="309">
        <v>0</v>
      </c>
      <c r="P349" s="309">
        <v>0</v>
      </c>
      <c r="Q349" s="278"/>
    </row>
    <row r="350" spans="1:17" s="261" customFormat="1" ht="12.75" hidden="1">
      <c r="A350" s="1036"/>
      <c r="B350" s="1019"/>
      <c r="C350" s="301" t="s">
        <v>21</v>
      </c>
      <c r="D350" s="302">
        <f>E350+M350</f>
        <v>0</v>
      </c>
      <c r="E350" s="303">
        <f>F350+I350+J350+K350+L350</f>
        <v>0</v>
      </c>
      <c r="F350" s="303">
        <f>G350+H350</f>
        <v>0</v>
      </c>
      <c r="G350" s="303"/>
      <c r="H350" s="303"/>
      <c r="I350" s="303"/>
      <c r="J350" s="303"/>
      <c r="K350" s="303"/>
      <c r="L350" s="303"/>
      <c r="M350" s="303">
        <f>N350+P350</f>
        <v>0</v>
      </c>
      <c r="N350" s="303"/>
      <c r="O350" s="303"/>
      <c r="P350" s="303"/>
      <c r="Q350" s="278"/>
    </row>
    <row r="351" spans="1:17" s="261" customFormat="1" ht="12.75" hidden="1">
      <c r="A351" s="1037"/>
      <c r="B351" s="1020"/>
      <c r="C351" s="301" t="s">
        <v>22</v>
      </c>
      <c r="D351" s="302">
        <f>D349+D350</f>
        <v>444000</v>
      </c>
      <c r="E351" s="303">
        <f aca="true" t="shared" si="105" ref="E351:P351">E349+E350</f>
        <v>444000</v>
      </c>
      <c r="F351" s="303">
        <f t="shared" si="105"/>
        <v>0</v>
      </c>
      <c r="G351" s="303">
        <f t="shared" si="105"/>
        <v>0</v>
      </c>
      <c r="H351" s="303">
        <f t="shared" si="105"/>
        <v>0</v>
      </c>
      <c r="I351" s="303">
        <f t="shared" si="105"/>
        <v>444000</v>
      </c>
      <c r="J351" s="303">
        <f t="shared" si="105"/>
        <v>0</v>
      </c>
      <c r="K351" s="303">
        <f t="shared" si="105"/>
        <v>0</v>
      </c>
      <c r="L351" s="303">
        <f t="shared" si="105"/>
        <v>0</v>
      </c>
      <c r="M351" s="303">
        <f t="shared" si="105"/>
        <v>0</v>
      </c>
      <c r="N351" s="303">
        <f t="shared" si="105"/>
        <v>0</v>
      </c>
      <c r="O351" s="303">
        <f t="shared" si="105"/>
        <v>0</v>
      </c>
      <c r="P351" s="303">
        <f t="shared" si="105"/>
        <v>0</v>
      </c>
      <c r="Q351" s="278"/>
    </row>
    <row r="352" spans="1:17" s="261" customFormat="1" ht="6" customHeight="1">
      <c r="A352" s="368"/>
      <c r="B352" s="307"/>
      <c r="C352" s="308"/>
      <c r="D352" s="302"/>
      <c r="E352" s="309"/>
      <c r="F352" s="309"/>
      <c r="G352" s="309"/>
      <c r="H352" s="303"/>
      <c r="I352" s="303"/>
      <c r="J352" s="303"/>
      <c r="K352" s="303"/>
      <c r="L352" s="303"/>
      <c r="M352" s="303"/>
      <c r="N352" s="303"/>
      <c r="O352" s="309"/>
      <c r="P352" s="309"/>
      <c r="Q352" s="278"/>
    </row>
    <row r="353" spans="1:17" s="261" customFormat="1" ht="12.75">
      <c r="A353" s="1035">
        <v>85324</v>
      </c>
      <c r="B353" s="1018" t="s">
        <v>377</v>
      </c>
      <c r="C353" s="301" t="s">
        <v>20</v>
      </c>
      <c r="D353" s="302">
        <f>E353+M353</f>
        <v>243379</v>
      </c>
      <c r="E353" s="309">
        <f>F353+I353+J353+K353+L353</f>
        <v>233379</v>
      </c>
      <c r="F353" s="309">
        <f>G353+H353</f>
        <v>233379</v>
      </c>
      <c r="G353" s="309">
        <v>200379</v>
      </c>
      <c r="H353" s="303">
        <v>33000</v>
      </c>
      <c r="I353" s="303">
        <v>0</v>
      </c>
      <c r="J353" s="303">
        <v>0</v>
      </c>
      <c r="K353" s="303">
        <v>0</v>
      </c>
      <c r="L353" s="303">
        <v>0</v>
      </c>
      <c r="M353" s="303">
        <f>N353+P353</f>
        <v>10000</v>
      </c>
      <c r="N353" s="303">
        <v>10000</v>
      </c>
      <c r="O353" s="309">
        <v>0</v>
      </c>
      <c r="P353" s="309">
        <v>0</v>
      </c>
      <c r="Q353" s="278"/>
    </row>
    <row r="354" spans="1:17" s="261" customFormat="1" ht="12.75">
      <c r="A354" s="1036"/>
      <c r="B354" s="1019"/>
      <c r="C354" s="301" t="s">
        <v>21</v>
      </c>
      <c r="D354" s="302">
        <f>E354+M354</f>
        <v>1748685</v>
      </c>
      <c r="E354" s="309">
        <f>F354+I354+J354+K354+L354</f>
        <v>748685</v>
      </c>
      <c r="F354" s="309">
        <f>G354+H354</f>
        <v>748685</v>
      </c>
      <c r="G354" s="309"/>
      <c r="H354" s="303">
        <v>748685</v>
      </c>
      <c r="I354" s="303"/>
      <c r="J354" s="303"/>
      <c r="K354" s="303"/>
      <c r="L354" s="303"/>
      <c r="M354" s="303">
        <f>N354+P354</f>
        <v>1000000</v>
      </c>
      <c r="N354" s="303">
        <v>1000000</v>
      </c>
      <c r="O354" s="309"/>
      <c r="P354" s="309"/>
      <c r="Q354" s="278"/>
    </row>
    <row r="355" spans="1:17" s="261" customFormat="1" ht="12.75">
      <c r="A355" s="1037"/>
      <c r="B355" s="1020"/>
      <c r="C355" s="301" t="s">
        <v>22</v>
      </c>
      <c r="D355" s="302">
        <f>D353+D354</f>
        <v>1992064</v>
      </c>
      <c r="E355" s="303">
        <f aca="true" t="shared" si="106" ref="E355:P355">E353+E354</f>
        <v>982064</v>
      </c>
      <c r="F355" s="303">
        <f t="shared" si="106"/>
        <v>982064</v>
      </c>
      <c r="G355" s="303">
        <f t="shared" si="106"/>
        <v>200379</v>
      </c>
      <c r="H355" s="303">
        <f t="shared" si="106"/>
        <v>781685</v>
      </c>
      <c r="I355" s="303">
        <f t="shared" si="106"/>
        <v>0</v>
      </c>
      <c r="J355" s="303">
        <f t="shared" si="106"/>
        <v>0</v>
      </c>
      <c r="K355" s="303">
        <f t="shared" si="106"/>
        <v>0</v>
      </c>
      <c r="L355" s="303">
        <f t="shared" si="106"/>
        <v>0</v>
      </c>
      <c r="M355" s="303">
        <f t="shared" si="106"/>
        <v>1010000</v>
      </c>
      <c r="N355" s="303">
        <f t="shared" si="106"/>
        <v>1010000</v>
      </c>
      <c r="O355" s="303">
        <f t="shared" si="106"/>
        <v>0</v>
      </c>
      <c r="P355" s="303">
        <f t="shared" si="106"/>
        <v>0</v>
      </c>
      <c r="Q355" s="278"/>
    </row>
    <row r="356" spans="1:17" s="261" customFormat="1" ht="12.75" hidden="1">
      <c r="A356" s="368"/>
      <c r="B356" s="310"/>
      <c r="C356" s="308"/>
      <c r="D356" s="302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278"/>
    </row>
    <row r="357" spans="1:17" s="261" customFormat="1" ht="12.75" hidden="1">
      <c r="A357" s="1035">
        <v>85325</v>
      </c>
      <c r="B357" s="1018" t="s">
        <v>378</v>
      </c>
      <c r="C357" s="301" t="s">
        <v>20</v>
      </c>
      <c r="D357" s="302">
        <f>E357+M357</f>
        <v>1188000</v>
      </c>
      <c r="E357" s="303">
        <f>F357+I357+J357+K357+L357</f>
        <v>1188000</v>
      </c>
      <c r="F357" s="303">
        <f>G357+H357</f>
        <v>1187000</v>
      </c>
      <c r="G357" s="303">
        <v>928000</v>
      </c>
      <c r="H357" s="303">
        <v>259000</v>
      </c>
      <c r="I357" s="303">
        <v>0</v>
      </c>
      <c r="J357" s="303">
        <v>1000</v>
      </c>
      <c r="K357" s="303">
        <v>0</v>
      </c>
      <c r="L357" s="303">
        <v>0</v>
      </c>
      <c r="M357" s="303">
        <f>N357+P357</f>
        <v>0</v>
      </c>
      <c r="N357" s="303">
        <v>0</v>
      </c>
      <c r="O357" s="303">
        <v>0</v>
      </c>
      <c r="P357" s="303">
        <v>0</v>
      </c>
      <c r="Q357" s="278"/>
    </row>
    <row r="358" spans="1:17" s="261" customFormat="1" ht="12.75" hidden="1">
      <c r="A358" s="1036"/>
      <c r="B358" s="1019"/>
      <c r="C358" s="301" t="s">
        <v>21</v>
      </c>
      <c r="D358" s="302">
        <f>E358+M358</f>
        <v>0</v>
      </c>
      <c r="E358" s="309">
        <f>F358+I358+J358+K358+L358</f>
        <v>0</v>
      </c>
      <c r="F358" s="309">
        <f>G358+H358</f>
        <v>0</v>
      </c>
      <c r="G358" s="309"/>
      <c r="H358" s="303"/>
      <c r="I358" s="303"/>
      <c r="J358" s="303"/>
      <c r="K358" s="303"/>
      <c r="L358" s="303"/>
      <c r="M358" s="303">
        <f>N358+P358</f>
        <v>0</v>
      </c>
      <c r="N358" s="303"/>
      <c r="O358" s="309"/>
      <c r="P358" s="309"/>
      <c r="Q358" s="278"/>
    </row>
    <row r="359" spans="1:17" s="261" customFormat="1" ht="12.75" hidden="1">
      <c r="A359" s="1037"/>
      <c r="B359" s="1020"/>
      <c r="C359" s="301" t="s">
        <v>22</v>
      </c>
      <c r="D359" s="302">
        <f>D357+D358</f>
        <v>1188000</v>
      </c>
      <c r="E359" s="303">
        <f aca="true" t="shared" si="107" ref="E359:P359">E357+E358</f>
        <v>1188000</v>
      </c>
      <c r="F359" s="303">
        <f t="shared" si="107"/>
        <v>1187000</v>
      </c>
      <c r="G359" s="303">
        <f t="shared" si="107"/>
        <v>928000</v>
      </c>
      <c r="H359" s="303">
        <f t="shared" si="107"/>
        <v>259000</v>
      </c>
      <c r="I359" s="303">
        <f t="shared" si="107"/>
        <v>0</v>
      </c>
      <c r="J359" s="303">
        <f t="shared" si="107"/>
        <v>1000</v>
      </c>
      <c r="K359" s="303">
        <f t="shared" si="107"/>
        <v>0</v>
      </c>
      <c r="L359" s="303">
        <f t="shared" si="107"/>
        <v>0</v>
      </c>
      <c r="M359" s="303">
        <f t="shared" si="107"/>
        <v>0</v>
      </c>
      <c r="N359" s="303">
        <f t="shared" si="107"/>
        <v>0</v>
      </c>
      <c r="O359" s="303">
        <f t="shared" si="107"/>
        <v>0</v>
      </c>
      <c r="P359" s="303">
        <f t="shared" si="107"/>
        <v>0</v>
      </c>
      <c r="Q359" s="278"/>
    </row>
    <row r="360" spans="1:17" s="261" customFormat="1" ht="12.75" hidden="1">
      <c r="A360" s="368"/>
      <c r="B360" s="307"/>
      <c r="C360" s="308"/>
      <c r="D360" s="302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278"/>
    </row>
    <row r="361" spans="1:17" s="261" customFormat="1" ht="12.75" hidden="1">
      <c r="A361" s="1035">
        <v>85332</v>
      </c>
      <c r="B361" s="1018" t="s">
        <v>233</v>
      </c>
      <c r="C361" s="301" t="s">
        <v>20</v>
      </c>
      <c r="D361" s="302">
        <f>E361+M361</f>
        <v>12695087</v>
      </c>
      <c r="E361" s="303">
        <f>F361+I361+J361+K361+L361</f>
        <v>12488351</v>
      </c>
      <c r="F361" s="303">
        <f>G361+H361</f>
        <v>8038347</v>
      </c>
      <c r="G361" s="303">
        <v>6649441</v>
      </c>
      <c r="H361" s="303">
        <v>1388906</v>
      </c>
      <c r="I361" s="303">
        <v>0</v>
      </c>
      <c r="J361" s="303">
        <v>10000</v>
      </c>
      <c r="K361" s="303">
        <v>4440004</v>
      </c>
      <c r="L361" s="303">
        <v>0</v>
      </c>
      <c r="M361" s="303">
        <f>N361+P361</f>
        <v>206736</v>
      </c>
      <c r="N361" s="303">
        <v>206736</v>
      </c>
      <c r="O361" s="303">
        <v>126736</v>
      </c>
      <c r="P361" s="303">
        <v>0</v>
      </c>
      <c r="Q361" s="278"/>
    </row>
    <row r="362" spans="1:17" s="261" customFormat="1" ht="12.75" hidden="1">
      <c r="A362" s="1036"/>
      <c r="B362" s="1019"/>
      <c r="C362" s="301" t="s">
        <v>21</v>
      </c>
      <c r="D362" s="302">
        <f>E362+M362</f>
        <v>0</v>
      </c>
      <c r="E362" s="309">
        <f>F362+I362+J362+K362+L362</f>
        <v>0</v>
      </c>
      <c r="F362" s="309">
        <f>G362+H362</f>
        <v>0</v>
      </c>
      <c r="G362" s="309"/>
      <c r="H362" s="303"/>
      <c r="I362" s="303"/>
      <c r="J362" s="303"/>
      <c r="K362" s="303"/>
      <c r="L362" s="303"/>
      <c r="M362" s="303">
        <f>N362+P362</f>
        <v>0</v>
      </c>
      <c r="N362" s="303"/>
      <c r="O362" s="309"/>
      <c r="P362" s="309"/>
      <c r="Q362" s="278"/>
    </row>
    <row r="363" spans="1:17" s="261" customFormat="1" ht="12.75" hidden="1">
      <c r="A363" s="1037"/>
      <c r="B363" s="1020"/>
      <c r="C363" s="301" t="s">
        <v>22</v>
      </c>
      <c r="D363" s="302">
        <f>D361+D362</f>
        <v>12695087</v>
      </c>
      <c r="E363" s="303">
        <f aca="true" t="shared" si="108" ref="E363:P363">E361+E362</f>
        <v>12488351</v>
      </c>
      <c r="F363" s="303">
        <f t="shared" si="108"/>
        <v>8038347</v>
      </c>
      <c r="G363" s="303">
        <f t="shared" si="108"/>
        <v>6649441</v>
      </c>
      <c r="H363" s="303">
        <f t="shared" si="108"/>
        <v>1388906</v>
      </c>
      <c r="I363" s="303">
        <f t="shared" si="108"/>
        <v>0</v>
      </c>
      <c r="J363" s="303">
        <f t="shared" si="108"/>
        <v>10000</v>
      </c>
      <c r="K363" s="303">
        <f t="shared" si="108"/>
        <v>4440004</v>
      </c>
      <c r="L363" s="303">
        <f t="shared" si="108"/>
        <v>0</v>
      </c>
      <c r="M363" s="303">
        <f t="shared" si="108"/>
        <v>206736</v>
      </c>
      <c r="N363" s="303">
        <f t="shared" si="108"/>
        <v>206736</v>
      </c>
      <c r="O363" s="303">
        <f t="shared" si="108"/>
        <v>126736</v>
      </c>
      <c r="P363" s="303">
        <f t="shared" si="108"/>
        <v>0</v>
      </c>
      <c r="Q363" s="278"/>
    </row>
    <row r="364" spans="1:17" s="261" customFormat="1" ht="12.75" hidden="1">
      <c r="A364" s="368"/>
      <c r="B364" s="307"/>
      <c r="C364" s="308"/>
      <c r="D364" s="302"/>
      <c r="E364" s="303"/>
      <c r="F364" s="303"/>
      <c r="G364" s="303"/>
      <c r="H364" s="303"/>
      <c r="I364" s="303"/>
      <c r="J364" s="303"/>
      <c r="K364" s="303"/>
      <c r="L364" s="303"/>
      <c r="M364" s="303"/>
      <c r="N364" s="303"/>
      <c r="O364" s="303"/>
      <c r="P364" s="303"/>
      <c r="Q364" s="278"/>
    </row>
    <row r="365" spans="1:17" s="261" customFormat="1" ht="12.75" hidden="1">
      <c r="A365" s="1035">
        <v>85395</v>
      </c>
      <c r="B365" s="1018" t="s">
        <v>210</v>
      </c>
      <c r="C365" s="301" t="s">
        <v>20</v>
      </c>
      <c r="D365" s="302">
        <f>E365+M365</f>
        <v>2859819</v>
      </c>
      <c r="E365" s="303">
        <f>F365+I365+J365+K365+L365</f>
        <v>2859819</v>
      </c>
      <c r="F365" s="303">
        <f>G365+H365</f>
        <v>113000</v>
      </c>
      <c r="G365" s="303">
        <v>10000</v>
      </c>
      <c r="H365" s="303">
        <f>10000+6200+11000+75800</f>
        <v>103000</v>
      </c>
      <c r="I365" s="303">
        <v>350000</v>
      </c>
      <c r="J365" s="303">
        <v>0</v>
      </c>
      <c r="K365" s="303">
        <v>2396819</v>
      </c>
      <c r="L365" s="303">
        <v>0</v>
      </c>
      <c r="M365" s="303">
        <f>N365+P365</f>
        <v>0</v>
      </c>
      <c r="N365" s="303">
        <v>0</v>
      </c>
      <c r="O365" s="303">
        <v>0</v>
      </c>
      <c r="P365" s="303">
        <v>0</v>
      </c>
      <c r="Q365" s="278"/>
    </row>
    <row r="366" spans="1:17" s="261" customFormat="1" ht="12.75" hidden="1">
      <c r="A366" s="1036"/>
      <c r="B366" s="1019"/>
      <c r="C366" s="301" t="s">
        <v>21</v>
      </c>
      <c r="D366" s="302">
        <f>E366+M366</f>
        <v>0</v>
      </c>
      <c r="E366" s="303">
        <f>F366+I366+J366+K366+L366</f>
        <v>0</v>
      </c>
      <c r="F366" s="303">
        <f>G366+H366</f>
        <v>0</v>
      </c>
      <c r="G366" s="311"/>
      <c r="H366" s="311"/>
      <c r="I366" s="311"/>
      <c r="J366" s="311"/>
      <c r="K366" s="311"/>
      <c r="L366" s="311"/>
      <c r="M366" s="303">
        <f>N366+P366</f>
        <v>0</v>
      </c>
      <c r="N366" s="311"/>
      <c r="O366" s="311"/>
      <c r="P366" s="311"/>
      <c r="Q366" s="278"/>
    </row>
    <row r="367" spans="1:17" s="261" customFormat="1" ht="12.75" hidden="1">
      <c r="A367" s="1037"/>
      <c r="B367" s="1020"/>
      <c r="C367" s="301" t="s">
        <v>22</v>
      </c>
      <c r="D367" s="312">
        <f>D365+D366</f>
        <v>2859819</v>
      </c>
      <c r="E367" s="311">
        <f aca="true" t="shared" si="109" ref="E367:P367">E365+E366</f>
        <v>2859819</v>
      </c>
      <c r="F367" s="311">
        <f t="shared" si="109"/>
        <v>113000</v>
      </c>
      <c r="G367" s="311">
        <f t="shared" si="109"/>
        <v>10000</v>
      </c>
      <c r="H367" s="311">
        <f t="shared" si="109"/>
        <v>103000</v>
      </c>
      <c r="I367" s="311">
        <f t="shared" si="109"/>
        <v>350000</v>
      </c>
      <c r="J367" s="311">
        <f t="shared" si="109"/>
        <v>0</v>
      </c>
      <c r="K367" s="311">
        <f t="shared" si="109"/>
        <v>2396819</v>
      </c>
      <c r="L367" s="311">
        <f t="shared" si="109"/>
        <v>0</v>
      </c>
      <c r="M367" s="311">
        <f t="shared" si="109"/>
        <v>0</v>
      </c>
      <c r="N367" s="311">
        <f t="shared" si="109"/>
        <v>0</v>
      </c>
      <c r="O367" s="311">
        <f t="shared" si="109"/>
        <v>0</v>
      </c>
      <c r="P367" s="311">
        <f t="shared" si="109"/>
        <v>0</v>
      </c>
      <c r="Q367" s="278"/>
    </row>
    <row r="368" spans="1:17" s="261" customFormat="1" ht="6" customHeight="1" thickBot="1">
      <c r="A368" s="367"/>
      <c r="B368" s="313"/>
      <c r="C368" s="301"/>
      <c r="D368" s="312"/>
      <c r="E368" s="314"/>
      <c r="F368" s="314"/>
      <c r="G368" s="314"/>
      <c r="H368" s="311"/>
      <c r="I368" s="311"/>
      <c r="J368" s="311"/>
      <c r="K368" s="311"/>
      <c r="L368" s="311"/>
      <c r="M368" s="311"/>
      <c r="N368" s="311"/>
      <c r="O368" s="314"/>
      <c r="P368" s="314"/>
      <c r="Q368" s="278"/>
    </row>
    <row r="369" spans="1:17" s="336" customFormat="1" ht="15.75" customHeight="1">
      <c r="A369" s="1038">
        <v>854</v>
      </c>
      <c r="B369" s="1012" t="s">
        <v>379</v>
      </c>
      <c r="C369" s="279" t="s">
        <v>20</v>
      </c>
      <c r="D369" s="280">
        <f>D373+D381+D385+D389+D397+D401+D377+D393</f>
        <v>29697953</v>
      </c>
      <c r="E369" s="281">
        <f>E373+E381+E385+E389+E397+E401+E377+E393</f>
        <v>28138550</v>
      </c>
      <c r="F369" s="281">
        <f aca="true" t="shared" si="110" ref="F369:P370">F373+F381+F385+F389+F397+F401+F377+F393</f>
        <v>23085053</v>
      </c>
      <c r="G369" s="281">
        <f t="shared" si="110"/>
        <v>19717702</v>
      </c>
      <c r="H369" s="281">
        <f t="shared" si="110"/>
        <v>3367351</v>
      </c>
      <c r="I369" s="281">
        <f t="shared" si="110"/>
        <v>216000</v>
      </c>
      <c r="J369" s="281">
        <f t="shared" si="110"/>
        <v>54451</v>
      </c>
      <c r="K369" s="281">
        <f t="shared" si="110"/>
        <v>4783046</v>
      </c>
      <c r="L369" s="281">
        <f t="shared" si="110"/>
        <v>0</v>
      </c>
      <c r="M369" s="281">
        <f t="shared" si="110"/>
        <v>1559403</v>
      </c>
      <c r="N369" s="281">
        <f t="shared" si="110"/>
        <v>1559403</v>
      </c>
      <c r="O369" s="281">
        <f t="shared" si="110"/>
        <v>1073633</v>
      </c>
      <c r="P369" s="282">
        <f t="shared" si="110"/>
        <v>0</v>
      </c>
      <c r="Q369" s="335"/>
    </row>
    <row r="370" spans="1:17" s="336" customFormat="1" ht="15.75" customHeight="1">
      <c r="A370" s="1039"/>
      <c r="B370" s="1013"/>
      <c r="C370" s="286" t="s">
        <v>21</v>
      </c>
      <c r="D370" s="287">
        <f>D374+D382+D386+D390+D398+D402+D378+D394</f>
        <v>215000</v>
      </c>
      <c r="E370" s="288">
        <f>E374+E382+E386+E390+E398+E402+E378+E394</f>
        <v>0</v>
      </c>
      <c r="F370" s="288">
        <f t="shared" si="110"/>
        <v>0</v>
      </c>
      <c r="G370" s="288">
        <f t="shared" si="110"/>
        <v>0</v>
      </c>
      <c r="H370" s="288">
        <f t="shared" si="110"/>
        <v>0</v>
      </c>
      <c r="I370" s="288">
        <f t="shared" si="110"/>
        <v>0</v>
      </c>
      <c r="J370" s="288">
        <f t="shared" si="110"/>
        <v>0</v>
      </c>
      <c r="K370" s="288">
        <f t="shared" si="110"/>
        <v>0</v>
      </c>
      <c r="L370" s="288">
        <f t="shared" si="110"/>
        <v>0</v>
      </c>
      <c r="M370" s="288">
        <f t="shared" si="110"/>
        <v>215000</v>
      </c>
      <c r="N370" s="288">
        <f t="shared" si="110"/>
        <v>215000</v>
      </c>
      <c r="O370" s="288">
        <f t="shared" si="110"/>
        <v>0</v>
      </c>
      <c r="P370" s="289">
        <f t="shared" si="110"/>
        <v>0</v>
      </c>
      <c r="Q370" s="335"/>
    </row>
    <row r="371" spans="1:17" s="336" customFormat="1" ht="15.75" customHeight="1" thickBot="1">
      <c r="A371" s="1040"/>
      <c r="B371" s="1014"/>
      <c r="C371" s="290" t="s">
        <v>22</v>
      </c>
      <c r="D371" s="291">
        <f>D369+D370</f>
        <v>29912953</v>
      </c>
      <c r="E371" s="292">
        <f aca="true" t="shared" si="111" ref="E371:O371">E369+E370</f>
        <v>28138550</v>
      </c>
      <c r="F371" s="292">
        <f t="shared" si="111"/>
        <v>23085053</v>
      </c>
      <c r="G371" s="292">
        <f t="shared" si="111"/>
        <v>19717702</v>
      </c>
      <c r="H371" s="292">
        <f t="shared" si="111"/>
        <v>3367351</v>
      </c>
      <c r="I371" s="292">
        <f t="shared" si="111"/>
        <v>216000</v>
      </c>
      <c r="J371" s="292">
        <f t="shared" si="111"/>
        <v>54451</v>
      </c>
      <c r="K371" s="292">
        <f t="shared" si="111"/>
        <v>4783046</v>
      </c>
      <c r="L371" s="292">
        <f t="shared" si="111"/>
        <v>0</v>
      </c>
      <c r="M371" s="292">
        <f t="shared" si="111"/>
        <v>1774403</v>
      </c>
      <c r="N371" s="292">
        <f t="shared" si="111"/>
        <v>1774403</v>
      </c>
      <c r="O371" s="292">
        <f t="shared" si="111"/>
        <v>1073633</v>
      </c>
      <c r="P371" s="293">
        <f>P369+P370</f>
        <v>0</v>
      </c>
      <c r="Q371" s="335"/>
    </row>
    <row r="372" spans="1:17" s="336" customFormat="1" ht="6" customHeight="1">
      <c r="A372" s="373"/>
      <c r="B372" s="329"/>
      <c r="C372" s="330"/>
      <c r="D372" s="331"/>
      <c r="E372" s="333"/>
      <c r="F372" s="333"/>
      <c r="G372" s="333"/>
      <c r="H372" s="333"/>
      <c r="I372" s="333"/>
      <c r="J372" s="333"/>
      <c r="K372" s="333"/>
      <c r="L372" s="333"/>
      <c r="M372" s="333"/>
      <c r="N372" s="333"/>
      <c r="O372" s="333"/>
      <c r="P372" s="344"/>
      <c r="Q372" s="335"/>
    </row>
    <row r="373" spans="1:17" s="261" customFormat="1" ht="12.75">
      <c r="A373" s="1035">
        <v>85403</v>
      </c>
      <c r="B373" s="1018" t="s">
        <v>380</v>
      </c>
      <c r="C373" s="301" t="s">
        <v>20</v>
      </c>
      <c r="D373" s="302">
        <f>E373+M373</f>
        <v>18588089</v>
      </c>
      <c r="E373" s="303">
        <f>F373+I373+J373+K373+L373</f>
        <v>17028686</v>
      </c>
      <c r="F373" s="303">
        <f>G373+H373</f>
        <v>16606780</v>
      </c>
      <c r="G373" s="303">
        <v>14110762</v>
      </c>
      <c r="H373" s="303">
        <f>90800+501000+14500+395000+669624+8300+307000+16200+1000+2900+30000+451094+100+1500+7000</f>
        <v>2496018</v>
      </c>
      <c r="I373" s="303">
        <v>0</v>
      </c>
      <c r="J373" s="303">
        <v>8000</v>
      </c>
      <c r="K373" s="303">
        <v>413906</v>
      </c>
      <c r="L373" s="303">
        <v>0</v>
      </c>
      <c r="M373" s="303">
        <f>N373+P373</f>
        <v>1559403</v>
      </c>
      <c r="N373" s="303">
        <v>1559403</v>
      </c>
      <c r="O373" s="303">
        <v>1073633</v>
      </c>
      <c r="P373" s="303">
        <v>0</v>
      </c>
      <c r="Q373" s="278"/>
    </row>
    <row r="374" spans="1:17" s="261" customFormat="1" ht="12.75">
      <c r="A374" s="1036"/>
      <c r="B374" s="1019"/>
      <c r="C374" s="301" t="s">
        <v>21</v>
      </c>
      <c r="D374" s="302">
        <f>E374+M374</f>
        <v>15000</v>
      </c>
      <c r="E374" s="303">
        <f>F374+I374+J374+K374+L374</f>
        <v>0</v>
      </c>
      <c r="F374" s="303">
        <f>G374+H374</f>
        <v>0</v>
      </c>
      <c r="G374" s="303"/>
      <c r="H374" s="303"/>
      <c r="I374" s="303"/>
      <c r="J374" s="303"/>
      <c r="K374" s="303"/>
      <c r="L374" s="303"/>
      <c r="M374" s="303">
        <f>N374+P374</f>
        <v>15000</v>
      </c>
      <c r="N374" s="303">
        <v>15000</v>
      </c>
      <c r="O374" s="303"/>
      <c r="P374" s="303"/>
      <c r="Q374" s="278"/>
    </row>
    <row r="375" spans="1:17" s="261" customFormat="1" ht="12.75">
      <c r="A375" s="1037"/>
      <c r="B375" s="1020"/>
      <c r="C375" s="301" t="s">
        <v>22</v>
      </c>
      <c r="D375" s="302">
        <f>D373+D374</f>
        <v>18603089</v>
      </c>
      <c r="E375" s="303">
        <f aca="true" t="shared" si="112" ref="E375:P375">E373+E374</f>
        <v>17028686</v>
      </c>
      <c r="F375" s="303">
        <f t="shared" si="112"/>
        <v>16606780</v>
      </c>
      <c r="G375" s="303">
        <f t="shared" si="112"/>
        <v>14110762</v>
      </c>
      <c r="H375" s="303">
        <f t="shared" si="112"/>
        <v>2496018</v>
      </c>
      <c r="I375" s="303">
        <f t="shared" si="112"/>
        <v>0</v>
      </c>
      <c r="J375" s="303">
        <f t="shared" si="112"/>
        <v>8000</v>
      </c>
      <c r="K375" s="303">
        <f t="shared" si="112"/>
        <v>413906</v>
      </c>
      <c r="L375" s="303">
        <f t="shared" si="112"/>
        <v>0</v>
      </c>
      <c r="M375" s="303">
        <f t="shared" si="112"/>
        <v>1574403</v>
      </c>
      <c r="N375" s="303">
        <f t="shared" si="112"/>
        <v>1574403</v>
      </c>
      <c r="O375" s="303">
        <f t="shared" si="112"/>
        <v>1073633</v>
      </c>
      <c r="P375" s="303">
        <f t="shared" si="112"/>
        <v>0</v>
      </c>
      <c r="Q375" s="278"/>
    </row>
    <row r="376" spans="1:17" s="261" customFormat="1" ht="12.75" hidden="1">
      <c r="A376" s="368"/>
      <c r="B376" s="310"/>
      <c r="C376" s="308"/>
      <c r="D376" s="302"/>
      <c r="E376" s="303"/>
      <c r="F376" s="303"/>
      <c r="G376" s="303"/>
      <c r="H376" s="303"/>
      <c r="I376" s="303"/>
      <c r="J376" s="303"/>
      <c r="K376" s="303"/>
      <c r="L376" s="303"/>
      <c r="M376" s="303"/>
      <c r="N376" s="303"/>
      <c r="O376" s="303"/>
      <c r="P376" s="303"/>
      <c r="Q376" s="278"/>
    </row>
    <row r="377" spans="1:17" s="261" customFormat="1" ht="12.75" hidden="1">
      <c r="A377" s="1035">
        <v>85404</v>
      </c>
      <c r="B377" s="1018" t="s">
        <v>381</v>
      </c>
      <c r="C377" s="301" t="s">
        <v>20</v>
      </c>
      <c r="D377" s="302">
        <f>E377+M377</f>
        <v>1335407</v>
      </c>
      <c r="E377" s="309">
        <f>F377+I377+J377+K377+L377</f>
        <v>1335407</v>
      </c>
      <c r="F377" s="309">
        <f>G377+H377</f>
        <v>1335407</v>
      </c>
      <c r="G377" s="309">
        <v>1253807</v>
      </c>
      <c r="H377" s="303">
        <v>81600</v>
      </c>
      <c r="I377" s="303">
        <v>0</v>
      </c>
      <c r="J377" s="303">
        <v>0</v>
      </c>
      <c r="K377" s="303">
        <v>0</v>
      </c>
      <c r="L377" s="303">
        <v>0</v>
      </c>
      <c r="M377" s="303">
        <f>N377+P377</f>
        <v>0</v>
      </c>
      <c r="N377" s="303">
        <v>0</v>
      </c>
      <c r="O377" s="309">
        <v>0</v>
      </c>
      <c r="P377" s="309">
        <v>0</v>
      </c>
      <c r="Q377" s="278"/>
    </row>
    <row r="378" spans="1:17" s="261" customFormat="1" ht="12.75" hidden="1">
      <c r="A378" s="1036"/>
      <c r="B378" s="1019"/>
      <c r="C378" s="301" t="s">
        <v>21</v>
      </c>
      <c r="D378" s="302">
        <f>E378+M378</f>
        <v>0</v>
      </c>
      <c r="E378" s="303">
        <f>F378+I378+J378+K378+L378</f>
        <v>0</v>
      </c>
      <c r="F378" s="303">
        <f>G378+H378</f>
        <v>0</v>
      </c>
      <c r="G378" s="303"/>
      <c r="H378" s="303"/>
      <c r="I378" s="303"/>
      <c r="J378" s="303"/>
      <c r="K378" s="303"/>
      <c r="L378" s="303"/>
      <c r="M378" s="303">
        <f>N378+P378</f>
        <v>0</v>
      </c>
      <c r="N378" s="303"/>
      <c r="O378" s="303"/>
      <c r="P378" s="303"/>
      <c r="Q378" s="278"/>
    </row>
    <row r="379" spans="1:17" s="261" customFormat="1" ht="12.75" hidden="1">
      <c r="A379" s="1037"/>
      <c r="B379" s="1020"/>
      <c r="C379" s="301" t="s">
        <v>22</v>
      </c>
      <c r="D379" s="302">
        <f>D377+D378</f>
        <v>1335407</v>
      </c>
      <c r="E379" s="303">
        <f aca="true" t="shared" si="113" ref="E379:P379">E377+E378</f>
        <v>1335407</v>
      </c>
      <c r="F379" s="303">
        <f t="shared" si="113"/>
        <v>1335407</v>
      </c>
      <c r="G379" s="303">
        <f t="shared" si="113"/>
        <v>1253807</v>
      </c>
      <c r="H379" s="303">
        <f t="shared" si="113"/>
        <v>81600</v>
      </c>
      <c r="I379" s="303">
        <f t="shared" si="113"/>
        <v>0</v>
      </c>
      <c r="J379" s="303">
        <f t="shared" si="113"/>
        <v>0</v>
      </c>
      <c r="K379" s="303">
        <f t="shared" si="113"/>
        <v>0</v>
      </c>
      <c r="L379" s="303">
        <f t="shared" si="113"/>
        <v>0</v>
      </c>
      <c r="M379" s="303">
        <f t="shared" si="113"/>
        <v>0</v>
      </c>
      <c r="N379" s="303">
        <f t="shared" si="113"/>
        <v>0</v>
      </c>
      <c r="O379" s="303">
        <f t="shared" si="113"/>
        <v>0</v>
      </c>
      <c r="P379" s="303">
        <f t="shared" si="113"/>
        <v>0</v>
      </c>
      <c r="Q379" s="278"/>
    </row>
    <row r="380" spans="1:17" s="261" customFormat="1" ht="12.75" hidden="1">
      <c r="A380" s="368"/>
      <c r="B380" s="307"/>
      <c r="C380" s="308"/>
      <c r="D380" s="302"/>
      <c r="E380" s="303"/>
      <c r="F380" s="303"/>
      <c r="G380" s="303"/>
      <c r="H380" s="303"/>
      <c r="I380" s="303"/>
      <c r="J380" s="303"/>
      <c r="K380" s="303"/>
      <c r="L380" s="303"/>
      <c r="M380" s="303"/>
      <c r="N380" s="303"/>
      <c r="O380" s="303"/>
      <c r="P380" s="303"/>
      <c r="Q380" s="278"/>
    </row>
    <row r="381" spans="1:17" s="261" customFormat="1" ht="12.75" hidden="1">
      <c r="A381" s="1035">
        <v>85407</v>
      </c>
      <c r="B381" s="1018" t="s">
        <v>382</v>
      </c>
      <c r="C381" s="301" t="s">
        <v>20</v>
      </c>
      <c r="D381" s="302">
        <f>E381+M381</f>
        <v>3528811</v>
      </c>
      <c r="E381" s="303">
        <f>F381+I381+J381+K381+L381</f>
        <v>3528811</v>
      </c>
      <c r="F381" s="303">
        <f>G381+H381</f>
        <v>3519360</v>
      </c>
      <c r="G381" s="303">
        <v>3372322</v>
      </c>
      <c r="H381" s="303">
        <v>147038</v>
      </c>
      <c r="I381" s="303">
        <v>0</v>
      </c>
      <c r="J381" s="303">
        <v>9451</v>
      </c>
      <c r="K381" s="303">
        <v>0</v>
      </c>
      <c r="L381" s="303">
        <v>0</v>
      </c>
      <c r="M381" s="303">
        <f>N381+P381</f>
        <v>0</v>
      </c>
      <c r="N381" s="303">
        <v>0</v>
      </c>
      <c r="O381" s="303">
        <v>0</v>
      </c>
      <c r="P381" s="303">
        <v>0</v>
      </c>
      <c r="Q381" s="278"/>
    </row>
    <row r="382" spans="1:17" s="261" customFormat="1" ht="12.75" hidden="1">
      <c r="A382" s="1036"/>
      <c r="B382" s="1019"/>
      <c r="C382" s="301" t="s">
        <v>21</v>
      </c>
      <c r="D382" s="302">
        <f>E382+M382</f>
        <v>0</v>
      </c>
      <c r="E382" s="303">
        <f>F382+I382+J382+K382+L382</f>
        <v>0</v>
      </c>
      <c r="F382" s="303">
        <f>G382+H382</f>
        <v>0</v>
      </c>
      <c r="G382" s="303"/>
      <c r="H382" s="303"/>
      <c r="I382" s="303"/>
      <c r="J382" s="303"/>
      <c r="K382" s="303"/>
      <c r="L382" s="303"/>
      <c r="M382" s="303">
        <f>N382+P382</f>
        <v>0</v>
      </c>
      <c r="N382" s="303"/>
      <c r="O382" s="303"/>
      <c r="P382" s="303"/>
      <c r="Q382" s="278"/>
    </row>
    <row r="383" spans="1:17" s="261" customFormat="1" ht="12.75" hidden="1">
      <c r="A383" s="1037"/>
      <c r="B383" s="1020"/>
      <c r="C383" s="301" t="s">
        <v>22</v>
      </c>
      <c r="D383" s="302">
        <f>D381+D382</f>
        <v>3528811</v>
      </c>
      <c r="E383" s="303">
        <f aca="true" t="shared" si="114" ref="E383:P383">E381+E382</f>
        <v>3528811</v>
      </c>
      <c r="F383" s="303">
        <f t="shared" si="114"/>
        <v>3519360</v>
      </c>
      <c r="G383" s="303">
        <f t="shared" si="114"/>
        <v>3372322</v>
      </c>
      <c r="H383" s="303">
        <f t="shared" si="114"/>
        <v>147038</v>
      </c>
      <c r="I383" s="303">
        <f t="shared" si="114"/>
        <v>0</v>
      </c>
      <c r="J383" s="303">
        <f t="shared" si="114"/>
        <v>9451</v>
      </c>
      <c r="K383" s="303">
        <f t="shared" si="114"/>
        <v>0</v>
      </c>
      <c r="L383" s="303">
        <f t="shared" si="114"/>
        <v>0</v>
      </c>
      <c r="M383" s="303">
        <f t="shared" si="114"/>
        <v>0</v>
      </c>
      <c r="N383" s="303">
        <f t="shared" si="114"/>
        <v>0</v>
      </c>
      <c r="O383" s="303">
        <f t="shared" si="114"/>
        <v>0</v>
      </c>
      <c r="P383" s="303">
        <f t="shared" si="114"/>
        <v>0</v>
      </c>
      <c r="Q383" s="278"/>
    </row>
    <row r="384" spans="1:17" s="261" customFormat="1" ht="12.75" hidden="1">
      <c r="A384" s="368"/>
      <c r="B384" s="307"/>
      <c r="C384" s="308"/>
      <c r="D384" s="302"/>
      <c r="E384" s="303"/>
      <c r="F384" s="303"/>
      <c r="G384" s="303"/>
      <c r="H384" s="303"/>
      <c r="I384" s="303"/>
      <c r="J384" s="303"/>
      <c r="K384" s="303"/>
      <c r="L384" s="303"/>
      <c r="M384" s="303"/>
      <c r="N384" s="303"/>
      <c r="O384" s="303"/>
      <c r="P384" s="303"/>
      <c r="Q384" s="278"/>
    </row>
    <row r="385" spans="1:17" s="261" customFormat="1" ht="12.75" hidden="1">
      <c r="A385" s="1035">
        <v>85410</v>
      </c>
      <c r="B385" s="1018" t="s">
        <v>383</v>
      </c>
      <c r="C385" s="308" t="s">
        <v>20</v>
      </c>
      <c r="D385" s="302">
        <f>E385+M385</f>
        <v>1259762</v>
      </c>
      <c r="E385" s="303">
        <f>F385+I385+J385+K385+L385</f>
        <v>1259762</v>
      </c>
      <c r="F385" s="303">
        <f>G385+H385</f>
        <v>1257762</v>
      </c>
      <c r="G385" s="303">
        <v>980811</v>
      </c>
      <c r="H385" s="303">
        <v>276951</v>
      </c>
      <c r="I385" s="303">
        <v>0</v>
      </c>
      <c r="J385" s="303">
        <v>2000</v>
      </c>
      <c r="K385" s="303">
        <v>0</v>
      </c>
      <c r="L385" s="303">
        <v>0</v>
      </c>
      <c r="M385" s="303">
        <f>N385+P385</f>
        <v>0</v>
      </c>
      <c r="N385" s="303">
        <v>0</v>
      </c>
      <c r="O385" s="303">
        <v>0</v>
      </c>
      <c r="P385" s="303">
        <v>0</v>
      </c>
      <c r="Q385" s="278"/>
    </row>
    <row r="386" spans="1:17" s="261" customFormat="1" ht="12.75" hidden="1">
      <c r="A386" s="1036"/>
      <c r="B386" s="1019"/>
      <c r="C386" s="308" t="s">
        <v>21</v>
      </c>
      <c r="D386" s="302">
        <f>E386+M386</f>
        <v>0</v>
      </c>
      <c r="E386" s="303">
        <f>F386+I386+J386+K386+L386</f>
        <v>0</v>
      </c>
      <c r="F386" s="303">
        <f>G386+H386</f>
        <v>0</v>
      </c>
      <c r="G386" s="303"/>
      <c r="H386" s="303"/>
      <c r="I386" s="303"/>
      <c r="J386" s="303"/>
      <c r="K386" s="303"/>
      <c r="L386" s="303"/>
      <c r="M386" s="303">
        <f>N386+P386</f>
        <v>0</v>
      </c>
      <c r="N386" s="303"/>
      <c r="O386" s="303"/>
      <c r="P386" s="303"/>
      <c r="Q386" s="278"/>
    </row>
    <row r="387" spans="1:17" s="261" customFormat="1" ht="12.75" hidden="1">
      <c r="A387" s="1037"/>
      <c r="B387" s="1020"/>
      <c r="C387" s="308" t="s">
        <v>22</v>
      </c>
      <c r="D387" s="302">
        <f>D385+D386</f>
        <v>1259762</v>
      </c>
      <c r="E387" s="303">
        <f aca="true" t="shared" si="115" ref="E387:P387">E385+E386</f>
        <v>1259762</v>
      </c>
      <c r="F387" s="303">
        <f t="shared" si="115"/>
        <v>1257762</v>
      </c>
      <c r="G387" s="303">
        <f t="shared" si="115"/>
        <v>980811</v>
      </c>
      <c r="H387" s="303">
        <f t="shared" si="115"/>
        <v>276951</v>
      </c>
      <c r="I387" s="303">
        <f t="shared" si="115"/>
        <v>0</v>
      </c>
      <c r="J387" s="303">
        <f t="shared" si="115"/>
        <v>2000</v>
      </c>
      <c r="K387" s="303">
        <f t="shared" si="115"/>
        <v>0</v>
      </c>
      <c r="L387" s="303">
        <f t="shared" si="115"/>
        <v>0</v>
      </c>
      <c r="M387" s="303">
        <f t="shared" si="115"/>
        <v>0</v>
      </c>
      <c r="N387" s="303">
        <f t="shared" si="115"/>
        <v>0</v>
      </c>
      <c r="O387" s="303">
        <f t="shared" si="115"/>
        <v>0</v>
      </c>
      <c r="P387" s="303">
        <f t="shared" si="115"/>
        <v>0</v>
      </c>
      <c r="Q387" s="278"/>
    </row>
    <row r="388" spans="1:17" s="261" customFormat="1" ht="12.75" hidden="1">
      <c r="A388" s="368"/>
      <c r="B388" s="307"/>
      <c r="C388" s="308"/>
      <c r="D388" s="302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  <c r="O388" s="303"/>
      <c r="P388" s="303"/>
      <c r="Q388" s="278"/>
    </row>
    <row r="389" spans="1:17" s="261" customFormat="1" ht="12.75" hidden="1">
      <c r="A389" s="1035">
        <v>85415</v>
      </c>
      <c r="B389" s="1018" t="s">
        <v>384</v>
      </c>
      <c r="C389" s="301" t="s">
        <v>20</v>
      </c>
      <c r="D389" s="302">
        <f>E389+M389</f>
        <v>216000</v>
      </c>
      <c r="E389" s="303">
        <f>F389+I389+J389+K389+L389</f>
        <v>216000</v>
      </c>
      <c r="F389" s="303">
        <f>G389+H389</f>
        <v>0</v>
      </c>
      <c r="G389" s="303">
        <v>0</v>
      </c>
      <c r="H389" s="303">
        <v>0</v>
      </c>
      <c r="I389" s="303">
        <v>216000</v>
      </c>
      <c r="J389" s="303">
        <v>0</v>
      </c>
      <c r="K389" s="303">
        <v>0</v>
      </c>
      <c r="L389" s="303">
        <v>0</v>
      </c>
      <c r="M389" s="303">
        <f>N389+P389</f>
        <v>0</v>
      </c>
      <c r="N389" s="303">
        <v>0</v>
      </c>
      <c r="O389" s="303">
        <v>0</v>
      </c>
      <c r="P389" s="303">
        <v>0</v>
      </c>
      <c r="Q389" s="278"/>
    </row>
    <row r="390" spans="1:17" s="261" customFormat="1" ht="12.75" hidden="1">
      <c r="A390" s="1036"/>
      <c r="B390" s="1019"/>
      <c r="C390" s="301" t="s">
        <v>21</v>
      </c>
      <c r="D390" s="302">
        <f>E390+M390</f>
        <v>0</v>
      </c>
      <c r="E390" s="303">
        <f>F390+I390+J390+K390+L390</f>
        <v>0</v>
      </c>
      <c r="F390" s="303">
        <f>G390+H390</f>
        <v>0</v>
      </c>
      <c r="G390" s="303"/>
      <c r="H390" s="303"/>
      <c r="I390" s="303"/>
      <c r="J390" s="303"/>
      <c r="K390" s="303"/>
      <c r="L390" s="303"/>
      <c r="M390" s="303">
        <f>N390+P390</f>
        <v>0</v>
      </c>
      <c r="N390" s="303"/>
      <c r="O390" s="303"/>
      <c r="P390" s="303"/>
      <c r="Q390" s="278"/>
    </row>
    <row r="391" spans="1:17" s="261" customFormat="1" ht="12.75" hidden="1">
      <c r="A391" s="1037"/>
      <c r="B391" s="1020"/>
      <c r="C391" s="301" t="s">
        <v>22</v>
      </c>
      <c r="D391" s="302">
        <f>D389+D390</f>
        <v>216000</v>
      </c>
      <c r="E391" s="303">
        <f aca="true" t="shared" si="116" ref="E391:P391">E389+E390</f>
        <v>216000</v>
      </c>
      <c r="F391" s="303">
        <f t="shared" si="116"/>
        <v>0</v>
      </c>
      <c r="G391" s="303">
        <f t="shared" si="116"/>
        <v>0</v>
      </c>
      <c r="H391" s="303">
        <f t="shared" si="116"/>
        <v>0</v>
      </c>
      <c r="I391" s="303">
        <f t="shared" si="116"/>
        <v>216000</v>
      </c>
      <c r="J391" s="303">
        <f t="shared" si="116"/>
        <v>0</v>
      </c>
      <c r="K391" s="303">
        <f t="shared" si="116"/>
        <v>0</v>
      </c>
      <c r="L391" s="303">
        <f t="shared" si="116"/>
        <v>0</v>
      </c>
      <c r="M391" s="303">
        <f t="shared" si="116"/>
        <v>0</v>
      </c>
      <c r="N391" s="303">
        <f t="shared" si="116"/>
        <v>0</v>
      </c>
      <c r="O391" s="303">
        <f t="shared" si="116"/>
        <v>0</v>
      </c>
      <c r="P391" s="303">
        <f t="shared" si="116"/>
        <v>0</v>
      </c>
      <c r="Q391" s="278"/>
    </row>
    <row r="392" spans="1:17" s="261" customFormat="1" ht="12.75" hidden="1">
      <c r="A392" s="367"/>
      <c r="B392" s="300"/>
      <c r="C392" s="301"/>
      <c r="D392" s="302"/>
      <c r="E392" s="303"/>
      <c r="F392" s="303"/>
      <c r="G392" s="303"/>
      <c r="H392" s="303"/>
      <c r="I392" s="303"/>
      <c r="J392" s="303"/>
      <c r="K392" s="303"/>
      <c r="L392" s="303"/>
      <c r="M392" s="303"/>
      <c r="N392" s="303"/>
      <c r="O392" s="303"/>
      <c r="P392" s="303"/>
      <c r="Q392" s="278"/>
    </row>
    <row r="393" spans="1:17" s="261" customFormat="1" ht="12.75" hidden="1">
      <c r="A393" s="1035">
        <v>85416</v>
      </c>
      <c r="B393" s="1018" t="s">
        <v>385</v>
      </c>
      <c r="C393" s="301" t="s">
        <v>20</v>
      </c>
      <c r="D393" s="302">
        <f>E393+M393</f>
        <v>4369140</v>
      </c>
      <c r="E393" s="303">
        <f>F393+I393+J393+K393+L393</f>
        <v>4369140</v>
      </c>
      <c r="F393" s="303">
        <f>G393+H393</f>
        <v>0</v>
      </c>
      <c r="G393" s="303">
        <v>0</v>
      </c>
      <c r="H393" s="303">
        <v>0</v>
      </c>
      <c r="I393" s="303">
        <v>0</v>
      </c>
      <c r="J393" s="303">
        <v>0</v>
      </c>
      <c r="K393" s="303">
        <v>4369140</v>
      </c>
      <c r="L393" s="303">
        <v>0</v>
      </c>
      <c r="M393" s="303">
        <f>N393+P393</f>
        <v>0</v>
      </c>
      <c r="N393" s="303">
        <v>0</v>
      </c>
      <c r="O393" s="303">
        <v>0</v>
      </c>
      <c r="P393" s="303">
        <v>0</v>
      </c>
      <c r="Q393" s="278"/>
    </row>
    <row r="394" spans="1:17" s="261" customFormat="1" ht="12.75" hidden="1">
      <c r="A394" s="1036"/>
      <c r="B394" s="1019"/>
      <c r="C394" s="301" t="s">
        <v>21</v>
      </c>
      <c r="D394" s="302">
        <f>E394+M394</f>
        <v>0</v>
      </c>
      <c r="E394" s="303">
        <f>F394+I394+J394+K394+L394</f>
        <v>0</v>
      </c>
      <c r="F394" s="303">
        <f>G394+H394</f>
        <v>0</v>
      </c>
      <c r="G394" s="303"/>
      <c r="H394" s="303"/>
      <c r="I394" s="303"/>
      <c r="J394" s="303"/>
      <c r="K394" s="303"/>
      <c r="L394" s="303"/>
      <c r="M394" s="303">
        <f>N394+P394</f>
        <v>0</v>
      </c>
      <c r="N394" s="303"/>
      <c r="O394" s="303"/>
      <c r="P394" s="303"/>
      <c r="Q394" s="278"/>
    </row>
    <row r="395" spans="1:17" s="261" customFormat="1" ht="12.75" hidden="1">
      <c r="A395" s="1037"/>
      <c r="B395" s="1020"/>
      <c r="C395" s="301" t="s">
        <v>22</v>
      </c>
      <c r="D395" s="302">
        <f>D393+D394</f>
        <v>4369140</v>
      </c>
      <c r="E395" s="303">
        <f aca="true" t="shared" si="117" ref="E395:P395">E393+E394</f>
        <v>4369140</v>
      </c>
      <c r="F395" s="303">
        <f t="shared" si="117"/>
        <v>0</v>
      </c>
      <c r="G395" s="303">
        <f t="shared" si="117"/>
        <v>0</v>
      </c>
      <c r="H395" s="303">
        <f t="shared" si="117"/>
        <v>0</v>
      </c>
      <c r="I395" s="303">
        <f t="shared" si="117"/>
        <v>0</v>
      </c>
      <c r="J395" s="303">
        <f t="shared" si="117"/>
        <v>0</v>
      </c>
      <c r="K395" s="303">
        <f t="shared" si="117"/>
        <v>4369140</v>
      </c>
      <c r="L395" s="303">
        <f t="shared" si="117"/>
        <v>0</v>
      </c>
      <c r="M395" s="303">
        <f t="shared" si="117"/>
        <v>0</v>
      </c>
      <c r="N395" s="303">
        <f t="shared" si="117"/>
        <v>0</v>
      </c>
      <c r="O395" s="303">
        <f t="shared" si="117"/>
        <v>0</v>
      </c>
      <c r="P395" s="303">
        <f t="shared" si="117"/>
        <v>0</v>
      </c>
      <c r="Q395" s="278"/>
    </row>
    <row r="396" spans="1:17" s="261" customFormat="1" ht="12.75" hidden="1">
      <c r="A396" s="368"/>
      <c r="B396" s="307"/>
      <c r="C396" s="308"/>
      <c r="D396" s="302"/>
      <c r="E396" s="303"/>
      <c r="F396" s="303"/>
      <c r="G396" s="303"/>
      <c r="H396" s="303"/>
      <c r="I396" s="303"/>
      <c r="J396" s="303"/>
      <c r="K396" s="303"/>
      <c r="L396" s="303"/>
      <c r="M396" s="303"/>
      <c r="N396" s="303"/>
      <c r="O396" s="303"/>
      <c r="P396" s="303"/>
      <c r="Q396" s="278"/>
    </row>
    <row r="397" spans="1:17" s="261" customFormat="1" ht="12.75" hidden="1">
      <c r="A397" s="1035">
        <v>85446</v>
      </c>
      <c r="B397" s="1018" t="s">
        <v>362</v>
      </c>
      <c r="C397" s="301" t="s">
        <v>20</v>
      </c>
      <c r="D397" s="302">
        <f>E397+M397</f>
        <v>94000</v>
      </c>
      <c r="E397" s="303">
        <f>F397+I397+J397+K397+L397</f>
        <v>94000</v>
      </c>
      <c r="F397" s="303">
        <f>G397+H397</f>
        <v>94000</v>
      </c>
      <c r="G397" s="303">
        <v>0</v>
      </c>
      <c r="H397" s="303">
        <v>94000</v>
      </c>
      <c r="I397" s="303">
        <v>0</v>
      </c>
      <c r="J397" s="303">
        <v>0</v>
      </c>
      <c r="K397" s="303">
        <v>0</v>
      </c>
      <c r="L397" s="303">
        <v>0</v>
      </c>
      <c r="M397" s="303">
        <f>N397+P397</f>
        <v>0</v>
      </c>
      <c r="N397" s="303">
        <v>0</v>
      </c>
      <c r="O397" s="303">
        <v>0</v>
      </c>
      <c r="P397" s="303">
        <v>0</v>
      </c>
      <c r="Q397" s="278"/>
    </row>
    <row r="398" spans="1:17" s="261" customFormat="1" ht="12.75" hidden="1">
      <c r="A398" s="1036"/>
      <c r="B398" s="1019"/>
      <c r="C398" s="301" t="s">
        <v>21</v>
      </c>
      <c r="D398" s="302">
        <f>E398+M398</f>
        <v>0</v>
      </c>
      <c r="E398" s="303">
        <f>F398+I398+J398+K398+L398</f>
        <v>0</v>
      </c>
      <c r="F398" s="303">
        <f>G398+H398</f>
        <v>0</v>
      </c>
      <c r="G398" s="303"/>
      <c r="H398" s="303"/>
      <c r="I398" s="303"/>
      <c r="J398" s="303"/>
      <c r="K398" s="303"/>
      <c r="L398" s="303"/>
      <c r="M398" s="303">
        <f>N398+P398</f>
        <v>0</v>
      </c>
      <c r="N398" s="303"/>
      <c r="O398" s="303"/>
      <c r="P398" s="303"/>
      <c r="Q398" s="278"/>
    </row>
    <row r="399" spans="1:17" s="261" customFormat="1" ht="12.75" hidden="1">
      <c r="A399" s="1037"/>
      <c r="B399" s="1020"/>
      <c r="C399" s="301" t="s">
        <v>22</v>
      </c>
      <c r="D399" s="302">
        <f>D397+D398</f>
        <v>94000</v>
      </c>
      <c r="E399" s="303">
        <f aca="true" t="shared" si="118" ref="E399:P399">E397+E398</f>
        <v>94000</v>
      </c>
      <c r="F399" s="303">
        <f t="shared" si="118"/>
        <v>94000</v>
      </c>
      <c r="G399" s="303">
        <f t="shared" si="118"/>
        <v>0</v>
      </c>
      <c r="H399" s="303">
        <f t="shared" si="118"/>
        <v>94000</v>
      </c>
      <c r="I399" s="303">
        <f t="shared" si="118"/>
        <v>0</v>
      </c>
      <c r="J399" s="303">
        <f t="shared" si="118"/>
        <v>0</v>
      </c>
      <c r="K399" s="303">
        <f t="shared" si="118"/>
        <v>0</v>
      </c>
      <c r="L399" s="303">
        <f t="shared" si="118"/>
        <v>0</v>
      </c>
      <c r="M399" s="303">
        <f t="shared" si="118"/>
        <v>0</v>
      </c>
      <c r="N399" s="303">
        <f t="shared" si="118"/>
        <v>0</v>
      </c>
      <c r="O399" s="303">
        <f t="shared" si="118"/>
        <v>0</v>
      </c>
      <c r="P399" s="303">
        <f t="shared" si="118"/>
        <v>0</v>
      </c>
      <c r="Q399" s="278"/>
    </row>
    <row r="400" spans="1:17" s="261" customFormat="1" ht="4.5" customHeight="1">
      <c r="A400" s="368"/>
      <c r="B400" s="307"/>
      <c r="C400" s="308"/>
      <c r="D400" s="302"/>
      <c r="E400" s="303"/>
      <c r="F400" s="303"/>
      <c r="G400" s="303"/>
      <c r="H400" s="303"/>
      <c r="I400" s="303"/>
      <c r="J400" s="303"/>
      <c r="K400" s="303"/>
      <c r="L400" s="303"/>
      <c r="M400" s="303"/>
      <c r="N400" s="303"/>
      <c r="O400" s="303"/>
      <c r="P400" s="303"/>
      <c r="Q400" s="278"/>
    </row>
    <row r="401" spans="1:17" s="261" customFormat="1" ht="12.75">
      <c r="A401" s="1035">
        <v>85495</v>
      </c>
      <c r="B401" s="1018" t="s">
        <v>210</v>
      </c>
      <c r="C401" s="301" t="s">
        <v>20</v>
      </c>
      <c r="D401" s="302">
        <f>E401+M401</f>
        <v>306744</v>
      </c>
      <c r="E401" s="303">
        <f>F401+I401+J401+K401+L401</f>
        <v>306744</v>
      </c>
      <c r="F401" s="303">
        <f>G401+H401</f>
        <v>271744</v>
      </c>
      <c r="G401" s="303">
        <v>0</v>
      </c>
      <c r="H401" s="303">
        <v>271744</v>
      </c>
      <c r="I401" s="303">
        <v>0</v>
      </c>
      <c r="J401" s="303">
        <v>35000</v>
      </c>
      <c r="K401" s="303">
        <v>0</v>
      </c>
      <c r="L401" s="303">
        <v>0</v>
      </c>
      <c r="M401" s="303">
        <f>N401+P401</f>
        <v>0</v>
      </c>
      <c r="N401" s="303">
        <v>0</v>
      </c>
      <c r="O401" s="303">
        <v>0</v>
      </c>
      <c r="P401" s="303">
        <v>0</v>
      </c>
      <c r="Q401" s="278"/>
    </row>
    <row r="402" spans="1:17" s="261" customFormat="1" ht="12.75">
      <c r="A402" s="1036"/>
      <c r="B402" s="1019"/>
      <c r="C402" s="301" t="s">
        <v>21</v>
      </c>
      <c r="D402" s="302">
        <f>E402+M402</f>
        <v>200000</v>
      </c>
      <c r="E402" s="309">
        <f>F402+I402+J402+K402+L402</f>
        <v>0</v>
      </c>
      <c r="F402" s="309">
        <f>G402+H402</f>
        <v>0</v>
      </c>
      <c r="G402" s="314"/>
      <c r="H402" s="311"/>
      <c r="I402" s="311"/>
      <c r="J402" s="311"/>
      <c r="K402" s="311"/>
      <c r="L402" s="311"/>
      <c r="M402" s="303">
        <f>N402+P402</f>
        <v>200000</v>
      </c>
      <c r="N402" s="311">
        <v>200000</v>
      </c>
      <c r="O402" s="314"/>
      <c r="P402" s="314"/>
      <c r="Q402" s="278"/>
    </row>
    <row r="403" spans="1:17" s="261" customFormat="1" ht="12.75">
      <c r="A403" s="1037"/>
      <c r="B403" s="1020"/>
      <c r="C403" s="301" t="s">
        <v>22</v>
      </c>
      <c r="D403" s="312">
        <f>D401+D402</f>
        <v>506744</v>
      </c>
      <c r="E403" s="311">
        <f aca="true" t="shared" si="119" ref="E403:P403">E401+E402</f>
        <v>306744</v>
      </c>
      <c r="F403" s="311">
        <f t="shared" si="119"/>
        <v>271744</v>
      </c>
      <c r="G403" s="311">
        <f t="shared" si="119"/>
        <v>0</v>
      </c>
      <c r="H403" s="311">
        <f t="shared" si="119"/>
        <v>271744</v>
      </c>
      <c r="I403" s="311">
        <f t="shared" si="119"/>
        <v>0</v>
      </c>
      <c r="J403" s="311">
        <f t="shared" si="119"/>
        <v>35000</v>
      </c>
      <c r="K403" s="311">
        <f t="shared" si="119"/>
        <v>0</v>
      </c>
      <c r="L403" s="311">
        <f t="shared" si="119"/>
        <v>0</v>
      </c>
      <c r="M403" s="311">
        <f t="shared" si="119"/>
        <v>200000</v>
      </c>
      <c r="N403" s="311">
        <f t="shared" si="119"/>
        <v>200000</v>
      </c>
      <c r="O403" s="311">
        <f t="shared" si="119"/>
        <v>0</v>
      </c>
      <c r="P403" s="311">
        <f t="shared" si="119"/>
        <v>0</v>
      </c>
      <c r="Q403" s="360"/>
    </row>
    <row r="404" spans="1:17" s="261" customFormat="1" ht="5.25" customHeight="1" thickBot="1">
      <c r="A404" s="367"/>
      <c r="B404" s="300"/>
      <c r="C404" s="301"/>
      <c r="D404" s="312"/>
      <c r="E404" s="314"/>
      <c r="F404" s="314"/>
      <c r="G404" s="314"/>
      <c r="H404" s="311"/>
      <c r="I404" s="311"/>
      <c r="J404" s="311"/>
      <c r="K404" s="311"/>
      <c r="L404" s="311"/>
      <c r="M404" s="311"/>
      <c r="N404" s="311"/>
      <c r="O404" s="314"/>
      <c r="P404" s="314"/>
      <c r="Q404" s="278"/>
    </row>
    <row r="405" spans="1:17" s="336" customFormat="1" ht="15.75" customHeight="1">
      <c r="A405" s="1038">
        <v>855</v>
      </c>
      <c r="B405" s="1012" t="s">
        <v>236</v>
      </c>
      <c r="C405" s="279" t="s">
        <v>20</v>
      </c>
      <c r="D405" s="280">
        <f>D409+D413+D417</f>
        <v>1217000</v>
      </c>
      <c r="E405" s="281">
        <f>E409+E413+E417</f>
        <v>1217000</v>
      </c>
      <c r="F405" s="281">
        <f aca="true" t="shared" si="120" ref="F405:P406">F409+F413+F417</f>
        <v>1077020</v>
      </c>
      <c r="G405" s="281">
        <f t="shared" si="120"/>
        <v>823172</v>
      </c>
      <c r="H405" s="281">
        <f t="shared" si="120"/>
        <v>253848</v>
      </c>
      <c r="I405" s="281">
        <f t="shared" si="120"/>
        <v>138980</v>
      </c>
      <c r="J405" s="281">
        <f t="shared" si="120"/>
        <v>1000</v>
      </c>
      <c r="K405" s="281">
        <f t="shared" si="120"/>
        <v>0</v>
      </c>
      <c r="L405" s="281">
        <f t="shared" si="120"/>
        <v>0</v>
      </c>
      <c r="M405" s="281">
        <f t="shared" si="120"/>
        <v>0</v>
      </c>
      <c r="N405" s="281">
        <f t="shared" si="120"/>
        <v>0</v>
      </c>
      <c r="O405" s="281">
        <f t="shared" si="120"/>
        <v>0</v>
      </c>
      <c r="P405" s="282">
        <f t="shared" si="120"/>
        <v>0</v>
      </c>
      <c r="Q405" s="335"/>
    </row>
    <row r="406" spans="1:17" s="336" customFormat="1" ht="15.75" customHeight="1">
      <c r="A406" s="1039"/>
      <c r="B406" s="1013"/>
      <c r="C406" s="286" t="s">
        <v>21</v>
      </c>
      <c r="D406" s="287">
        <f>D410+D414+D418</f>
        <v>2101000</v>
      </c>
      <c r="E406" s="288">
        <f>E410+E414+E418</f>
        <v>2101000</v>
      </c>
      <c r="F406" s="288">
        <f t="shared" si="120"/>
        <v>2100000</v>
      </c>
      <c r="G406" s="288">
        <f t="shared" si="120"/>
        <v>1743119</v>
      </c>
      <c r="H406" s="288">
        <f t="shared" si="120"/>
        <v>356881</v>
      </c>
      <c r="I406" s="288">
        <f t="shared" si="120"/>
        <v>0</v>
      </c>
      <c r="J406" s="288">
        <f t="shared" si="120"/>
        <v>1000</v>
      </c>
      <c r="K406" s="288">
        <f t="shared" si="120"/>
        <v>0</v>
      </c>
      <c r="L406" s="288">
        <f t="shared" si="120"/>
        <v>0</v>
      </c>
      <c r="M406" s="288">
        <f t="shared" si="120"/>
        <v>0</v>
      </c>
      <c r="N406" s="288">
        <f t="shared" si="120"/>
        <v>0</v>
      </c>
      <c r="O406" s="288">
        <f t="shared" si="120"/>
        <v>0</v>
      </c>
      <c r="P406" s="289">
        <f t="shared" si="120"/>
        <v>0</v>
      </c>
      <c r="Q406" s="335"/>
    </row>
    <row r="407" spans="1:17" s="336" customFormat="1" ht="15.75" customHeight="1" thickBot="1">
      <c r="A407" s="1040"/>
      <c r="B407" s="1014"/>
      <c r="C407" s="290" t="s">
        <v>22</v>
      </c>
      <c r="D407" s="291">
        <f>D405+D406</f>
        <v>3318000</v>
      </c>
      <c r="E407" s="292">
        <f aca="true" t="shared" si="121" ref="E407:P407">E405+E406</f>
        <v>3318000</v>
      </c>
      <c r="F407" s="292">
        <f t="shared" si="121"/>
        <v>3177020</v>
      </c>
      <c r="G407" s="292">
        <f t="shared" si="121"/>
        <v>2566291</v>
      </c>
      <c r="H407" s="292">
        <f t="shared" si="121"/>
        <v>610729</v>
      </c>
      <c r="I407" s="292">
        <f t="shared" si="121"/>
        <v>138980</v>
      </c>
      <c r="J407" s="292">
        <f t="shared" si="121"/>
        <v>2000</v>
      </c>
      <c r="K407" s="292">
        <f t="shared" si="121"/>
        <v>0</v>
      </c>
      <c r="L407" s="292">
        <f t="shared" si="121"/>
        <v>0</v>
      </c>
      <c r="M407" s="292">
        <f t="shared" si="121"/>
        <v>0</v>
      </c>
      <c r="N407" s="292">
        <f t="shared" si="121"/>
        <v>0</v>
      </c>
      <c r="O407" s="292">
        <f t="shared" si="121"/>
        <v>0</v>
      </c>
      <c r="P407" s="293">
        <f t="shared" si="121"/>
        <v>0</v>
      </c>
      <c r="Q407" s="335"/>
    </row>
    <row r="408" spans="1:17" s="336" customFormat="1" ht="6" customHeight="1">
      <c r="A408" s="373"/>
      <c r="B408" s="329"/>
      <c r="C408" s="330"/>
      <c r="D408" s="331"/>
      <c r="E408" s="333"/>
      <c r="F408" s="333"/>
      <c r="G408" s="333"/>
      <c r="H408" s="333"/>
      <c r="I408" s="333"/>
      <c r="J408" s="333"/>
      <c r="K408" s="333"/>
      <c r="L408" s="333"/>
      <c r="M408" s="333"/>
      <c r="N408" s="333"/>
      <c r="O408" s="333"/>
      <c r="P408" s="344"/>
      <c r="Q408" s="335"/>
    </row>
    <row r="409" spans="1:17" s="261" customFormat="1" ht="12.75">
      <c r="A409" s="1035">
        <v>85501</v>
      </c>
      <c r="B409" s="1018" t="s">
        <v>238</v>
      </c>
      <c r="C409" s="301" t="s">
        <v>20</v>
      </c>
      <c r="D409" s="302">
        <f>E409+M409</f>
        <v>187000</v>
      </c>
      <c r="E409" s="303">
        <f>F409+I409+J409+K409+L409</f>
        <v>187000</v>
      </c>
      <c r="F409" s="303">
        <f>G409+H409</f>
        <v>187000</v>
      </c>
      <c r="G409" s="303">
        <v>92121</v>
      </c>
      <c r="H409" s="303">
        <v>94879</v>
      </c>
      <c r="I409" s="303">
        <v>0</v>
      </c>
      <c r="J409" s="303">
        <v>0</v>
      </c>
      <c r="K409" s="303">
        <v>0</v>
      </c>
      <c r="L409" s="303">
        <v>0</v>
      </c>
      <c r="M409" s="303">
        <f>N409+P409</f>
        <v>0</v>
      </c>
      <c r="N409" s="303">
        <v>0</v>
      </c>
      <c r="O409" s="303">
        <v>0</v>
      </c>
      <c r="P409" s="303">
        <v>0</v>
      </c>
      <c r="Q409" s="278"/>
    </row>
    <row r="410" spans="1:17" s="261" customFormat="1" ht="12.75">
      <c r="A410" s="1036"/>
      <c r="B410" s="1019"/>
      <c r="C410" s="301" t="s">
        <v>21</v>
      </c>
      <c r="D410" s="302">
        <f>E410+M410</f>
        <v>343000</v>
      </c>
      <c r="E410" s="303">
        <f>F410+I410+J410+K410+L410</f>
        <v>343000</v>
      </c>
      <c r="F410" s="303">
        <f>G410+H410</f>
        <v>342750</v>
      </c>
      <c r="G410" s="303">
        <f>242000+42766+6113</f>
        <v>290879</v>
      </c>
      <c r="H410" s="303">
        <f>9200+7000+966+75+15586+544+5000+750+12000+750</f>
        <v>51871</v>
      </c>
      <c r="I410" s="303"/>
      <c r="J410" s="303">
        <v>250</v>
      </c>
      <c r="K410" s="303"/>
      <c r="L410" s="303"/>
      <c r="M410" s="303">
        <f>N410+P410</f>
        <v>0</v>
      </c>
      <c r="N410" s="303"/>
      <c r="O410" s="303"/>
      <c r="P410" s="303"/>
      <c r="Q410" s="278"/>
    </row>
    <row r="411" spans="1:17" s="261" customFormat="1" ht="12.75">
      <c r="A411" s="1037"/>
      <c r="B411" s="1020"/>
      <c r="C411" s="301" t="s">
        <v>22</v>
      </c>
      <c r="D411" s="302">
        <f>D409+D410</f>
        <v>530000</v>
      </c>
      <c r="E411" s="303">
        <f aca="true" t="shared" si="122" ref="E411:P411">E409+E410</f>
        <v>530000</v>
      </c>
      <c r="F411" s="303">
        <f t="shared" si="122"/>
        <v>529750</v>
      </c>
      <c r="G411" s="303">
        <f t="shared" si="122"/>
        <v>383000</v>
      </c>
      <c r="H411" s="303">
        <f t="shared" si="122"/>
        <v>146750</v>
      </c>
      <c r="I411" s="303">
        <f t="shared" si="122"/>
        <v>0</v>
      </c>
      <c r="J411" s="303">
        <f t="shared" si="122"/>
        <v>250</v>
      </c>
      <c r="K411" s="303">
        <f t="shared" si="122"/>
        <v>0</v>
      </c>
      <c r="L411" s="303">
        <f t="shared" si="122"/>
        <v>0</v>
      </c>
      <c r="M411" s="303">
        <f t="shared" si="122"/>
        <v>0</v>
      </c>
      <c r="N411" s="303">
        <f t="shared" si="122"/>
        <v>0</v>
      </c>
      <c r="O411" s="303">
        <f t="shared" si="122"/>
        <v>0</v>
      </c>
      <c r="P411" s="303">
        <f t="shared" si="122"/>
        <v>0</v>
      </c>
      <c r="Q411" s="360"/>
    </row>
    <row r="412" spans="1:17" s="261" customFormat="1" ht="5.25" customHeight="1">
      <c r="A412" s="368"/>
      <c r="B412" s="310"/>
      <c r="C412" s="308"/>
      <c r="D412" s="302"/>
      <c r="E412" s="303"/>
      <c r="F412" s="303"/>
      <c r="G412" s="303"/>
      <c r="H412" s="303"/>
      <c r="I412" s="303"/>
      <c r="J412" s="303"/>
      <c r="K412" s="303"/>
      <c r="L412" s="303"/>
      <c r="M412" s="303"/>
      <c r="N412" s="303"/>
      <c r="O412" s="303"/>
      <c r="P412" s="303"/>
      <c r="Q412" s="360"/>
    </row>
    <row r="413" spans="1:17" s="261" customFormat="1" ht="21" customHeight="1">
      <c r="A413" s="1035">
        <v>85502</v>
      </c>
      <c r="B413" s="1018" t="s">
        <v>241</v>
      </c>
      <c r="C413" s="301" t="s">
        <v>20</v>
      </c>
      <c r="D413" s="302">
        <f>E413+M413</f>
        <v>190000</v>
      </c>
      <c r="E413" s="309">
        <f>F413+I413+J413+K413+L413</f>
        <v>190000</v>
      </c>
      <c r="F413" s="309">
        <f>G413+H413</f>
        <v>190000</v>
      </c>
      <c r="G413" s="309">
        <v>95760</v>
      </c>
      <c r="H413" s="303">
        <v>94240</v>
      </c>
      <c r="I413" s="303">
        <v>0</v>
      </c>
      <c r="J413" s="303">
        <v>0</v>
      </c>
      <c r="K413" s="303">
        <v>0</v>
      </c>
      <c r="L413" s="303">
        <v>0</v>
      </c>
      <c r="M413" s="303">
        <f>N413+P413</f>
        <v>0</v>
      </c>
      <c r="N413" s="303">
        <v>0</v>
      </c>
      <c r="O413" s="309">
        <v>0</v>
      </c>
      <c r="P413" s="309">
        <v>0</v>
      </c>
      <c r="Q413" s="278"/>
    </row>
    <row r="414" spans="1:17" s="261" customFormat="1" ht="21" customHeight="1">
      <c r="A414" s="1036"/>
      <c r="B414" s="1019"/>
      <c r="C414" s="301" t="s">
        <v>21</v>
      </c>
      <c r="D414" s="302">
        <f>E414+M414</f>
        <v>918000</v>
      </c>
      <c r="E414" s="309">
        <f>F414+I414+J414+K414+L414</f>
        <v>918000</v>
      </c>
      <c r="F414" s="309">
        <f>G414+H414</f>
        <v>917250</v>
      </c>
      <c r="G414" s="309">
        <f>532000+74000+104200+15040</f>
        <v>725240</v>
      </c>
      <c r="H414" s="303">
        <f>19000+9720+6840+1000+450+98500+3250+18750+2250+30000+2250</f>
        <v>192010</v>
      </c>
      <c r="I414" s="303"/>
      <c r="J414" s="303">
        <v>750</v>
      </c>
      <c r="K414" s="303"/>
      <c r="L414" s="303"/>
      <c r="M414" s="303">
        <f>N414+P414</f>
        <v>0</v>
      </c>
      <c r="N414" s="303"/>
      <c r="O414" s="309"/>
      <c r="P414" s="309"/>
      <c r="Q414" s="278"/>
    </row>
    <row r="415" spans="1:17" s="261" customFormat="1" ht="21" customHeight="1">
      <c r="A415" s="1037"/>
      <c r="B415" s="1020"/>
      <c r="C415" s="301" t="s">
        <v>22</v>
      </c>
      <c r="D415" s="302">
        <f>D413+D414</f>
        <v>1108000</v>
      </c>
      <c r="E415" s="303">
        <f aca="true" t="shared" si="123" ref="E415:P415">E413+E414</f>
        <v>1108000</v>
      </c>
      <c r="F415" s="303">
        <f t="shared" si="123"/>
        <v>1107250</v>
      </c>
      <c r="G415" s="303">
        <f t="shared" si="123"/>
        <v>821000</v>
      </c>
      <c r="H415" s="303">
        <f t="shared" si="123"/>
        <v>286250</v>
      </c>
      <c r="I415" s="303">
        <f t="shared" si="123"/>
        <v>0</v>
      </c>
      <c r="J415" s="303">
        <f t="shared" si="123"/>
        <v>750</v>
      </c>
      <c r="K415" s="303">
        <f t="shared" si="123"/>
        <v>0</v>
      </c>
      <c r="L415" s="303">
        <f t="shared" si="123"/>
        <v>0</v>
      </c>
      <c r="M415" s="303">
        <f t="shared" si="123"/>
        <v>0</v>
      </c>
      <c r="N415" s="303">
        <f t="shared" si="123"/>
        <v>0</v>
      </c>
      <c r="O415" s="303">
        <f t="shared" si="123"/>
        <v>0</v>
      </c>
      <c r="P415" s="303">
        <f t="shared" si="123"/>
        <v>0</v>
      </c>
      <c r="Q415" s="278"/>
    </row>
    <row r="416" spans="1:17" s="261" customFormat="1" ht="6.75" customHeight="1">
      <c r="A416" s="368"/>
      <c r="B416" s="307"/>
      <c r="C416" s="308"/>
      <c r="D416" s="302"/>
      <c r="E416" s="309"/>
      <c r="F416" s="309"/>
      <c r="G416" s="309"/>
      <c r="H416" s="303"/>
      <c r="I416" s="303"/>
      <c r="J416" s="303"/>
      <c r="K416" s="303"/>
      <c r="L416" s="303"/>
      <c r="M416" s="303"/>
      <c r="N416" s="303"/>
      <c r="O416" s="309"/>
      <c r="P416" s="309"/>
      <c r="Q416" s="278"/>
    </row>
    <row r="417" spans="1:17" s="261" customFormat="1" ht="12.75">
      <c r="A417" s="1035">
        <v>85509</v>
      </c>
      <c r="B417" s="1018" t="s">
        <v>386</v>
      </c>
      <c r="C417" s="301" t="s">
        <v>20</v>
      </c>
      <c r="D417" s="302">
        <f>E417+M417</f>
        <v>840000</v>
      </c>
      <c r="E417" s="309">
        <f>F417+I417+J417+K417+L417</f>
        <v>840000</v>
      </c>
      <c r="F417" s="309">
        <f>G417+H417</f>
        <v>700020</v>
      </c>
      <c r="G417" s="309">
        <v>635291</v>
      </c>
      <c r="H417" s="303">
        <v>64729</v>
      </c>
      <c r="I417" s="303">
        <v>138980</v>
      </c>
      <c r="J417" s="303">
        <v>1000</v>
      </c>
      <c r="K417" s="303">
        <v>0</v>
      </c>
      <c r="L417" s="303">
        <v>0</v>
      </c>
      <c r="M417" s="303">
        <f>N417+P417</f>
        <v>0</v>
      </c>
      <c r="N417" s="303">
        <v>0</v>
      </c>
      <c r="O417" s="309">
        <v>0</v>
      </c>
      <c r="P417" s="309">
        <v>0</v>
      </c>
      <c r="Q417" s="278"/>
    </row>
    <row r="418" spans="1:17" s="261" customFormat="1" ht="12.75">
      <c r="A418" s="1036"/>
      <c r="B418" s="1019"/>
      <c r="C418" s="301" t="s">
        <v>21</v>
      </c>
      <c r="D418" s="302">
        <f>E418+M418</f>
        <v>840000</v>
      </c>
      <c r="E418" s="303">
        <f>F418+I418+J418+K418+L418</f>
        <v>840000</v>
      </c>
      <c r="F418" s="303">
        <f>G418+H418</f>
        <v>840000</v>
      </c>
      <c r="G418" s="311">
        <f>630000+90000+6000+1000</f>
        <v>727000</v>
      </c>
      <c r="H418" s="311">
        <f>45220+12000+500+5000+5500+2220+10000+29110+1450+2000</f>
        <v>113000</v>
      </c>
      <c r="I418" s="311"/>
      <c r="J418" s="311"/>
      <c r="K418" s="311"/>
      <c r="L418" s="311"/>
      <c r="M418" s="303">
        <f>N418+P418</f>
        <v>0</v>
      </c>
      <c r="N418" s="311"/>
      <c r="O418" s="311"/>
      <c r="P418" s="311"/>
      <c r="Q418" s="278"/>
    </row>
    <row r="419" spans="1:17" s="261" customFormat="1" ht="12.75">
      <c r="A419" s="1037"/>
      <c r="B419" s="1020"/>
      <c r="C419" s="301" t="s">
        <v>22</v>
      </c>
      <c r="D419" s="312">
        <f>D417+D418</f>
        <v>1680000</v>
      </c>
      <c r="E419" s="311">
        <f aca="true" t="shared" si="124" ref="E419:P419">E417+E418</f>
        <v>1680000</v>
      </c>
      <c r="F419" s="311">
        <f t="shared" si="124"/>
        <v>1540020</v>
      </c>
      <c r="G419" s="311">
        <f t="shared" si="124"/>
        <v>1362291</v>
      </c>
      <c r="H419" s="311">
        <f t="shared" si="124"/>
        <v>177729</v>
      </c>
      <c r="I419" s="311">
        <f t="shared" si="124"/>
        <v>138980</v>
      </c>
      <c r="J419" s="311">
        <f t="shared" si="124"/>
        <v>1000</v>
      </c>
      <c r="K419" s="311">
        <f t="shared" si="124"/>
        <v>0</v>
      </c>
      <c r="L419" s="311">
        <f t="shared" si="124"/>
        <v>0</v>
      </c>
      <c r="M419" s="311">
        <f t="shared" si="124"/>
        <v>0</v>
      </c>
      <c r="N419" s="311">
        <f t="shared" si="124"/>
        <v>0</v>
      </c>
      <c r="O419" s="311">
        <f t="shared" si="124"/>
        <v>0</v>
      </c>
      <c r="P419" s="311">
        <f t="shared" si="124"/>
        <v>0</v>
      </c>
      <c r="Q419" s="278"/>
    </row>
    <row r="420" spans="1:17" s="261" customFormat="1" ht="6" customHeight="1" thickBot="1">
      <c r="A420" s="367"/>
      <c r="B420" s="313"/>
      <c r="C420" s="301"/>
      <c r="D420" s="312"/>
      <c r="E420" s="314"/>
      <c r="F420" s="314"/>
      <c r="G420" s="314"/>
      <c r="H420" s="311"/>
      <c r="I420" s="311"/>
      <c r="J420" s="311"/>
      <c r="K420" s="311"/>
      <c r="L420" s="311"/>
      <c r="M420" s="311"/>
      <c r="N420" s="311"/>
      <c r="O420" s="314"/>
      <c r="P420" s="314"/>
      <c r="Q420" s="278"/>
    </row>
    <row r="421" spans="1:17" s="336" customFormat="1" ht="15" customHeight="1">
      <c r="A421" s="1038">
        <v>900</v>
      </c>
      <c r="B421" s="1012" t="s">
        <v>48</v>
      </c>
      <c r="C421" s="279" t="s">
        <v>20</v>
      </c>
      <c r="D421" s="280">
        <f>D429+D433+D437+D441+D449+D445+D425</f>
        <v>6117756</v>
      </c>
      <c r="E421" s="281">
        <f>E429+E433+E437+E441+E449+E445+E425</f>
        <v>6007256</v>
      </c>
      <c r="F421" s="281">
        <f aca="true" t="shared" si="125" ref="F421:P421">F429+F433+F437+F441+F449+F445+F425</f>
        <v>4861216</v>
      </c>
      <c r="G421" s="281">
        <f t="shared" si="125"/>
        <v>1827341</v>
      </c>
      <c r="H421" s="281">
        <f t="shared" si="125"/>
        <v>3033875</v>
      </c>
      <c r="I421" s="281">
        <f t="shared" si="125"/>
        <v>0</v>
      </c>
      <c r="J421" s="281">
        <f t="shared" si="125"/>
        <v>0</v>
      </c>
      <c r="K421" s="281">
        <f t="shared" si="125"/>
        <v>1146040</v>
      </c>
      <c r="L421" s="281">
        <f t="shared" si="125"/>
        <v>0</v>
      </c>
      <c r="M421" s="281">
        <f t="shared" si="125"/>
        <v>110500</v>
      </c>
      <c r="N421" s="281">
        <f t="shared" si="125"/>
        <v>110500</v>
      </c>
      <c r="O421" s="281">
        <f t="shared" si="125"/>
        <v>40500</v>
      </c>
      <c r="P421" s="282">
        <f t="shared" si="125"/>
        <v>0</v>
      </c>
      <c r="Q421" s="335"/>
    </row>
    <row r="422" spans="1:17" s="336" customFormat="1" ht="15" customHeight="1">
      <c r="A422" s="1039"/>
      <c r="B422" s="1013"/>
      <c r="C422" s="286" t="s">
        <v>21</v>
      </c>
      <c r="D422" s="287">
        <f>D430+D434+D438+D442+D450+D446+D426</f>
        <v>102631</v>
      </c>
      <c r="E422" s="288">
        <f>E430+E434+E438+E442+E450+E446+E426</f>
        <v>0</v>
      </c>
      <c r="F422" s="288">
        <f aca="true" t="shared" si="126" ref="F422:P422">F430+F434+F438+F442+F450+F446+F426</f>
        <v>0</v>
      </c>
      <c r="G422" s="288">
        <f t="shared" si="126"/>
        <v>0</v>
      </c>
      <c r="H422" s="288">
        <f t="shared" si="126"/>
        <v>0</v>
      </c>
      <c r="I422" s="288">
        <f t="shared" si="126"/>
        <v>0</v>
      </c>
      <c r="J422" s="288">
        <f t="shared" si="126"/>
        <v>0</v>
      </c>
      <c r="K422" s="288">
        <f t="shared" si="126"/>
        <v>0</v>
      </c>
      <c r="L422" s="288">
        <f t="shared" si="126"/>
        <v>0</v>
      </c>
      <c r="M422" s="288">
        <f t="shared" si="126"/>
        <v>102631</v>
      </c>
      <c r="N422" s="288">
        <f t="shared" si="126"/>
        <v>102631</v>
      </c>
      <c r="O422" s="288">
        <f t="shared" si="126"/>
        <v>0</v>
      </c>
      <c r="P422" s="289">
        <f t="shared" si="126"/>
        <v>0</v>
      </c>
      <c r="Q422" s="335"/>
    </row>
    <row r="423" spans="1:17" s="336" customFormat="1" ht="15" customHeight="1" thickBot="1">
      <c r="A423" s="1040"/>
      <c r="B423" s="1014"/>
      <c r="C423" s="290" t="s">
        <v>22</v>
      </c>
      <c r="D423" s="291">
        <f>D421+D422</f>
        <v>6220387</v>
      </c>
      <c r="E423" s="374">
        <f>E421+E422</f>
        <v>6007256</v>
      </c>
      <c r="F423" s="374">
        <f aca="true" t="shared" si="127" ref="F423:P423">F421+F422</f>
        <v>4861216</v>
      </c>
      <c r="G423" s="374">
        <f t="shared" si="127"/>
        <v>1827341</v>
      </c>
      <c r="H423" s="374">
        <f t="shared" si="127"/>
        <v>3033875</v>
      </c>
      <c r="I423" s="374">
        <f t="shared" si="127"/>
        <v>0</v>
      </c>
      <c r="J423" s="374">
        <f t="shared" si="127"/>
        <v>0</v>
      </c>
      <c r="K423" s="374">
        <f t="shared" si="127"/>
        <v>1146040</v>
      </c>
      <c r="L423" s="374">
        <f t="shared" si="127"/>
        <v>0</v>
      </c>
      <c r="M423" s="374">
        <f t="shared" si="127"/>
        <v>213131</v>
      </c>
      <c r="N423" s="374">
        <f t="shared" si="127"/>
        <v>213131</v>
      </c>
      <c r="O423" s="374">
        <f t="shared" si="127"/>
        <v>40500</v>
      </c>
      <c r="P423" s="375">
        <f t="shared" si="127"/>
        <v>0</v>
      </c>
      <c r="Q423" s="335"/>
    </row>
    <row r="424" spans="1:17" s="336" customFormat="1" ht="6.75" customHeight="1">
      <c r="A424" s="369"/>
      <c r="B424" s="370"/>
      <c r="C424" s="371"/>
      <c r="D424" s="331"/>
      <c r="E424" s="333"/>
      <c r="F424" s="333"/>
      <c r="G424" s="333"/>
      <c r="H424" s="333"/>
      <c r="I424" s="333"/>
      <c r="J424" s="333"/>
      <c r="K424" s="333"/>
      <c r="L424" s="333"/>
      <c r="M424" s="333"/>
      <c r="N424" s="333"/>
      <c r="O424" s="333"/>
      <c r="P424" s="333"/>
      <c r="Q424" s="335"/>
    </row>
    <row r="425" spans="1:17" s="261" customFormat="1" ht="12.75">
      <c r="A425" s="1047">
        <v>90001</v>
      </c>
      <c r="B425" s="1025" t="s">
        <v>402</v>
      </c>
      <c r="C425" s="308" t="s">
        <v>20</v>
      </c>
      <c r="D425" s="302">
        <f>E425+M425</f>
        <v>0</v>
      </c>
      <c r="E425" s="309">
        <f>F425+I425+J425+K425+L425</f>
        <v>0</v>
      </c>
      <c r="F425" s="309">
        <f>G425+H425</f>
        <v>0</v>
      </c>
      <c r="G425" s="309">
        <v>0</v>
      </c>
      <c r="H425" s="303">
        <v>0</v>
      </c>
      <c r="I425" s="303">
        <v>0</v>
      </c>
      <c r="J425" s="303">
        <v>0</v>
      </c>
      <c r="K425" s="303">
        <v>0</v>
      </c>
      <c r="L425" s="303">
        <v>0</v>
      </c>
      <c r="M425" s="303">
        <f>N425+P425</f>
        <v>0</v>
      </c>
      <c r="N425" s="303">
        <v>0</v>
      </c>
      <c r="O425" s="309">
        <v>0</v>
      </c>
      <c r="P425" s="309">
        <v>0</v>
      </c>
      <c r="Q425" s="278"/>
    </row>
    <row r="426" spans="1:17" s="261" customFormat="1" ht="12.75">
      <c r="A426" s="1047"/>
      <c r="B426" s="1025"/>
      <c r="C426" s="308" t="s">
        <v>21</v>
      </c>
      <c r="D426" s="302">
        <f>E426+M426</f>
        <v>102631</v>
      </c>
      <c r="E426" s="309">
        <f>F426+I426+J426+K426+L426</f>
        <v>0</v>
      </c>
      <c r="F426" s="309">
        <f>G426+H426</f>
        <v>0</v>
      </c>
      <c r="G426" s="309"/>
      <c r="H426" s="303"/>
      <c r="I426" s="303"/>
      <c r="J426" s="303"/>
      <c r="K426" s="303"/>
      <c r="L426" s="303"/>
      <c r="M426" s="303">
        <f>N426+P426</f>
        <v>102631</v>
      </c>
      <c r="N426" s="303">
        <v>102631</v>
      </c>
      <c r="O426" s="309"/>
      <c r="P426" s="309"/>
      <c r="Q426" s="278"/>
    </row>
    <row r="427" spans="1:17" s="261" customFormat="1" ht="12.75">
      <c r="A427" s="1047"/>
      <c r="B427" s="1025"/>
      <c r="C427" s="308" t="s">
        <v>22</v>
      </c>
      <c r="D427" s="302">
        <f>D425+D426</f>
        <v>102631</v>
      </c>
      <c r="E427" s="309">
        <f>E425+E426</f>
        <v>0</v>
      </c>
      <c r="F427" s="309">
        <f aca="true" t="shared" si="128" ref="F427:P427">F425+F426</f>
        <v>0</v>
      </c>
      <c r="G427" s="309">
        <f t="shared" si="128"/>
        <v>0</v>
      </c>
      <c r="H427" s="309">
        <f t="shared" si="128"/>
        <v>0</v>
      </c>
      <c r="I427" s="309">
        <f t="shared" si="128"/>
        <v>0</v>
      </c>
      <c r="J427" s="309">
        <f t="shared" si="128"/>
        <v>0</v>
      </c>
      <c r="K427" s="309">
        <f t="shared" si="128"/>
        <v>0</v>
      </c>
      <c r="L427" s="309">
        <f t="shared" si="128"/>
        <v>0</v>
      </c>
      <c r="M427" s="309">
        <f t="shared" si="128"/>
        <v>102631</v>
      </c>
      <c r="N427" s="309">
        <f t="shared" si="128"/>
        <v>102631</v>
      </c>
      <c r="O427" s="309">
        <f t="shared" si="128"/>
        <v>0</v>
      </c>
      <c r="P427" s="309">
        <f t="shared" si="128"/>
        <v>0</v>
      </c>
      <c r="Q427" s="278"/>
    </row>
    <row r="428" spans="1:17" s="336" customFormat="1" ht="14.25" hidden="1">
      <c r="A428" s="392"/>
      <c r="B428" s="393"/>
      <c r="C428" s="394"/>
      <c r="D428" s="331"/>
      <c r="E428" s="333"/>
      <c r="F428" s="333"/>
      <c r="G428" s="333"/>
      <c r="H428" s="333"/>
      <c r="I428" s="333"/>
      <c r="J428" s="333"/>
      <c r="K428" s="333"/>
      <c r="L428" s="333"/>
      <c r="M428" s="333"/>
      <c r="N428" s="333"/>
      <c r="O428" s="333"/>
      <c r="P428" s="333"/>
      <c r="Q428" s="335"/>
    </row>
    <row r="429" spans="1:17" s="261" customFormat="1" ht="12.75" hidden="1">
      <c r="A429" s="1035">
        <v>90005</v>
      </c>
      <c r="B429" s="1018" t="s">
        <v>249</v>
      </c>
      <c r="C429" s="301" t="s">
        <v>20</v>
      </c>
      <c r="D429" s="302">
        <f>E429+M429</f>
        <v>137000</v>
      </c>
      <c r="E429" s="309">
        <f>F429+I429+J429+K429+L429</f>
        <v>137000</v>
      </c>
      <c r="F429" s="309">
        <f>G429+H429</f>
        <v>137000</v>
      </c>
      <c r="G429" s="309">
        <v>0</v>
      </c>
      <c r="H429" s="303">
        <v>137000</v>
      </c>
      <c r="I429" s="303">
        <v>0</v>
      </c>
      <c r="J429" s="303">
        <v>0</v>
      </c>
      <c r="K429" s="303">
        <v>0</v>
      </c>
      <c r="L429" s="303">
        <v>0</v>
      </c>
      <c r="M429" s="303">
        <f>N429+P429</f>
        <v>0</v>
      </c>
      <c r="N429" s="303">
        <v>0</v>
      </c>
      <c r="O429" s="309">
        <v>0</v>
      </c>
      <c r="P429" s="309">
        <v>0</v>
      </c>
      <c r="Q429" s="278"/>
    </row>
    <row r="430" spans="1:17" s="261" customFormat="1" ht="12.75" hidden="1">
      <c r="A430" s="1036"/>
      <c r="B430" s="1019"/>
      <c r="C430" s="301" t="s">
        <v>21</v>
      </c>
      <c r="D430" s="302">
        <f>E430+M430</f>
        <v>0</v>
      </c>
      <c r="E430" s="309">
        <f>F430+I430+J430+K430+L430</f>
        <v>0</v>
      </c>
      <c r="F430" s="309">
        <f>G430+H430</f>
        <v>0</v>
      </c>
      <c r="G430" s="309"/>
      <c r="H430" s="303"/>
      <c r="I430" s="303"/>
      <c r="J430" s="303"/>
      <c r="K430" s="303"/>
      <c r="L430" s="303"/>
      <c r="M430" s="303">
        <f>N430+P430</f>
        <v>0</v>
      </c>
      <c r="N430" s="303"/>
      <c r="O430" s="309"/>
      <c r="P430" s="309"/>
      <c r="Q430" s="278"/>
    </row>
    <row r="431" spans="1:17" s="261" customFormat="1" ht="12.75" hidden="1">
      <c r="A431" s="1037"/>
      <c r="B431" s="1020"/>
      <c r="C431" s="301" t="s">
        <v>22</v>
      </c>
      <c r="D431" s="302">
        <f>D429+D430</f>
        <v>137000</v>
      </c>
      <c r="E431" s="309">
        <f>E429+E430</f>
        <v>137000</v>
      </c>
      <c r="F431" s="309">
        <f aca="true" t="shared" si="129" ref="F431:P431">F429+F430</f>
        <v>137000</v>
      </c>
      <c r="G431" s="309">
        <f t="shared" si="129"/>
        <v>0</v>
      </c>
      <c r="H431" s="309">
        <f t="shared" si="129"/>
        <v>137000</v>
      </c>
      <c r="I431" s="309">
        <f t="shared" si="129"/>
        <v>0</v>
      </c>
      <c r="J431" s="309">
        <f t="shared" si="129"/>
        <v>0</v>
      </c>
      <c r="K431" s="309">
        <f t="shared" si="129"/>
        <v>0</v>
      </c>
      <c r="L431" s="309">
        <f t="shared" si="129"/>
        <v>0</v>
      </c>
      <c r="M431" s="309">
        <f t="shared" si="129"/>
        <v>0</v>
      </c>
      <c r="N431" s="309">
        <f t="shared" si="129"/>
        <v>0</v>
      </c>
      <c r="O431" s="309">
        <f t="shared" si="129"/>
        <v>0</v>
      </c>
      <c r="P431" s="309">
        <f t="shared" si="129"/>
        <v>0</v>
      </c>
      <c r="Q431" s="278"/>
    </row>
    <row r="432" spans="1:17" s="261" customFormat="1" ht="12.75" hidden="1">
      <c r="A432" s="368"/>
      <c r="B432" s="310"/>
      <c r="C432" s="308"/>
      <c r="D432" s="302"/>
      <c r="E432" s="303"/>
      <c r="F432" s="303"/>
      <c r="G432" s="303"/>
      <c r="H432" s="303"/>
      <c r="I432" s="303"/>
      <c r="J432" s="303"/>
      <c r="K432" s="303"/>
      <c r="L432" s="303"/>
      <c r="M432" s="303"/>
      <c r="N432" s="303"/>
      <c r="O432" s="303"/>
      <c r="P432" s="303"/>
      <c r="Q432" s="278"/>
    </row>
    <row r="433" spans="1:17" s="261" customFormat="1" ht="12.75" hidden="1">
      <c r="A433" s="1035">
        <v>90007</v>
      </c>
      <c r="B433" s="1018" t="s">
        <v>252</v>
      </c>
      <c r="C433" s="301" t="s">
        <v>20</v>
      </c>
      <c r="D433" s="302">
        <f>E433+M433</f>
        <v>59000</v>
      </c>
      <c r="E433" s="309">
        <f>F433+I433+J433+K433+L433</f>
        <v>59000</v>
      </c>
      <c r="F433" s="309">
        <f>G433+H433</f>
        <v>59000</v>
      </c>
      <c r="G433" s="309">
        <v>0</v>
      </c>
      <c r="H433" s="303">
        <v>59000</v>
      </c>
      <c r="I433" s="303">
        <v>0</v>
      </c>
      <c r="J433" s="303">
        <v>0</v>
      </c>
      <c r="K433" s="303">
        <v>0</v>
      </c>
      <c r="L433" s="303">
        <v>0</v>
      </c>
      <c r="M433" s="303">
        <f>N433+P433</f>
        <v>0</v>
      </c>
      <c r="N433" s="303">
        <v>0</v>
      </c>
      <c r="O433" s="309">
        <v>0</v>
      </c>
      <c r="P433" s="309">
        <v>0</v>
      </c>
      <c r="Q433" s="278"/>
    </row>
    <row r="434" spans="1:17" s="261" customFormat="1" ht="12.75" hidden="1">
      <c r="A434" s="1036"/>
      <c r="B434" s="1019"/>
      <c r="C434" s="301" t="s">
        <v>21</v>
      </c>
      <c r="D434" s="302">
        <f>E434+M434</f>
        <v>0</v>
      </c>
      <c r="E434" s="309">
        <f>F434+I434+J434+K434+L434</f>
        <v>0</v>
      </c>
      <c r="F434" s="309">
        <f>G434+H434</f>
        <v>0</v>
      </c>
      <c r="G434" s="309"/>
      <c r="H434" s="303"/>
      <c r="I434" s="303"/>
      <c r="J434" s="303"/>
      <c r="K434" s="303"/>
      <c r="L434" s="303"/>
      <c r="M434" s="303">
        <f>N434+P434</f>
        <v>0</v>
      </c>
      <c r="N434" s="303"/>
      <c r="O434" s="309"/>
      <c r="P434" s="309"/>
      <c r="Q434" s="278"/>
    </row>
    <row r="435" spans="1:17" s="261" customFormat="1" ht="12.75" hidden="1">
      <c r="A435" s="1037"/>
      <c r="B435" s="1020"/>
      <c r="C435" s="301" t="s">
        <v>22</v>
      </c>
      <c r="D435" s="302">
        <f>D433+D434</f>
        <v>59000</v>
      </c>
      <c r="E435" s="309">
        <f>E433+E434</f>
        <v>59000</v>
      </c>
      <c r="F435" s="309">
        <f aca="true" t="shared" si="130" ref="F435:P435">F433+F434</f>
        <v>59000</v>
      </c>
      <c r="G435" s="309">
        <f t="shared" si="130"/>
        <v>0</v>
      </c>
      <c r="H435" s="309">
        <f t="shared" si="130"/>
        <v>59000</v>
      </c>
      <c r="I435" s="309">
        <f t="shared" si="130"/>
        <v>0</v>
      </c>
      <c r="J435" s="309">
        <f t="shared" si="130"/>
        <v>0</v>
      </c>
      <c r="K435" s="309">
        <f t="shared" si="130"/>
        <v>0</v>
      </c>
      <c r="L435" s="309">
        <f t="shared" si="130"/>
        <v>0</v>
      </c>
      <c r="M435" s="309">
        <f t="shared" si="130"/>
        <v>0</v>
      </c>
      <c r="N435" s="309">
        <f t="shared" si="130"/>
        <v>0</v>
      </c>
      <c r="O435" s="309">
        <f t="shared" si="130"/>
        <v>0</v>
      </c>
      <c r="P435" s="309">
        <f t="shared" si="130"/>
        <v>0</v>
      </c>
      <c r="Q435" s="278"/>
    </row>
    <row r="436" spans="1:17" s="336" customFormat="1" ht="14.25" hidden="1">
      <c r="A436" s="376"/>
      <c r="B436" s="377"/>
      <c r="C436" s="378"/>
      <c r="D436" s="287"/>
      <c r="E436" s="288"/>
      <c r="F436" s="288"/>
      <c r="G436" s="288"/>
      <c r="H436" s="363"/>
      <c r="I436" s="363"/>
      <c r="J436" s="363"/>
      <c r="K436" s="363"/>
      <c r="L436" s="363"/>
      <c r="M436" s="363"/>
      <c r="N436" s="363"/>
      <c r="O436" s="288"/>
      <c r="P436" s="379"/>
      <c r="Q436" s="335"/>
    </row>
    <row r="437" spans="1:17" s="261" customFormat="1" ht="12.75" hidden="1">
      <c r="A437" s="1035">
        <v>90019</v>
      </c>
      <c r="B437" s="1018" t="s">
        <v>387</v>
      </c>
      <c r="C437" s="301" t="s">
        <v>20</v>
      </c>
      <c r="D437" s="302">
        <f>E437+M437</f>
        <v>1809841</v>
      </c>
      <c r="E437" s="309">
        <f>F437+I437+J437+K437+L437</f>
        <v>1789841</v>
      </c>
      <c r="F437" s="309">
        <f>G437+H437</f>
        <v>1789841</v>
      </c>
      <c r="G437" s="309">
        <v>1692341</v>
      </c>
      <c r="H437" s="303">
        <v>97500</v>
      </c>
      <c r="I437" s="303">
        <v>0</v>
      </c>
      <c r="J437" s="303">
        <v>0</v>
      </c>
      <c r="K437" s="303">
        <v>0</v>
      </c>
      <c r="L437" s="303">
        <v>0</v>
      </c>
      <c r="M437" s="303">
        <f>N437+P437</f>
        <v>20000</v>
      </c>
      <c r="N437" s="303">
        <v>20000</v>
      </c>
      <c r="O437" s="309">
        <v>0</v>
      </c>
      <c r="P437" s="309">
        <v>0</v>
      </c>
      <c r="Q437" s="278"/>
    </row>
    <row r="438" spans="1:17" s="261" customFormat="1" ht="12.75" hidden="1">
      <c r="A438" s="1036"/>
      <c r="B438" s="1019"/>
      <c r="C438" s="301" t="s">
        <v>21</v>
      </c>
      <c r="D438" s="302">
        <f>E438+M438</f>
        <v>0</v>
      </c>
      <c r="E438" s="309">
        <f>F438+I438+J438+K438+L438</f>
        <v>0</v>
      </c>
      <c r="F438" s="309">
        <f>G438+H438</f>
        <v>0</v>
      </c>
      <c r="G438" s="309"/>
      <c r="H438" s="303"/>
      <c r="I438" s="303"/>
      <c r="J438" s="303"/>
      <c r="K438" s="303"/>
      <c r="L438" s="303"/>
      <c r="M438" s="303">
        <f>N438+P438</f>
        <v>0</v>
      </c>
      <c r="N438" s="303"/>
      <c r="O438" s="309"/>
      <c r="P438" s="309"/>
      <c r="Q438" s="278"/>
    </row>
    <row r="439" spans="1:17" s="261" customFormat="1" ht="12.75" hidden="1">
      <c r="A439" s="1037"/>
      <c r="B439" s="1020"/>
      <c r="C439" s="301" t="s">
        <v>22</v>
      </c>
      <c r="D439" s="302">
        <f>D437+D438</f>
        <v>1809841</v>
      </c>
      <c r="E439" s="309">
        <f>E437+E438</f>
        <v>1789841</v>
      </c>
      <c r="F439" s="309">
        <f aca="true" t="shared" si="131" ref="F439:P439">F437+F438</f>
        <v>1789841</v>
      </c>
      <c r="G439" s="309">
        <f t="shared" si="131"/>
        <v>1692341</v>
      </c>
      <c r="H439" s="309">
        <f t="shared" si="131"/>
        <v>97500</v>
      </c>
      <c r="I439" s="309">
        <f t="shared" si="131"/>
        <v>0</v>
      </c>
      <c r="J439" s="309">
        <f t="shared" si="131"/>
        <v>0</v>
      </c>
      <c r="K439" s="309">
        <f t="shared" si="131"/>
        <v>0</v>
      </c>
      <c r="L439" s="309">
        <f t="shared" si="131"/>
        <v>0</v>
      </c>
      <c r="M439" s="309">
        <f t="shared" si="131"/>
        <v>20000</v>
      </c>
      <c r="N439" s="309">
        <f t="shared" si="131"/>
        <v>20000</v>
      </c>
      <c r="O439" s="309">
        <f t="shared" si="131"/>
        <v>0</v>
      </c>
      <c r="P439" s="309">
        <f t="shared" si="131"/>
        <v>0</v>
      </c>
      <c r="Q439" s="278"/>
    </row>
    <row r="440" spans="1:17" s="261" customFormat="1" ht="12.75" hidden="1">
      <c r="A440" s="368"/>
      <c r="B440" s="307"/>
      <c r="C440" s="308"/>
      <c r="D440" s="302"/>
      <c r="E440" s="303"/>
      <c r="F440" s="303"/>
      <c r="G440" s="303"/>
      <c r="H440" s="303"/>
      <c r="I440" s="303"/>
      <c r="J440" s="303"/>
      <c r="K440" s="303"/>
      <c r="L440" s="303"/>
      <c r="M440" s="303"/>
      <c r="N440" s="303"/>
      <c r="O440" s="303"/>
      <c r="P440" s="303"/>
      <c r="Q440" s="278"/>
    </row>
    <row r="441" spans="1:17" s="261" customFormat="1" ht="12.75" hidden="1">
      <c r="A441" s="1035">
        <v>90020</v>
      </c>
      <c r="B441" s="1018" t="s">
        <v>388</v>
      </c>
      <c r="C441" s="301" t="s">
        <v>20</v>
      </c>
      <c r="D441" s="302">
        <f>E441+M441</f>
        <v>7555</v>
      </c>
      <c r="E441" s="303">
        <f>F441+I441+J441+K441+L441</f>
        <v>7555</v>
      </c>
      <c r="F441" s="303">
        <f>G441+H441</f>
        <v>7555</v>
      </c>
      <c r="G441" s="303">
        <v>0</v>
      </c>
      <c r="H441" s="303">
        <v>7555</v>
      </c>
      <c r="I441" s="303">
        <v>0</v>
      </c>
      <c r="J441" s="303">
        <v>0</v>
      </c>
      <c r="K441" s="303">
        <v>0</v>
      </c>
      <c r="L441" s="303">
        <v>0</v>
      </c>
      <c r="M441" s="303">
        <f>N441+P441</f>
        <v>0</v>
      </c>
      <c r="N441" s="303">
        <v>0</v>
      </c>
      <c r="O441" s="303">
        <v>0</v>
      </c>
      <c r="P441" s="303">
        <v>0</v>
      </c>
      <c r="Q441" s="278"/>
    </row>
    <row r="442" spans="1:17" s="261" customFormat="1" ht="12.75" hidden="1">
      <c r="A442" s="1036"/>
      <c r="B442" s="1019"/>
      <c r="C442" s="301" t="s">
        <v>21</v>
      </c>
      <c r="D442" s="302">
        <f>E442+M442</f>
        <v>0</v>
      </c>
      <c r="E442" s="303">
        <f>F442+I442+J442+K442+L442</f>
        <v>0</v>
      </c>
      <c r="F442" s="303">
        <f>G442+H442</f>
        <v>0</v>
      </c>
      <c r="G442" s="303"/>
      <c r="H442" s="303"/>
      <c r="I442" s="303"/>
      <c r="J442" s="303"/>
      <c r="K442" s="303"/>
      <c r="L442" s="303"/>
      <c r="M442" s="303">
        <f>N442+P442</f>
        <v>0</v>
      </c>
      <c r="N442" s="303"/>
      <c r="O442" s="303"/>
      <c r="P442" s="303"/>
      <c r="Q442" s="278"/>
    </row>
    <row r="443" spans="1:17" s="261" customFormat="1" ht="12.75" hidden="1">
      <c r="A443" s="1037"/>
      <c r="B443" s="1020"/>
      <c r="C443" s="301" t="s">
        <v>22</v>
      </c>
      <c r="D443" s="302">
        <f>D441+D442</f>
        <v>7555</v>
      </c>
      <c r="E443" s="303">
        <f>E441+E442</f>
        <v>7555</v>
      </c>
      <c r="F443" s="303">
        <f aca="true" t="shared" si="132" ref="F443:P443">F441+F442</f>
        <v>7555</v>
      </c>
      <c r="G443" s="303">
        <f t="shared" si="132"/>
        <v>0</v>
      </c>
      <c r="H443" s="303">
        <f t="shared" si="132"/>
        <v>7555</v>
      </c>
      <c r="I443" s="303">
        <f t="shared" si="132"/>
        <v>0</v>
      </c>
      <c r="J443" s="303">
        <f t="shared" si="132"/>
        <v>0</v>
      </c>
      <c r="K443" s="303">
        <f t="shared" si="132"/>
        <v>0</v>
      </c>
      <c r="L443" s="303">
        <f t="shared" si="132"/>
        <v>0</v>
      </c>
      <c r="M443" s="303">
        <f t="shared" si="132"/>
        <v>0</v>
      </c>
      <c r="N443" s="303">
        <f t="shared" si="132"/>
        <v>0</v>
      </c>
      <c r="O443" s="303">
        <f t="shared" si="132"/>
        <v>0</v>
      </c>
      <c r="P443" s="303">
        <f t="shared" si="132"/>
        <v>0</v>
      </c>
      <c r="Q443" s="278"/>
    </row>
    <row r="444" spans="1:17" s="261" customFormat="1" ht="12.75" hidden="1">
      <c r="A444" s="368"/>
      <c r="B444" s="310"/>
      <c r="C444" s="308"/>
      <c r="D444" s="302"/>
      <c r="E444" s="303"/>
      <c r="F444" s="303"/>
      <c r="G444" s="303"/>
      <c r="H444" s="303"/>
      <c r="I444" s="303"/>
      <c r="J444" s="303"/>
      <c r="K444" s="303"/>
      <c r="L444" s="303"/>
      <c r="M444" s="303"/>
      <c r="N444" s="303"/>
      <c r="O444" s="303"/>
      <c r="P444" s="303"/>
      <c r="Q444" s="278"/>
    </row>
    <row r="445" spans="1:17" s="261" customFormat="1" ht="12.75" hidden="1">
      <c r="A445" s="1035">
        <v>90024</v>
      </c>
      <c r="B445" s="1029" t="s">
        <v>389</v>
      </c>
      <c r="C445" s="301" t="s">
        <v>20</v>
      </c>
      <c r="D445" s="302">
        <f>E445+M445</f>
        <v>2000</v>
      </c>
      <c r="E445" s="303">
        <f>F445+I445+J445+K445+L445</f>
        <v>2000</v>
      </c>
      <c r="F445" s="303">
        <f>G445+H445</f>
        <v>2000</v>
      </c>
      <c r="G445" s="303">
        <v>0</v>
      </c>
      <c r="H445" s="303">
        <v>2000</v>
      </c>
      <c r="I445" s="303">
        <v>0</v>
      </c>
      <c r="J445" s="303">
        <v>0</v>
      </c>
      <c r="K445" s="303">
        <v>0</v>
      </c>
      <c r="L445" s="303">
        <v>0</v>
      </c>
      <c r="M445" s="303">
        <f>N445+P445</f>
        <v>0</v>
      </c>
      <c r="N445" s="303">
        <v>0</v>
      </c>
      <c r="O445" s="303">
        <v>0</v>
      </c>
      <c r="P445" s="303">
        <v>0</v>
      </c>
      <c r="Q445" s="278"/>
    </row>
    <row r="446" spans="1:17" s="261" customFormat="1" ht="12.75" hidden="1">
      <c r="A446" s="1036"/>
      <c r="B446" s="1030"/>
      <c r="C446" s="301" t="s">
        <v>21</v>
      </c>
      <c r="D446" s="302">
        <f>E446+M446</f>
        <v>0</v>
      </c>
      <c r="E446" s="303">
        <f>F446+I446+J446+K446+L446</f>
        <v>0</v>
      </c>
      <c r="F446" s="303">
        <f>G446+H446</f>
        <v>0</v>
      </c>
      <c r="G446" s="303"/>
      <c r="H446" s="303"/>
      <c r="I446" s="303"/>
      <c r="J446" s="303"/>
      <c r="K446" s="303"/>
      <c r="L446" s="303"/>
      <c r="M446" s="303">
        <f>N446+P446</f>
        <v>0</v>
      </c>
      <c r="N446" s="303"/>
      <c r="O446" s="303"/>
      <c r="P446" s="303"/>
      <c r="Q446" s="278"/>
    </row>
    <row r="447" spans="1:17" s="261" customFormat="1" ht="12.75" hidden="1">
      <c r="A447" s="1037"/>
      <c r="B447" s="1031"/>
      <c r="C447" s="301" t="s">
        <v>22</v>
      </c>
      <c r="D447" s="302">
        <f>D445+D446</f>
        <v>2000</v>
      </c>
      <c r="E447" s="303">
        <f>E445+E446</f>
        <v>2000</v>
      </c>
      <c r="F447" s="303">
        <f aca="true" t="shared" si="133" ref="F447:P447">F445+F446</f>
        <v>2000</v>
      </c>
      <c r="G447" s="303">
        <f t="shared" si="133"/>
        <v>0</v>
      </c>
      <c r="H447" s="303">
        <f t="shared" si="133"/>
        <v>2000</v>
      </c>
      <c r="I447" s="303">
        <f t="shared" si="133"/>
        <v>0</v>
      </c>
      <c r="J447" s="303">
        <f t="shared" si="133"/>
        <v>0</v>
      </c>
      <c r="K447" s="303">
        <f t="shared" si="133"/>
        <v>0</v>
      </c>
      <c r="L447" s="303">
        <f t="shared" si="133"/>
        <v>0</v>
      </c>
      <c r="M447" s="303">
        <f t="shared" si="133"/>
        <v>0</v>
      </c>
      <c r="N447" s="303">
        <f t="shared" si="133"/>
        <v>0</v>
      </c>
      <c r="O447" s="303">
        <f t="shared" si="133"/>
        <v>0</v>
      </c>
      <c r="P447" s="303">
        <f t="shared" si="133"/>
        <v>0</v>
      </c>
      <c r="Q447" s="278"/>
    </row>
    <row r="448" spans="1:17" s="261" customFormat="1" ht="12.75" hidden="1">
      <c r="A448" s="368"/>
      <c r="B448" s="307"/>
      <c r="C448" s="308"/>
      <c r="D448" s="302"/>
      <c r="E448" s="309"/>
      <c r="F448" s="309"/>
      <c r="G448" s="309"/>
      <c r="H448" s="303"/>
      <c r="I448" s="303"/>
      <c r="J448" s="303"/>
      <c r="K448" s="303"/>
      <c r="L448" s="303"/>
      <c r="M448" s="303"/>
      <c r="N448" s="303"/>
      <c r="O448" s="309"/>
      <c r="P448" s="309"/>
      <c r="Q448" s="278"/>
    </row>
    <row r="449" spans="1:17" s="261" customFormat="1" ht="12.75" hidden="1">
      <c r="A449" s="1035">
        <v>90095</v>
      </c>
      <c r="B449" s="1018" t="s">
        <v>210</v>
      </c>
      <c r="C449" s="301" t="s">
        <v>20</v>
      </c>
      <c r="D449" s="302">
        <f>E449+M449</f>
        <v>4102360</v>
      </c>
      <c r="E449" s="309">
        <f>F449+I449+J449+K449+L449</f>
        <v>4011860</v>
      </c>
      <c r="F449" s="309">
        <f>G449+H449</f>
        <v>2865820</v>
      </c>
      <c r="G449" s="309">
        <v>135000</v>
      </c>
      <c r="H449" s="303">
        <v>2730820</v>
      </c>
      <c r="I449" s="303">
        <v>0</v>
      </c>
      <c r="J449" s="303">
        <v>0</v>
      </c>
      <c r="K449" s="303">
        <f>6750+8250+14625+17875+18225+22275+137318+167832+25585+31270+3364+4111+11520+14080+1507+1843+4500+5500+291474+356246+850+1040</f>
        <v>1146040</v>
      </c>
      <c r="L449" s="303">
        <v>0</v>
      </c>
      <c r="M449" s="303">
        <f>N449+P449</f>
        <v>90500</v>
      </c>
      <c r="N449" s="303">
        <v>90500</v>
      </c>
      <c r="O449" s="309">
        <v>40500</v>
      </c>
      <c r="P449" s="309">
        <v>0</v>
      </c>
      <c r="Q449" s="278"/>
    </row>
    <row r="450" spans="1:17" s="261" customFormat="1" ht="12.75" hidden="1">
      <c r="A450" s="1036"/>
      <c r="B450" s="1019"/>
      <c r="C450" s="301" t="s">
        <v>21</v>
      </c>
      <c r="D450" s="302">
        <f>E450+M450</f>
        <v>0</v>
      </c>
      <c r="E450" s="309">
        <f>F450+I450+J450+K450+L450</f>
        <v>0</v>
      </c>
      <c r="F450" s="309">
        <f>G450+H450</f>
        <v>0</v>
      </c>
      <c r="G450" s="314"/>
      <c r="H450" s="311"/>
      <c r="I450" s="311"/>
      <c r="J450" s="311"/>
      <c r="K450" s="311"/>
      <c r="L450" s="311"/>
      <c r="M450" s="303">
        <f>N450+P450</f>
        <v>0</v>
      </c>
      <c r="N450" s="311"/>
      <c r="O450" s="314"/>
      <c r="P450" s="314"/>
      <c r="Q450" s="278"/>
    </row>
    <row r="451" spans="1:17" s="261" customFormat="1" ht="12.75" hidden="1">
      <c r="A451" s="1037"/>
      <c r="B451" s="1020"/>
      <c r="C451" s="301" t="s">
        <v>22</v>
      </c>
      <c r="D451" s="312">
        <f>D449+D450</f>
        <v>4102360</v>
      </c>
      <c r="E451" s="314">
        <f>E449+E450</f>
        <v>4011860</v>
      </c>
      <c r="F451" s="314">
        <f aca="true" t="shared" si="134" ref="F451:P451">F449+F450</f>
        <v>2865820</v>
      </c>
      <c r="G451" s="314">
        <f t="shared" si="134"/>
        <v>135000</v>
      </c>
      <c r="H451" s="314">
        <f t="shared" si="134"/>
        <v>2730820</v>
      </c>
      <c r="I451" s="314">
        <f t="shared" si="134"/>
        <v>0</v>
      </c>
      <c r="J451" s="314">
        <f t="shared" si="134"/>
        <v>0</v>
      </c>
      <c r="K451" s="314">
        <f t="shared" si="134"/>
        <v>1146040</v>
      </c>
      <c r="L451" s="314">
        <f t="shared" si="134"/>
        <v>0</v>
      </c>
      <c r="M451" s="314">
        <f t="shared" si="134"/>
        <v>90500</v>
      </c>
      <c r="N451" s="314">
        <f t="shared" si="134"/>
        <v>90500</v>
      </c>
      <c r="O451" s="314">
        <f t="shared" si="134"/>
        <v>40500</v>
      </c>
      <c r="P451" s="314">
        <f t="shared" si="134"/>
        <v>0</v>
      </c>
      <c r="Q451" s="278"/>
    </row>
    <row r="452" spans="1:17" s="261" customFormat="1" ht="14.25" customHeight="1" thickBot="1">
      <c r="A452" s="367"/>
      <c r="B452" s="313"/>
      <c r="C452" s="301"/>
      <c r="D452" s="312"/>
      <c r="E452" s="314"/>
      <c r="F452" s="314"/>
      <c r="G452" s="314"/>
      <c r="H452" s="311"/>
      <c r="I452" s="311"/>
      <c r="J452" s="311"/>
      <c r="K452" s="311"/>
      <c r="L452" s="311"/>
      <c r="M452" s="311"/>
      <c r="N452" s="311"/>
      <c r="O452" s="314"/>
      <c r="P452" s="314"/>
      <c r="Q452" s="278"/>
    </row>
    <row r="453" spans="1:17" s="336" customFormat="1" ht="17.25" customHeight="1">
      <c r="A453" s="1038">
        <v>921</v>
      </c>
      <c r="B453" s="1012" t="s">
        <v>49</v>
      </c>
      <c r="C453" s="279" t="s">
        <v>20</v>
      </c>
      <c r="D453" s="280">
        <f>D457+D461+D465+D469+D473+D477+D481+D489+D485</f>
        <v>85248276</v>
      </c>
      <c r="E453" s="361">
        <f>E457+E461+E465+E469+E473+E477+E481+E489+E485</f>
        <v>80910646</v>
      </c>
      <c r="F453" s="361">
        <f aca="true" t="shared" si="135" ref="F453:P454">F457+F461+F465+F469+F473+F477+F481+F489+F485</f>
        <v>540000</v>
      </c>
      <c r="G453" s="361">
        <f t="shared" si="135"/>
        <v>57500</v>
      </c>
      <c r="H453" s="361">
        <f t="shared" si="135"/>
        <v>482500</v>
      </c>
      <c r="I453" s="361">
        <f t="shared" si="135"/>
        <v>75381598</v>
      </c>
      <c r="J453" s="361">
        <f t="shared" si="135"/>
        <v>325000</v>
      </c>
      <c r="K453" s="361">
        <f t="shared" si="135"/>
        <v>4664048</v>
      </c>
      <c r="L453" s="361">
        <f t="shared" si="135"/>
        <v>0</v>
      </c>
      <c r="M453" s="361">
        <f t="shared" si="135"/>
        <v>4337630</v>
      </c>
      <c r="N453" s="361">
        <f t="shared" si="135"/>
        <v>4337630</v>
      </c>
      <c r="O453" s="361">
        <f t="shared" si="135"/>
        <v>0</v>
      </c>
      <c r="P453" s="362">
        <f t="shared" si="135"/>
        <v>0</v>
      </c>
      <c r="Q453" s="335"/>
    </row>
    <row r="454" spans="1:17" s="336" customFormat="1" ht="17.25" customHeight="1">
      <c r="A454" s="1039"/>
      <c r="B454" s="1013"/>
      <c r="C454" s="286" t="s">
        <v>21</v>
      </c>
      <c r="D454" s="287">
        <f>D458+D462+D466+D470+D474+D478+D482+D490+D486</f>
        <v>1956439</v>
      </c>
      <c r="E454" s="363">
        <f>E458+E462+E466+E470+E474+E478+E482+E490+E486</f>
        <v>1483309</v>
      </c>
      <c r="F454" s="363">
        <f t="shared" si="135"/>
        <v>0</v>
      </c>
      <c r="G454" s="363">
        <f t="shared" si="135"/>
        <v>0</v>
      </c>
      <c r="H454" s="363">
        <f t="shared" si="135"/>
        <v>0</v>
      </c>
      <c r="I454" s="363">
        <f t="shared" si="135"/>
        <v>0</v>
      </c>
      <c r="J454" s="363">
        <f t="shared" si="135"/>
        <v>0</v>
      </c>
      <c r="K454" s="363">
        <f t="shared" si="135"/>
        <v>1483309</v>
      </c>
      <c r="L454" s="363">
        <f t="shared" si="135"/>
        <v>0</v>
      </c>
      <c r="M454" s="363">
        <f t="shared" si="135"/>
        <v>473130</v>
      </c>
      <c r="N454" s="363">
        <f t="shared" si="135"/>
        <v>473130</v>
      </c>
      <c r="O454" s="363">
        <f t="shared" si="135"/>
        <v>0</v>
      </c>
      <c r="P454" s="364">
        <f t="shared" si="135"/>
        <v>0</v>
      </c>
      <c r="Q454" s="335"/>
    </row>
    <row r="455" spans="1:17" s="336" customFormat="1" ht="17.25" customHeight="1" thickBot="1">
      <c r="A455" s="1040"/>
      <c r="B455" s="1014"/>
      <c r="C455" s="290" t="s">
        <v>22</v>
      </c>
      <c r="D455" s="291">
        <f>D453+D454</f>
        <v>87204715</v>
      </c>
      <c r="E455" s="292">
        <f>E453+E454</f>
        <v>82393955</v>
      </c>
      <c r="F455" s="292">
        <f aca="true" t="shared" si="136" ref="F455:P455">F453+F454</f>
        <v>540000</v>
      </c>
      <c r="G455" s="292">
        <f t="shared" si="136"/>
        <v>57500</v>
      </c>
      <c r="H455" s="292">
        <f t="shared" si="136"/>
        <v>482500</v>
      </c>
      <c r="I455" s="292">
        <f t="shared" si="136"/>
        <v>75381598</v>
      </c>
      <c r="J455" s="292">
        <f t="shared" si="136"/>
        <v>325000</v>
      </c>
      <c r="K455" s="292">
        <f t="shared" si="136"/>
        <v>6147357</v>
      </c>
      <c r="L455" s="292">
        <f t="shared" si="136"/>
        <v>0</v>
      </c>
      <c r="M455" s="292">
        <f t="shared" si="136"/>
        <v>4810760</v>
      </c>
      <c r="N455" s="292">
        <f t="shared" si="136"/>
        <v>4810760</v>
      </c>
      <c r="O455" s="292">
        <f t="shared" si="136"/>
        <v>0</v>
      </c>
      <c r="P455" s="293">
        <f t="shared" si="136"/>
        <v>0</v>
      </c>
      <c r="Q455" s="335"/>
    </row>
    <row r="456" spans="1:17" s="336" customFormat="1" ht="14.25">
      <c r="A456" s="418"/>
      <c r="B456" s="419"/>
      <c r="C456" s="420"/>
      <c r="D456" s="280"/>
      <c r="E456" s="361"/>
      <c r="F456" s="361"/>
      <c r="G456" s="361"/>
      <c r="H456" s="361"/>
      <c r="I456" s="361"/>
      <c r="J456" s="361"/>
      <c r="K456" s="361"/>
      <c r="L456" s="361"/>
      <c r="M456" s="361"/>
      <c r="N456" s="361"/>
      <c r="O456" s="361"/>
      <c r="P456" s="421"/>
      <c r="Q456" s="335"/>
    </row>
    <row r="457" spans="1:17" s="261" customFormat="1" ht="12.75">
      <c r="A457" s="1035">
        <v>92106</v>
      </c>
      <c r="B457" s="1018" t="s">
        <v>390</v>
      </c>
      <c r="C457" s="308" t="s">
        <v>20</v>
      </c>
      <c r="D457" s="302">
        <f>E457+M457</f>
        <v>27877114</v>
      </c>
      <c r="E457" s="309">
        <f>F457+I457+J457+K457+L457</f>
        <v>25642500</v>
      </c>
      <c r="F457" s="309">
        <f>G457+H457</f>
        <v>50000</v>
      </c>
      <c r="G457" s="309">
        <v>0</v>
      </c>
      <c r="H457" s="303">
        <v>50000</v>
      </c>
      <c r="I457" s="303">
        <f>25342500+250000</f>
        <v>25592500</v>
      </c>
      <c r="J457" s="303">
        <v>0</v>
      </c>
      <c r="K457" s="303">
        <v>0</v>
      </c>
      <c r="L457" s="303">
        <v>0</v>
      </c>
      <c r="M457" s="303">
        <f>N457+P457</f>
        <v>2234614</v>
      </c>
      <c r="N457" s="303">
        <v>2234614</v>
      </c>
      <c r="O457" s="309">
        <v>0</v>
      </c>
      <c r="P457" s="309">
        <v>0</v>
      </c>
      <c r="Q457" s="278"/>
    </row>
    <row r="458" spans="1:17" s="261" customFormat="1" ht="12.75">
      <c r="A458" s="1036"/>
      <c r="B458" s="1019"/>
      <c r="C458" s="308" t="s">
        <v>21</v>
      </c>
      <c r="D458" s="302">
        <f>E458+M458</f>
        <v>248520</v>
      </c>
      <c r="E458" s="309">
        <f>F458+I458+J458+K458+L458</f>
        <v>0</v>
      </c>
      <c r="F458" s="309">
        <f>G458+H458</f>
        <v>0</v>
      </c>
      <c r="G458" s="309"/>
      <c r="H458" s="303"/>
      <c r="I458" s="303"/>
      <c r="J458" s="303"/>
      <c r="K458" s="303"/>
      <c r="L458" s="303"/>
      <c r="M458" s="303">
        <f>N458+P458</f>
        <v>248520</v>
      </c>
      <c r="N458" s="303">
        <v>248520</v>
      </c>
      <c r="O458" s="309"/>
      <c r="P458" s="309"/>
      <c r="Q458" s="278"/>
    </row>
    <row r="459" spans="1:17" s="261" customFormat="1" ht="12.75">
      <c r="A459" s="1037"/>
      <c r="B459" s="1020"/>
      <c r="C459" s="308" t="s">
        <v>22</v>
      </c>
      <c r="D459" s="302">
        <f>D457+D458</f>
        <v>28125634</v>
      </c>
      <c r="E459" s="309">
        <f>E457+E458</f>
        <v>25642500</v>
      </c>
      <c r="F459" s="309">
        <f aca="true" t="shared" si="137" ref="F459:P459">F457+F458</f>
        <v>50000</v>
      </c>
      <c r="G459" s="309">
        <f t="shared" si="137"/>
        <v>0</v>
      </c>
      <c r="H459" s="309">
        <f t="shared" si="137"/>
        <v>50000</v>
      </c>
      <c r="I459" s="309">
        <f t="shared" si="137"/>
        <v>25592500</v>
      </c>
      <c r="J459" s="309">
        <f t="shared" si="137"/>
        <v>0</v>
      </c>
      <c r="K459" s="309">
        <f t="shared" si="137"/>
        <v>0</v>
      </c>
      <c r="L459" s="309">
        <f t="shared" si="137"/>
        <v>0</v>
      </c>
      <c r="M459" s="309">
        <f t="shared" si="137"/>
        <v>2483134</v>
      </c>
      <c r="N459" s="309">
        <f t="shared" si="137"/>
        <v>2483134</v>
      </c>
      <c r="O459" s="309">
        <f t="shared" si="137"/>
        <v>0</v>
      </c>
      <c r="P459" s="309">
        <f t="shared" si="137"/>
        <v>0</v>
      </c>
      <c r="Q459" s="278"/>
    </row>
    <row r="460" spans="1:17" s="261" customFormat="1" ht="12.75" hidden="1">
      <c r="A460" s="368"/>
      <c r="B460" s="307"/>
      <c r="C460" s="308"/>
      <c r="D460" s="302"/>
      <c r="E460" s="303"/>
      <c r="F460" s="303"/>
      <c r="G460" s="303"/>
      <c r="H460" s="303"/>
      <c r="I460" s="303"/>
      <c r="J460" s="303"/>
      <c r="K460" s="303"/>
      <c r="L460" s="303"/>
      <c r="M460" s="303"/>
      <c r="N460" s="303"/>
      <c r="O460" s="303"/>
      <c r="P460" s="303"/>
      <c r="Q460" s="278"/>
    </row>
    <row r="461" spans="1:17" s="261" customFormat="1" ht="12.75" hidden="1">
      <c r="A461" s="1035">
        <v>92108</v>
      </c>
      <c r="B461" s="1018" t="s">
        <v>391</v>
      </c>
      <c r="C461" s="301" t="s">
        <v>20</v>
      </c>
      <c r="D461" s="302">
        <f>E461+M461</f>
        <v>9010000</v>
      </c>
      <c r="E461" s="303">
        <f>F461+I461+J461+K461+L461</f>
        <v>8210000</v>
      </c>
      <c r="F461" s="303">
        <f>G461+H461</f>
        <v>0</v>
      </c>
      <c r="G461" s="303">
        <v>0</v>
      </c>
      <c r="H461" s="303">
        <v>0</v>
      </c>
      <c r="I461" s="303">
        <v>8210000</v>
      </c>
      <c r="J461" s="303">
        <v>0</v>
      </c>
      <c r="K461" s="303">
        <v>0</v>
      </c>
      <c r="L461" s="303">
        <v>0</v>
      </c>
      <c r="M461" s="303">
        <f>N461+P461</f>
        <v>800000</v>
      </c>
      <c r="N461" s="303">
        <v>800000</v>
      </c>
      <c r="O461" s="303">
        <v>0</v>
      </c>
      <c r="P461" s="303">
        <v>0</v>
      </c>
      <c r="Q461" s="278"/>
    </row>
    <row r="462" spans="1:17" s="261" customFormat="1" ht="12.75" hidden="1">
      <c r="A462" s="1036"/>
      <c r="B462" s="1019"/>
      <c r="C462" s="301" t="s">
        <v>21</v>
      </c>
      <c r="D462" s="302">
        <f>E462+M462</f>
        <v>0</v>
      </c>
      <c r="E462" s="303">
        <f>F462+I462+J462+K462+L462</f>
        <v>0</v>
      </c>
      <c r="F462" s="303">
        <f>G462+H462</f>
        <v>0</v>
      </c>
      <c r="G462" s="303"/>
      <c r="H462" s="303"/>
      <c r="I462" s="303"/>
      <c r="J462" s="303"/>
      <c r="K462" s="303"/>
      <c r="L462" s="303"/>
      <c r="M462" s="303">
        <f>N462+P462</f>
        <v>0</v>
      </c>
      <c r="N462" s="303"/>
      <c r="O462" s="303"/>
      <c r="P462" s="303"/>
      <c r="Q462" s="278"/>
    </row>
    <row r="463" spans="1:17" s="261" customFormat="1" ht="12.75" hidden="1">
      <c r="A463" s="1037"/>
      <c r="B463" s="1020"/>
      <c r="C463" s="301" t="s">
        <v>22</v>
      </c>
      <c r="D463" s="302">
        <f>D461+D462</f>
        <v>9010000</v>
      </c>
      <c r="E463" s="303">
        <f>E461+E462</f>
        <v>8210000</v>
      </c>
      <c r="F463" s="303">
        <f aca="true" t="shared" si="138" ref="F463:P463">F461+F462</f>
        <v>0</v>
      </c>
      <c r="G463" s="303">
        <f t="shared" si="138"/>
        <v>0</v>
      </c>
      <c r="H463" s="303">
        <f t="shared" si="138"/>
        <v>0</v>
      </c>
      <c r="I463" s="303">
        <f t="shared" si="138"/>
        <v>8210000</v>
      </c>
      <c r="J463" s="303">
        <f t="shared" si="138"/>
        <v>0</v>
      </c>
      <c r="K463" s="303">
        <f t="shared" si="138"/>
        <v>0</v>
      </c>
      <c r="L463" s="303">
        <f t="shared" si="138"/>
        <v>0</v>
      </c>
      <c r="M463" s="303">
        <f t="shared" si="138"/>
        <v>800000</v>
      </c>
      <c r="N463" s="303">
        <f t="shared" si="138"/>
        <v>800000</v>
      </c>
      <c r="O463" s="303">
        <f t="shared" si="138"/>
        <v>0</v>
      </c>
      <c r="P463" s="303">
        <f t="shared" si="138"/>
        <v>0</v>
      </c>
      <c r="Q463" s="278"/>
    </row>
    <row r="464" spans="1:17" s="261" customFormat="1" ht="12.75" hidden="1">
      <c r="A464" s="368"/>
      <c r="B464" s="307"/>
      <c r="C464" s="308"/>
      <c r="D464" s="302"/>
      <c r="E464" s="309"/>
      <c r="F464" s="309"/>
      <c r="G464" s="309"/>
      <c r="H464" s="303"/>
      <c r="I464" s="303"/>
      <c r="J464" s="303"/>
      <c r="K464" s="303"/>
      <c r="L464" s="303"/>
      <c r="M464" s="303"/>
      <c r="N464" s="303"/>
      <c r="O464" s="309"/>
      <c r="P464" s="309"/>
      <c r="Q464" s="278"/>
    </row>
    <row r="465" spans="1:17" s="261" customFormat="1" ht="12.75" hidden="1">
      <c r="A465" s="1035">
        <v>92109</v>
      </c>
      <c r="B465" s="1018" t="s">
        <v>392</v>
      </c>
      <c r="C465" s="301" t="s">
        <v>20</v>
      </c>
      <c r="D465" s="302">
        <f>E465+M465</f>
        <v>6375130</v>
      </c>
      <c r="E465" s="309">
        <f>F465+I465+J465+K465+L465</f>
        <v>6375130</v>
      </c>
      <c r="F465" s="309">
        <f>G465+H465</f>
        <v>0</v>
      </c>
      <c r="G465" s="309">
        <v>0</v>
      </c>
      <c r="H465" s="303">
        <v>0</v>
      </c>
      <c r="I465" s="303">
        <f>6285130+90000</f>
        <v>6375130</v>
      </c>
      <c r="J465" s="303">
        <v>0</v>
      </c>
      <c r="K465" s="303">
        <v>0</v>
      </c>
      <c r="L465" s="303">
        <v>0</v>
      </c>
      <c r="M465" s="303">
        <f>N465+P465</f>
        <v>0</v>
      </c>
      <c r="N465" s="303">
        <v>0</v>
      </c>
      <c r="O465" s="309">
        <v>0</v>
      </c>
      <c r="P465" s="309">
        <v>0</v>
      </c>
      <c r="Q465" s="278"/>
    </row>
    <row r="466" spans="1:17" s="261" customFormat="1" ht="12.75" hidden="1">
      <c r="A466" s="1036"/>
      <c r="B466" s="1019"/>
      <c r="C466" s="301" t="s">
        <v>21</v>
      </c>
      <c r="D466" s="302">
        <f>E466+M466</f>
        <v>0</v>
      </c>
      <c r="E466" s="309">
        <f>F466+I466+J466+K466+L466</f>
        <v>0</v>
      </c>
      <c r="F466" s="309">
        <f>G466+H466</f>
        <v>0</v>
      </c>
      <c r="G466" s="309"/>
      <c r="H466" s="303"/>
      <c r="I466" s="303"/>
      <c r="J466" s="303"/>
      <c r="K466" s="303"/>
      <c r="L466" s="303"/>
      <c r="M466" s="303">
        <f>N466+P466</f>
        <v>0</v>
      </c>
      <c r="N466" s="303"/>
      <c r="O466" s="309"/>
      <c r="P466" s="309"/>
      <c r="Q466" s="278"/>
    </row>
    <row r="467" spans="1:17" s="261" customFormat="1" ht="12.75" hidden="1">
      <c r="A467" s="1037"/>
      <c r="B467" s="1020"/>
      <c r="C467" s="301" t="s">
        <v>22</v>
      </c>
      <c r="D467" s="302">
        <f>D465+D466</f>
        <v>6375130</v>
      </c>
      <c r="E467" s="309">
        <f>E465+E466</f>
        <v>6375130</v>
      </c>
      <c r="F467" s="309">
        <f aca="true" t="shared" si="139" ref="F467:P467">F465+F466</f>
        <v>0</v>
      </c>
      <c r="G467" s="309">
        <f t="shared" si="139"/>
        <v>0</v>
      </c>
      <c r="H467" s="309">
        <f t="shared" si="139"/>
        <v>0</v>
      </c>
      <c r="I467" s="309">
        <f t="shared" si="139"/>
        <v>6375130</v>
      </c>
      <c r="J467" s="309">
        <f t="shared" si="139"/>
        <v>0</v>
      </c>
      <c r="K467" s="309">
        <f t="shared" si="139"/>
        <v>0</v>
      </c>
      <c r="L467" s="309">
        <f t="shared" si="139"/>
        <v>0</v>
      </c>
      <c r="M467" s="309">
        <f t="shared" si="139"/>
        <v>0</v>
      </c>
      <c r="N467" s="309">
        <f t="shared" si="139"/>
        <v>0</v>
      </c>
      <c r="O467" s="309">
        <f t="shared" si="139"/>
        <v>0</v>
      </c>
      <c r="P467" s="309">
        <f t="shared" si="139"/>
        <v>0</v>
      </c>
      <c r="Q467" s="278"/>
    </row>
    <row r="468" spans="1:17" s="261" customFormat="1" ht="12.75" hidden="1">
      <c r="A468" s="368"/>
      <c r="B468" s="307"/>
      <c r="C468" s="308"/>
      <c r="D468" s="302"/>
      <c r="E468" s="309"/>
      <c r="F468" s="309"/>
      <c r="G468" s="309"/>
      <c r="H468" s="303"/>
      <c r="I468" s="303"/>
      <c r="J468" s="303"/>
      <c r="K468" s="303"/>
      <c r="L468" s="303"/>
      <c r="M468" s="303"/>
      <c r="N468" s="303"/>
      <c r="O468" s="309"/>
      <c r="P468" s="309"/>
      <c r="Q468" s="278"/>
    </row>
    <row r="469" spans="1:17" s="261" customFormat="1" ht="12.75" hidden="1">
      <c r="A469" s="1035">
        <v>92110</v>
      </c>
      <c r="B469" s="1018" t="s">
        <v>393</v>
      </c>
      <c r="C469" s="301" t="s">
        <v>20</v>
      </c>
      <c r="D469" s="302">
        <f>E469+M469</f>
        <v>2250000</v>
      </c>
      <c r="E469" s="303">
        <f>F469+I469+J469+K469+L469</f>
        <v>2250000</v>
      </c>
      <c r="F469" s="303">
        <f>G469+H469</f>
        <v>0</v>
      </c>
      <c r="G469" s="303">
        <v>0</v>
      </c>
      <c r="H469" s="303">
        <v>0</v>
      </c>
      <c r="I469" s="303">
        <v>2250000</v>
      </c>
      <c r="J469" s="303">
        <v>0</v>
      </c>
      <c r="K469" s="303">
        <v>0</v>
      </c>
      <c r="L469" s="303">
        <v>0</v>
      </c>
      <c r="M469" s="303">
        <f>N469+P469</f>
        <v>0</v>
      </c>
      <c r="N469" s="303">
        <v>0</v>
      </c>
      <c r="O469" s="303">
        <v>0</v>
      </c>
      <c r="P469" s="303">
        <v>0</v>
      </c>
      <c r="Q469" s="278"/>
    </row>
    <row r="470" spans="1:17" s="261" customFormat="1" ht="12.75" hidden="1">
      <c r="A470" s="1036"/>
      <c r="B470" s="1019"/>
      <c r="C470" s="301" t="s">
        <v>21</v>
      </c>
      <c r="D470" s="302">
        <f>E470+M470</f>
        <v>0</v>
      </c>
      <c r="E470" s="303">
        <f>F470+I470+J470+K470+L470</f>
        <v>0</v>
      </c>
      <c r="F470" s="303">
        <f>G470+H470</f>
        <v>0</v>
      </c>
      <c r="G470" s="303"/>
      <c r="H470" s="303"/>
      <c r="I470" s="303"/>
      <c r="J470" s="303"/>
      <c r="K470" s="303"/>
      <c r="L470" s="303"/>
      <c r="M470" s="303">
        <f>N470+P470</f>
        <v>0</v>
      </c>
      <c r="N470" s="303"/>
      <c r="O470" s="303"/>
      <c r="P470" s="303"/>
      <c r="Q470" s="278"/>
    </row>
    <row r="471" spans="1:17" s="261" customFormat="1" ht="12.75" hidden="1">
      <c r="A471" s="1037"/>
      <c r="B471" s="1020"/>
      <c r="C471" s="301" t="s">
        <v>22</v>
      </c>
      <c r="D471" s="302">
        <f>D469+D470</f>
        <v>2250000</v>
      </c>
      <c r="E471" s="303">
        <f>E469+E470</f>
        <v>2250000</v>
      </c>
      <c r="F471" s="303">
        <f aca="true" t="shared" si="140" ref="F471:P471">F469+F470</f>
        <v>0</v>
      </c>
      <c r="G471" s="303">
        <f t="shared" si="140"/>
        <v>0</v>
      </c>
      <c r="H471" s="303">
        <f t="shared" si="140"/>
        <v>0</v>
      </c>
      <c r="I471" s="303">
        <f t="shared" si="140"/>
        <v>2250000</v>
      </c>
      <c r="J471" s="303">
        <f t="shared" si="140"/>
        <v>0</v>
      </c>
      <c r="K471" s="303">
        <f t="shared" si="140"/>
        <v>0</v>
      </c>
      <c r="L471" s="303">
        <f t="shared" si="140"/>
        <v>0</v>
      </c>
      <c r="M471" s="303">
        <f t="shared" si="140"/>
        <v>0</v>
      </c>
      <c r="N471" s="303">
        <f t="shared" si="140"/>
        <v>0</v>
      </c>
      <c r="O471" s="303">
        <f t="shared" si="140"/>
        <v>0</v>
      </c>
      <c r="P471" s="303">
        <f t="shared" si="140"/>
        <v>0</v>
      </c>
      <c r="Q471" s="278"/>
    </row>
    <row r="472" spans="1:17" s="261" customFormat="1" ht="12.75" hidden="1">
      <c r="A472" s="368"/>
      <c r="B472" s="307"/>
      <c r="C472" s="308"/>
      <c r="D472" s="302"/>
      <c r="E472" s="309"/>
      <c r="F472" s="309"/>
      <c r="G472" s="309"/>
      <c r="H472" s="303"/>
      <c r="I472" s="303"/>
      <c r="J472" s="303"/>
      <c r="K472" s="303"/>
      <c r="L472" s="303"/>
      <c r="M472" s="303"/>
      <c r="N472" s="303"/>
      <c r="O472" s="309"/>
      <c r="P472" s="309"/>
      <c r="Q472" s="278"/>
    </row>
    <row r="473" spans="1:17" s="261" customFormat="1" ht="12.75" hidden="1">
      <c r="A473" s="1035">
        <v>92113</v>
      </c>
      <c r="B473" s="1018" t="s">
        <v>394</v>
      </c>
      <c r="C473" s="301" t="s">
        <v>20</v>
      </c>
      <c r="D473" s="302">
        <f>E473+M473</f>
        <v>1299500</v>
      </c>
      <c r="E473" s="303">
        <f>F473+I473+J473+K473+L473</f>
        <v>1299500</v>
      </c>
      <c r="F473" s="303">
        <f>G473+H473</f>
        <v>0</v>
      </c>
      <c r="G473" s="303">
        <v>0</v>
      </c>
      <c r="H473" s="303">
        <v>0</v>
      </c>
      <c r="I473" s="303">
        <v>1299500</v>
      </c>
      <c r="J473" s="303">
        <v>0</v>
      </c>
      <c r="K473" s="303">
        <v>0</v>
      </c>
      <c r="L473" s="303">
        <v>0</v>
      </c>
      <c r="M473" s="303">
        <f>N473+P473</f>
        <v>0</v>
      </c>
      <c r="N473" s="303">
        <v>0</v>
      </c>
      <c r="O473" s="303">
        <v>0</v>
      </c>
      <c r="P473" s="303">
        <v>0</v>
      </c>
      <c r="Q473" s="278"/>
    </row>
    <row r="474" spans="1:17" s="261" customFormat="1" ht="12.75" hidden="1">
      <c r="A474" s="1036"/>
      <c r="B474" s="1019"/>
      <c r="C474" s="301" t="s">
        <v>21</v>
      </c>
      <c r="D474" s="302">
        <f>E474+M474</f>
        <v>0</v>
      </c>
      <c r="E474" s="303">
        <f>F474+I474+J474+K474+L474</f>
        <v>0</v>
      </c>
      <c r="F474" s="303">
        <f>G474+H474</f>
        <v>0</v>
      </c>
      <c r="G474" s="303"/>
      <c r="H474" s="303"/>
      <c r="I474" s="303"/>
      <c r="J474" s="303"/>
      <c r="K474" s="303"/>
      <c r="L474" s="303"/>
      <c r="M474" s="303">
        <f>N474+P474</f>
        <v>0</v>
      </c>
      <c r="N474" s="303"/>
      <c r="O474" s="303"/>
      <c r="P474" s="303"/>
      <c r="Q474" s="278"/>
    </row>
    <row r="475" spans="1:17" s="261" customFormat="1" ht="12.75" hidden="1">
      <c r="A475" s="1037"/>
      <c r="B475" s="1020"/>
      <c r="C475" s="301" t="s">
        <v>22</v>
      </c>
      <c r="D475" s="302">
        <f>D473+D474</f>
        <v>1299500</v>
      </c>
      <c r="E475" s="303">
        <f>E473+E474</f>
        <v>1299500</v>
      </c>
      <c r="F475" s="303">
        <f aca="true" t="shared" si="141" ref="F475:P475">F473+F474</f>
        <v>0</v>
      </c>
      <c r="G475" s="303">
        <f t="shared" si="141"/>
        <v>0</v>
      </c>
      <c r="H475" s="303">
        <f t="shared" si="141"/>
        <v>0</v>
      </c>
      <c r="I475" s="303">
        <f t="shared" si="141"/>
        <v>1299500</v>
      </c>
      <c r="J475" s="303">
        <f t="shared" si="141"/>
        <v>0</v>
      </c>
      <c r="K475" s="303">
        <f t="shared" si="141"/>
        <v>0</v>
      </c>
      <c r="L475" s="303">
        <f t="shared" si="141"/>
        <v>0</v>
      </c>
      <c r="M475" s="303">
        <f t="shared" si="141"/>
        <v>0</v>
      </c>
      <c r="N475" s="303">
        <f t="shared" si="141"/>
        <v>0</v>
      </c>
      <c r="O475" s="303">
        <f t="shared" si="141"/>
        <v>0</v>
      </c>
      <c r="P475" s="303">
        <f t="shared" si="141"/>
        <v>0</v>
      </c>
      <c r="Q475" s="278"/>
    </row>
    <row r="476" spans="1:17" s="261" customFormat="1" ht="5.25" customHeight="1">
      <c r="A476" s="368"/>
      <c r="B476" s="307"/>
      <c r="C476" s="308"/>
      <c r="D476" s="302"/>
      <c r="E476" s="309"/>
      <c r="F476" s="309"/>
      <c r="G476" s="309"/>
      <c r="H476" s="303"/>
      <c r="I476" s="303"/>
      <c r="J476" s="303"/>
      <c r="K476" s="303"/>
      <c r="L476" s="303"/>
      <c r="M476" s="303"/>
      <c r="N476" s="303"/>
      <c r="O476" s="309"/>
      <c r="P476" s="309"/>
      <c r="Q476" s="278"/>
    </row>
    <row r="477" spans="1:17" s="261" customFormat="1" ht="12.75">
      <c r="A477" s="1035">
        <v>92116</v>
      </c>
      <c r="B477" s="1018" t="s">
        <v>395</v>
      </c>
      <c r="C477" s="308" t="s">
        <v>20</v>
      </c>
      <c r="D477" s="302">
        <f>E477+M477</f>
        <v>18145468</v>
      </c>
      <c r="E477" s="309">
        <f>F477+I477+J477+K477+L477</f>
        <v>17645468</v>
      </c>
      <c r="F477" s="309">
        <f>G477+H477</f>
        <v>0</v>
      </c>
      <c r="G477" s="309">
        <v>0</v>
      </c>
      <c r="H477" s="303">
        <v>0</v>
      </c>
      <c r="I477" s="303">
        <v>17645468</v>
      </c>
      <c r="J477" s="303">
        <v>0</v>
      </c>
      <c r="K477" s="303">
        <v>0</v>
      </c>
      <c r="L477" s="303">
        <v>0</v>
      </c>
      <c r="M477" s="303">
        <f>N477+P477</f>
        <v>500000</v>
      </c>
      <c r="N477" s="303">
        <v>500000</v>
      </c>
      <c r="O477" s="309">
        <v>0</v>
      </c>
      <c r="P477" s="309">
        <v>0</v>
      </c>
      <c r="Q477" s="278"/>
    </row>
    <row r="478" spans="1:17" s="261" customFormat="1" ht="12.75">
      <c r="A478" s="1036"/>
      <c r="B478" s="1019"/>
      <c r="C478" s="308" t="s">
        <v>21</v>
      </c>
      <c r="D478" s="302">
        <f>E478+M478</f>
        <v>224610</v>
      </c>
      <c r="E478" s="309">
        <f>F478+I478+J478+K478+L478</f>
        <v>0</v>
      </c>
      <c r="F478" s="309">
        <f>G478+H478</f>
        <v>0</v>
      </c>
      <c r="G478" s="309"/>
      <c r="H478" s="303"/>
      <c r="I478" s="303"/>
      <c r="J478" s="303"/>
      <c r="K478" s="303"/>
      <c r="L478" s="303"/>
      <c r="M478" s="303">
        <f>N478+P478</f>
        <v>224610</v>
      </c>
      <c r="N478" s="303">
        <v>224610</v>
      </c>
      <c r="O478" s="309"/>
      <c r="P478" s="309"/>
      <c r="Q478" s="278"/>
    </row>
    <row r="479" spans="1:17" s="261" customFormat="1" ht="12.75">
      <c r="A479" s="1037"/>
      <c r="B479" s="1020"/>
      <c r="C479" s="308" t="s">
        <v>22</v>
      </c>
      <c r="D479" s="302">
        <f>D477+D478</f>
        <v>18370078</v>
      </c>
      <c r="E479" s="309">
        <f>E477+E478</f>
        <v>17645468</v>
      </c>
      <c r="F479" s="309">
        <f aca="true" t="shared" si="142" ref="F479:P479">F477+F478</f>
        <v>0</v>
      </c>
      <c r="G479" s="309">
        <f t="shared" si="142"/>
        <v>0</v>
      </c>
      <c r="H479" s="309">
        <f t="shared" si="142"/>
        <v>0</v>
      </c>
      <c r="I479" s="309">
        <f t="shared" si="142"/>
        <v>17645468</v>
      </c>
      <c r="J479" s="309">
        <f t="shared" si="142"/>
        <v>0</v>
      </c>
      <c r="K479" s="309">
        <f t="shared" si="142"/>
        <v>0</v>
      </c>
      <c r="L479" s="309">
        <f t="shared" si="142"/>
        <v>0</v>
      </c>
      <c r="M479" s="309">
        <f t="shared" si="142"/>
        <v>724610</v>
      </c>
      <c r="N479" s="309">
        <f t="shared" si="142"/>
        <v>724610</v>
      </c>
      <c r="O479" s="309">
        <f t="shared" si="142"/>
        <v>0</v>
      </c>
      <c r="P479" s="309">
        <f t="shared" si="142"/>
        <v>0</v>
      </c>
      <c r="Q479" s="278"/>
    </row>
    <row r="480" spans="1:17" s="261" customFormat="1" ht="12.75" hidden="1">
      <c r="A480" s="368"/>
      <c r="B480" s="307"/>
      <c r="C480" s="308"/>
      <c r="D480" s="302"/>
      <c r="E480" s="309"/>
      <c r="F480" s="309"/>
      <c r="G480" s="309"/>
      <c r="H480" s="303"/>
      <c r="I480" s="303"/>
      <c r="J480" s="303"/>
      <c r="K480" s="303"/>
      <c r="L480" s="303"/>
      <c r="M480" s="303"/>
      <c r="N480" s="303"/>
      <c r="O480" s="309"/>
      <c r="P480" s="309"/>
      <c r="Q480" s="278"/>
    </row>
    <row r="481" spans="1:17" s="261" customFormat="1" ht="12.75" hidden="1">
      <c r="A481" s="1035">
        <v>92118</v>
      </c>
      <c r="B481" s="1018" t="s">
        <v>396</v>
      </c>
      <c r="C481" s="301" t="s">
        <v>20</v>
      </c>
      <c r="D481" s="302">
        <f>E481+M481</f>
        <v>11577016</v>
      </c>
      <c r="E481" s="309">
        <f>F481+I481+J481+K481+L481</f>
        <v>10774000</v>
      </c>
      <c r="F481" s="309">
        <f>G481+H481</f>
        <v>0</v>
      </c>
      <c r="G481" s="309">
        <v>0</v>
      </c>
      <c r="H481" s="303">
        <v>0</v>
      </c>
      <c r="I481" s="303">
        <v>10774000</v>
      </c>
      <c r="J481" s="303">
        <v>0</v>
      </c>
      <c r="K481" s="303">
        <v>0</v>
      </c>
      <c r="L481" s="303">
        <v>0</v>
      </c>
      <c r="M481" s="303">
        <f>N481+P481</f>
        <v>803016</v>
      </c>
      <c r="N481" s="303">
        <v>803016</v>
      </c>
      <c r="O481" s="309">
        <v>0</v>
      </c>
      <c r="P481" s="309">
        <v>0</v>
      </c>
      <c r="Q481" s="278"/>
    </row>
    <row r="482" spans="1:17" s="261" customFormat="1" ht="12.75" hidden="1">
      <c r="A482" s="1036"/>
      <c r="B482" s="1019"/>
      <c r="C482" s="301" t="s">
        <v>21</v>
      </c>
      <c r="D482" s="302">
        <f>E482+M482</f>
        <v>0</v>
      </c>
      <c r="E482" s="309">
        <f>F482+I482+J482+K482+L482</f>
        <v>0</v>
      </c>
      <c r="F482" s="309">
        <f>G482+H482</f>
        <v>0</v>
      </c>
      <c r="G482" s="309"/>
      <c r="H482" s="303"/>
      <c r="I482" s="303"/>
      <c r="J482" s="303"/>
      <c r="K482" s="303"/>
      <c r="L482" s="303"/>
      <c r="M482" s="303">
        <f>N482+P482</f>
        <v>0</v>
      </c>
      <c r="N482" s="303"/>
      <c r="O482" s="309"/>
      <c r="P482" s="309"/>
      <c r="Q482" s="278"/>
    </row>
    <row r="483" spans="1:17" s="261" customFormat="1" ht="12.75" hidden="1">
      <c r="A483" s="1037"/>
      <c r="B483" s="1020"/>
      <c r="C483" s="301" t="s">
        <v>22</v>
      </c>
      <c r="D483" s="302">
        <f>D481+D482</f>
        <v>11577016</v>
      </c>
      <c r="E483" s="309">
        <f>E481+E482</f>
        <v>10774000</v>
      </c>
      <c r="F483" s="309">
        <f aca="true" t="shared" si="143" ref="F483:P483">F481+F482</f>
        <v>0</v>
      </c>
      <c r="G483" s="309">
        <f t="shared" si="143"/>
        <v>0</v>
      </c>
      <c r="H483" s="309">
        <f t="shared" si="143"/>
        <v>0</v>
      </c>
      <c r="I483" s="309">
        <f t="shared" si="143"/>
        <v>10774000</v>
      </c>
      <c r="J483" s="309">
        <f t="shared" si="143"/>
        <v>0</v>
      </c>
      <c r="K483" s="309">
        <f t="shared" si="143"/>
        <v>0</v>
      </c>
      <c r="L483" s="309">
        <f t="shared" si="143"/>
        <v>0</v>
      </c>
      <c r="M483" s="309">
        <f t="shared" si="143"/>
        <v>803016</v>
      </c>
      <c r="N483" s="309">
        <f t="shared" si="143"/>
        <v>803016</v>
      </c>
      <c r="O483" s="309">
        <f t="shared" si="143"/>
        <v>0</v>
      </c>
      <c r="P483" s="309">
        <f t="shared" si="143"/>
        <v>0</v>
      </c>
      <c r="Q483" s="278"/>
    </row>
    <row r="484" spans="1:17" s="261" customFormat="1" ht="6" customHeight="1">
      <c r="A484" s="368"/>
      <c r="B484" s="310"/>
      <c r="C484" s="308"/>
      <c r="D484" s="302"/>
      <c r="E484" s="309"/>
      <c r="F484" s="309"/>
      <c r="G484" s="309"/>
      <c r="H484" s="303"/>
      <c r="I484" s="303"/>
      <c r="J484" s="303"/>
      <c r="K484" s="303"/>
      <c r="L484" s="303"/>
      <c r="M484" s="303"/>
      <c r="N484" s="303"/>
      <c r="O484" s="309"/>
      <c r="P484" s="309"/>
      <c r="Q484" s="278"/>
    </row>
    <row r="485" spans="1:17" s="261" customFormat="1" ht="12.75">
      <c r="A485" s="1035">
        <v>92120</v>
      </c>
      <c r="B485" s="1018" t="s">
        <v>397</v>
      </c>
      <c r="C485" s="301" t="s">
        <v>20</v>
      </c>
      <c r="D485" s="302">
        <f>E485+M485</f>
        <v>1314991</v>
      </c>
      <c r="E485" s="303">
        <f>F485+I485+J485+K485+L485</f>
        <v>1314991</v>
      </c>
      <c r="F485" s="303">
        <f>G485+H485</f>
        <v>100000</v>
      </c>
      <c r="G485" s="303">
        <v>6000</v>
      </c>
      <c r="H485" s="303">
        <f>2000+5000+87000</f>
        <v>94000</v>
      </c>
      <c r="I485" s="303">
        <v>1145000</v>
      </c>
      <c r="J485" s="303">
        <v>0</v>
      </c>
      <c r="K485" s="303">
        <v>69991</v>
      </c>
      <c r="L485" s="303">
        <v>0</v>
      </c>
      <c r="M485" s="303">
        <f>N485+P485</f>
        <v>0</v>
      </c>
      <c r="N485" s="303">
        <v>0</v>
      </c>
      <c r="O485" s="303">
        <v>0</v>
      </c>
      <c r="P485" s="303">
        <v>0</v>
      </c>
      <c r="Q485" s="278"/>
    </row>
    <row r="486" spans="1:17" s="261" customFormat="1" ht="12.75">
      <c r="A486" s="1036"/>
      <c r="B486" s="1019"/>
      <c r="C486" s="301" t="s">
        <v>21</v>
      </c>
      <c r="D486" s="302">
        <f>E486+M486</f>
        <v>2680873</v>
      </c>
      <c r="E486" s="303">
        <f>F486+I486+J486+K486+L486</f>
        <v>2680873</v>
      </c>
      <c r="F486" s="303">
        <f>G486+H486</f>
        <v>0</v>
      </c>
      <c r="G486" s="303"/>
      <c r="H486" s="303"/>
      <c r="I486" s="303"/>
      <c r="J486" s="303"/>
      <c r="K486" s="303">
        <v>2680873</v>
      </c>
      <c r="L486" s="303"/>
      <c r="M486" s="303">
        <f>N486+P486</f>
        <v>0</v>
      </c>
      <c r="N486" s="303"/>
      <c r="O486" s="303"/>
      <c r="P486" s="303"/>
      <c r="Q486" s="278"/>
    </row>
    <row r="487" spans="1:17" s="261" customFormat="1" ht="12.75">
      <c r="A487" s="1037"/>
      <c r="B487" s="1020"/>
      <c r="C487" s="301" t="s">
        <v>22</v>
      </c>
      <c r="D487" s="302">
        <f>D485+D486</f>
        <v>3995864</v>
      </c>
      <c r="E487" s="303">
        <f>E485+E486</f>
        <v>3995864</v>
      </c>
      <c r="F487" s="303">
        <f aca="true" t="shared" si="144" ref="F487:P487">F485+F486</f>
        <v>100000</v>
      </c>
      <c r="G487" s="303">
        <f t="shared" si="144"/>
        <v>6000</v>
      </c>
      <c r="H487" s="303">
        <f t="shared" si="144"/>
        <v>94000</v>
      </c>
      <c r="I487" s="303">
        <f t="shared" si="144"/>
        <v>1145000</v>
      </c>
      <c r="J487" s="303">
        <f t="shared" si="144"/>
        <v>0</v>
      </c>
      <c r="K487" s="303">
        <f t="shared" si="144"/>
        <v>2750864</v>
      </c>
      <c r="L487" s="303">
        <f t="shared" si="144"/>
        <v>0</v>
      </c>
      <c r="M487" s="303">
        <f t="shared" si="144"/>
        <v>0</v>
      </c>
      <c r="N487" s="303">
        <f t="shared" si="144"/>
        <v>0</v>
      </c>
      <c r="O487" s="303">
        <f t="shared" si="144"/>
        <v>0</v>
      </c>
      <c r="P487" s="303">
        <f t="shared" si="144"/>
        <v>0</v>
      </c>
      <c r="Q487" s="278"/>
    </row>
    <row r="488" spans="1:17" s="261" customFormat="1" ht="6" customHeight="1">
      <c r="A488" s="368"/>
      <c r="B488" s="307"/>
      <c r="C488" s="308"/>
      <c r="D488" s="302"/>
      <c r="E488" s="309"/>
      <c r="F488" s="309"/>
      <c r="G488" s="309"/>
      <c r="H488" s="303"/>
      <c r="I488" s="303"/>
      <c r="J488" s="303"/>
      <c r="K488" s="303"/>
      <c r="L488" s="303"/>
      <c r="M488" s="303"/>
      <c r="N488" s="303"/>
      <c r="O488" s="309"/>
      <c r="P488" s="309"/>
      <c r="Q488" s="278"/>
    </row>
    <row r="489" spans="1:17" s="261" customFormat="1" ht="12.75">
      <c r="A489" s="1035">
        <v>92195</v>
      </c>
      <c r="B489" s="1018" t="s">
        <v>210</v>
      </c>
      <c r="C489" s="301" t="s">
        <v>20</v>
      </c>
      <c r="D489" s="302">
        <f>E489+M489</f>
        <v>7399057</v>
      </c>
      <c r="E489" s="309">
        <f>F489+I489+J489+K489+L489</f>
        <v>7399057</v>
      </c>
      <c r="F489" s="309">
        <f>G489+H489</f>
        <v>390000</v>
      </c>
      <c r="G489" s="309">
        <v>51500</v>
      </c>
      <c r="H489" s="303">
        <f>126000+8500+204000</f>
        <v>338500</v>
      </c>
      <c r="I489" s="303">
        <v>2090000</v>
      </c>
      <c r="J489" s="303">
        <v>325000</v>
      </c>
      <c r="K489" s="303">
        <v>4594057</v>
      </c>
      <c r="L489" s="303">
        <v>0</v>
      </c>
      <c r="M489" s="303">
        <f>N489+P489</f>
        <v>0</v>
      </c>
      <c r="N489" s="303">
        <v>0</v>
      </c>
      <c r="O489" s="309">
        <v>0</v>
      </c>
      <c r="P489" s="309">
        <v>0</v>
      </c>
      <c r="Q489" s="278"/>
    </row>
    <row r="490" spans="1:17" s="261" customFormat="1" ht="12.75">
      <c r="A490" s="1036"/>
      <c r="B490" s="1019"/>
      <c r="C490" s="301" t="s">
        <v>21</v>
      </c>
      <c r="D490" s="302">
        <f>E490+M490</f>
        <v>-1197564</v>
      </c>
      <c r="E490" s="309">
        <f>F490+I490+J490+K490+L490</f>
        <v>-1197564</v>
      </c>
      <c r="F490" s="309">
        <f>G490+H490</f>
        <v>0</v>
      </c>
      <c r="G490" s="314"/>
      <c r="H490" s="311"/>
      <c r="I490" s="311"/>
      <c r="J490" s="311"/>
      <c r="K490" s="311">
        <f>18610-1216174</f>
        <v>-1197564</v>
      </c>
      <c r="L490" s="311"/>
      <c r="M490" s="303">
        <f>N490+P490</f>
        <v>0</v>
      </c>
      <c r="N490" s="311"/>
      <c r="O490" s="314"/>
      <c r="P490" s="314"/>
      <c r="Q490" s="278"/>
    </row>
    <row r="491" spans="1:17" s="261" customFormat="1" ht="12.75">
      <c r="A491" s="1037"/>
      <c r="B491" s="1020"/>
      <c r="C491" s="301" t="s">
        <v>22</v>
      </c>
      <c r="D491" s="312">
        <f>D489+D490</f>
        <v>6201493</v>
      </c>
      <c r="E491" s="314">
        <f>E489+E490</f>
        <v>6201493</v>
      </c>
      <c r="F491" s="314">
        <f aca="true" t="shared" si="145" ref="F491:P491">F489+F490</f>
        <v>390000</v>
      </c>
      <c r="G491" s="314">
        <f t="shared" si="145"/>
        <v>51500</v>
      </c>
      <c r="H491" s="314">
        <f t="shared" si="145"/>
        <v>338500</v>
      </c>
      <c r="I491" s="314">
        <f t="shared" si="145"/>
        <v>2090000</v>
      </c>
      <c r="J491" s="314">
        <f t="shared" si="145"/>
        <v>325000</v>
      </c>
      <c r="K491" s="314">
        <f t="shared" si="145"/>
        <v>3396493</v>
      </c>
      <c r="L491" s="314">
        <f t="shared" si="145"/>
        <v>0</v>
      </c>
      <c r="M491" s="314">
        <f t="shared" si="145"/>
        <v>0</v>
      </c>
      <c r="N491" s="314">
        <f t="shared" si="145"/>
        <v>0</v>
      </c>
      <c r="O491" s="314">
        <f t="shared" si="145"/>
        <v>0</v>
      </c>
      <c r="P491" s="314">
        <f t="shared" si="145"/>
        <v>0</v>
      </c>
      <c r="Q491" s="278"/>
    </row>
    <row r="492" spans="1:17" s="261" customFormat="1" ht="6" customHeight="1" thickBot="1">
      <c r="A492" s="367"/>
      <c r="B492" s="313"/>
      <c r="C492" s="301"/>
      <c r="D492" s="312"/>
      <c r="E492" s="311"/>
      <c r="F492" s="311"/>
      <c r="G492" s="311"/>
      <c r="H492" s="311"/>
      <c r="I492" s="311"/>
      <c r="J492" s="311"/>
      <c r="K492" s="311"/>
      <c r="L492" s="311"/>
      <c r="M492" s="311"/>
      <c r="N492" s="311"/>
      <c r="O492" s="311"/>
      <c r="P492" s="311"/>
      <c r="Q492" s="278"/>
    </row>
    <row r="493" spans="1:17" s="336" customFormat="1" ht="18.75" customHeight="1">
      <c r="A493" s="1038">
        <v>925</v>
      </c>
      <c r="B493" s="1012" t="s">
        <v>50</v>
      </c>
      <c r="C493" s="279" t="s">
        <v>20</v>
      </c>
      <c r="D493" s="280">
        <f aca="true" t="shared" si="146" ref="D493:P494">D497</f>
        <v>9215046</v>
      </c>
      <c r="E493" s="361">
        <f t="shared" si="146"/>
        <v>7508656</v>
      </c>
      <c r="F493" s="361">
        <f t="shared" si="146"/>
        <v>6641165</v>
      </c>
      <c r="G493" s="361">
        <f t="shared" si="146"/>
        <v>3001989</v>
      </c>
      <c r="H493" s="361">
        <f t="shared" si="146"/>
        <v>3639176</v>
      </c>
      <c r="I493" s="361">
        <f t="shared" si="146"/>
        <v>0</v>
      </c>
      <c r="J493" s="361">
        <f t="shared" si="146"/>
        <v>61900</v>
      </c>
      <c r="K493" s="361">
        <f t="shared" si="146"/>
        <v>805591</v>
      </c>
      <c r="L493" s="361">
        <f t="shared" si="146"/>
        <v>0</v>
      </c>
      <c r="M493" s="361">
        <f t="shared" si="146"/>
        <v>1706390</v>
      </c>
      <c r="N493" s="361">
        <f t="shared" si="146"/>
        <v>1706390</v>
      </c>
      <c r="O493" s="361">
        <f t="shared" si="146"/>
        <v>1576390</v>
      </c>
      <c r="P493" s="362">
        <f t="shared" si="146"/>
        <v>0</v>
      </c>
      <c r="Q493" s="335"/>
    </row>
    <row r="494" spans="1:17" s="336" customFormat="1" ht="18.75" customHeight="1">
      <c r="A494" s="1039"/>
      <c r="B494" s="1013"/>
      <c r="C494" s="286" t="s">
        <v>21</v>
      </c>
      <c r="D494" s="287">
        <f t="shared" si="146"/>
        <v>-1587247</v>
      </c>
      <c r="E494" s="363">
        <f t="shared" si="146"/>
        <v>-1156357</v>
      </c>
      <c r="F494" s="363">
        <f t="shared" si="146"/>
        <v>-1114366</v>
      </c>
      <c r="G494" s="363">
        <f t="shared" si="146"/>
        <v>74634</v>
      </c>
      <c r="H494" s="363">
        <f t="shared" si="146"/>
        <v>-1189000</v>
      </c>
      <c r="I494" s="363">
        <f t="shared" si="146"/>
        <v>0</v>
      </c>
      <c r="J494" s="363">
        <f t="shared" si="146"/>
        <v>0</v>
      </c>
      <c r="K494" s="363">
        <f t="shared" si="146"/>
        <v>-41991</v>
      </c>
      <c r="L494" s="363">
        <f t="shared" si="146"/>
        <v>0</v>
      </c>
      <c r="M494" s="363">
        <f t="shared" si="146"/>
        <v>-430890</v>
      </c>
      <c r="N494" s="363">
        <f t="shared" si="146"/>
        <v>-430890</v>
      </c>
      <c r="O494" s="363">
        <f t="shared" si="146"/>
        <v>-483890</v>
      </c>
      <c r="P494" s="364">
        <f t="shared" si="146"/>
        <v>0</v>
      </c>
      <c r="Q494" s="335"/>
    </row>
    <row r="495" spans="1:17" s="336" customFormat="1" ht="18.75" customHeight="1" thickBot="1">
      <c r="A495" s="1040"/>
      <c r="B495" s="1014"/>
      <c r="C495" s="290" t="s">
        <v>22</v>
      </c>
      <c r="D495" s="291">
        <f>D493+D494</f>
        <v>7627799</v>
      </c>
      <c r="E495" s="292">
        <f>E493+E494</f>
        <v>6352299</v>
      </c>
      <c r="F495" s="292">
        <f aca="true" t="shared" si="147" ref="F495:P495">F493+F494</f>
        <v>5526799</v>
      </c>
      <c r="G495" s="292">
        <f t="shared" si="147"/>
        <v>3076623</v>
      </c>
      <c r="H495" s="292">
        <f t="shared" si="147"/>
        <v>2450176</v>
      </c>
      <c r="I495" s="292">
        <f t="shared" si="147"/>
        <v>0</v>
      </c>
      <c r="J495" s="292">
        <f t="shared" si="147"/>
        <v>61900</v>
      </c>
      <c r="K495" s="292">
        <f t="shared" si="147"/>
        <v>763600</v>
      </c>
      <c r="L495" s="292">
        <f t="shared" si="147"/>
        <v>0</v>
      </c>
      <c r="M495" s="292">
        <f t="shared" si="147"/>
        <v>1275500</v>
      </c>
      <c r="N495" s="292">
        <f t="shared" si="147"/>
        <v>1275500</v>
      </c>
      <c r="O495" s="292">
        <f t="shared" si="147"/>
        <v>1092500</v>
      </c>
      <c r="P495" s="293">
        <f t="shared" si="147"/>
        <v>0</v>
      </c>
      <c r="Q495" s="335"/>
    </row>
    <row r="496" spans="1:17" s="336" customFormat="1" ht="6" customHeight="1">
      <c r="A496" s="373"/>
      <c r="B496" s="329"/>
      <c r="C496" s="330"/>
      <c r="D496" s="331"/>
      <c r="E496" s="332"/>
      <c r="F496" s="332"/>
      <c r="G496" s="332"/>
      <c r="H496" s="333"/>
      <c r="I496" s="333"/>
      <c r="J496" s="333"/>
      <c r="K496" s="333"/>
      <c r="L496" s="333"/>
      <c r="M496" s="333"/>
      <c r="N496" s="333"/>
      <c r="O496" s="332"/>
      <c r="P496" s="334"/>
      <c r="Q496" s="335"/>
    </row>
    <row r="497" spans="1:17" s="261" customFormat="1" ht="12.75">
      <c r="A497" s="1035">
        <v>92502</v>
      </c>
      <c r="B497" s="1018" t="s">
        <v>398</v>
      </c>
      <c r="C497" s="301" t="s">
        <v>20</v>
      </c>
      <c r="D497" s="302">
        <f>E497+M497</f>
        <v>9215046</v>
      </c>
      <c r="E497" s="309">
        <f>F497+I497+J497+K497+L497</f>
        <v>7508656</v>
      </c>
      <c r="F497" s="309">
        <f>G497+H497</f>
        <v>6641165</v>
      </c>
      <c r="G497" s="309">
        <v>3001989</v>
      </c>
      <c r="H497" s="303">
        <f>221500+100+117500+20200+2600+3039760+42800+44936+2290+58360+60721+19417+1000+1502+6490</f>
        <v>3639176</v>
      </c>
      <c r="I497" s="303">
        <v>0</v>
      </c>
      <c r="J497" s="303">
        <v>61900</v>
      </c>
      <c r="K497" s="303">
        <v>805591</v>
      </c>
      <c r="L497" s="303">
        <v>0</v>
      </c>
      <c r="M497" s="303">
        <f>N497+P497</f>
        <v>1706390</v>
      </c>
      <c r="N497" s="303">
        <v>1706390</v>
      </c>
      <c r="O497" s="309">
        <v>1576390</v>
      </c>
      <c r="P497" s="309">
        <v>0</v>
      </c>
      <c r="Q497" s="278"/>
    </row>
    <row r="498" spans="1:17" s="261" customFormat="1" ht="12.75">
      <c r="A498" s="1036"/>
      <c r="B498" s="1019"/>
      <c r="C498" s="301" t="s">
        <v>21</v>
      </c>
      <c r="D498" s="302">
        <f>E498+M498</f>
        <v>-1587247</v>
      </c>
      <c r="E498" s="309">
        <f>F498+I498+J498+K498+L498</f>
        <v>-1156357</v>
      </c>
      <c r="F498" s="309">
        <f>G498+H498</f>
        <v>-1114366</v>
      </c>
      <c r="G498" s="314">
        <f>47430+8290+914+18000</f>
        <v>74634</v>
      </c>
      <c r="H498" s="311">
        <f>22000-1240000+9000+20000</f>
        <v>-1189000</v>
      </c>
      <c r="I498" s="311"/>
      <c r="J498" s="311"/>
      <c r="K498" s="311">
        <f>-27294-14697</f>
        <v>-41991</v>
      </c>
      <c r="L498" s="311"/>
      <c r="M498" s="303">
        <f>N498+P498</f>
        <v>-430890</v>
      </c>
      <c r="N498" s="311">
        <f>-282548-152142+53000-31980-17220</f>
        <v>-430890</v>
      </c>
      <c r="O498" s="314">
        <f>-282548-152142-31980-17220</f>
        <v>-483890</v>
      </c>
      <c r="P498" s="314"/>
      <c r="Q498" s="278"/>
    </row>
    <row r="499" spans="1:17" s="261" customFormat="1" ht="12.75">
      <c r="A499" s="1037"/>
      <c r="B499" s="1020"/>
      <c r="C499" s="301" t="s">
        <v>22</v>
      </c>
      <c r="D499" s="312">
        <f>D497+D498</f>
        <v>7627799</v>
      </c>
      <c r="E499" s="314">
        <f>E497+E498</f>
        <v>6352299</v>
      </c>
      <c r="F499" s="314">
        <f aca="true" t="shared" si="148" ref="F499:P499">F497+F498</f>
        <v>5526799</v>
      </c>
      <c r="G499" s="314">
        <f t="shared" si="148"/>
        <v>3076623</v>
      </c>
      <c r="H499" s="314">
        <f t="shared" si="148"/>
        <v>2450176</v>
      </c>
      <c r="I499" s="314">
        <f t="shared" si="148"/>
        <v>0</v>
      </c>
      <c r="J499" s="314">
        <f t="shared" si="148"/>
        <v>61900</v>
      </c>
      <c r="K499" s="314">
        <f t="shared" si="148"/>
        <v>763600</v>
      </c>
      <c r="L499" s="314">
        <f t="shared" si="148"/>
        <v>0</v>
      </c>
      <c r="M499" s="314">
        <f t="shared" si="148"/>
        <v>1275500</v>
      </c>
      <c r="N499" s="314">
        <f t="shared" si="148"/>
        <v>1275500</v>
      </c>
      <c r="O499" s="314">
        <f t="shared" si="148"/>
        <v>1092500</v>
      </c>
      <c r="P499" s="314">
        <f t="shared" si="148"/>
        <v>0</v>
      </c>
      <c r="Q499" s="278"/>
    </row>
    <row r="500" spans="1:17" s="261" customFormat="1" ht="6" customHeight="1" thickBot="1">
      <c r="A500" s="367"/>
      <c r="B500" s="313"/>
      <c r="C500" s="301"/>
      <c r="D500" s="312"/>
      <c r="E500" s="314"/>
      <c r="F500" s="314"/>
      <c r="G500" s="314"/>
      <c r="H500" s="311"/>
      <c r="I500" s="311"/>
      <c r="J500" s="311"/>
      <c r="K500" s="311"/>
      <c r="L500" s="311"/>
      <c r="M500" s="311"/>
      <c r="N500" s="311"/>
      <c r="O500" s="314"/>
      <c r="P500" s="314"/>
      <c r="Q500" s="278"/>
    </row>
    <row r="501" spans="1:17" s="336" customFormat="1" ht="14.25">
      <c r="A501" s="1038">
        <v>926</v>
      </c>
      <c r="B501" s="1012" t="s">
        <v>399</v>
      </c>
      <c r="C501" s="279" t="s">
        <v>20</v>
      </c>
      <c r="D501" s="280">
        <f>D505+D509</f>
        <v>3973000</v>
      </c>
      <c r="E501" s="361">
        <f>E505+E509</f>
        <v>3973000</v>
      </c>
      <c r="F501" s="361">
        <f aca="true" t="shared" si="149" ref="F501:P501">F505+F509</f>
        <v>343000</v>
      </c>
      <c r="G501" s="361">
        <f t="shared" si="149"/>
        <v>2000</v>
      </c>
      <c r="H501" s="361">
        <f t="shared" si="149"/>
        <v>341000</v>
      </c>
      <c r="I501" s="361">
        <f t="shared" si="149"/>
        <v>2900000</v>
      </c>
      <c r="J501" s="361">
        <f t="shared" si="149"/>
        <v>730000</v>
      </c>
      <c r="K501" s="361">
        <f t="shared" si="149"/>
        <v>0</v>
      </c>
      <c r="L501" s="361">
        <f t="shared" si="149"/>
        <v>0</v>
      </c>
      <c r="M501" s="361">
        <f t="shared" si="149"/>
        <v>0</v>
      </c>
      <c r="N501" s="361">
        <f t="shared" si="149"/>
        <v>0</v>
      </c>
      <c r="O501" s="361">
        <f t="shared" si="149"/>
        <v>0</v>
      </c>
      <c r="P501" s="362">
        <f t="shared" si="149"/>
        <v>0</v>
      </c>
      <c r="Q501" s="335"/>
    </row>
    <row r="502" spans="1:17" s="336" customFormat="1" ht="14.25">
      <c r="A502" s="1039"/>
      <c r="B502" s="1013"/>
      <c r="C502" s="286" t="s">
        <v>21</v>
      </c>
      <c r="D502" s="287">
        <f>D506+D510</f>
        <v>16843</v>
      </c>
      <c r="E502" s="363">
        <f>E506+E510</f>
        <v>0</v>
      </c>
      <c r="F502" s="363">
        <f aca="true" t="shared" si="150" ref="F502:P502">F506+F510</f>
        <v>0</v>
      </c>
      <c r="G502" s="363">
        <f t="shared" si="150"/>
        <v>0</v>
      </c>
      <c r="H502" s="363">
        <f t="shared" si="150"/>
        <v>0</v>
      </c>
      <c r="I502" s="363">
        <f t="shared" si="150"/>
        <v>0</v>
      </c>
      <c r="J502" s="363">
        <f t="shared" si="150"/>
        <v>0</v>
      </c>
      <c r="K502" s="363">
        <f t="shared" si="150"/>
        <v>0</v>
      </c>
      <c r="L502" s="363">
        <f t="shared" si="150"/>
        <v>0</v>
      </c>
      <c r="M502" s="363">
        <f t="shared" si="150"/>
        <v>16843</v>
      </c>
      <c r="N502" s="363">
        <f t="shared" si="150"/>
        <v>16843</v>
      </c>
      <c r="O502" s="363">
        <f t="shared" si="150"/>
        <v>0</v>
      </c>
      <c r="P502" s="364">
        <f t="shared" si="150"/>
        <v>0</v>
      </c>
      <c r="Q502" s="335"/>
    </row>
    <row r="503" spans="1:17" s="336" customFormat="1" ht="15" thickBot="1">
      <c r="A503" s="1040"/>
      <c r="B503" s="1014"/>
      <c r="C503" s="290" t="s">
        <v>22</v>
      </c>
      <c r="D503" s="291">
        <f>D501+D502</f>
        <v>3989843</v>
      </c>
      <c r="E503" s="292">
        <f>E501+E502</f>
        <v>3973000</v>
      </c>
      <c r="F503" s="292">
        <f aca="true" t="shared" si="151" ref="F503:P503">F501+F502</f>
        <v>343000</v>
      </c>
      <c r="G503" s="292">
        <f t="shared" si="151"/>
        <v>2000</v>
      </c>
      <c r="H503" s="292">
        <f t="shared" si="151"/>
        <v>341000</v>
      </c>
      <c r="I503" s="292">
        <f t="shared" si="151"/>
        <v>2900000</v>
      </c>
      <c r="J503" s="292">
        <f t="shared" si="151"/>
        <v>730000</v>
      </c>
      <c r="K503" s="292">
        <f t="shared" si="151"/>
        <v>0</v>
      </c>
      <c r="L503" s="292">
        <f t="shared" si="151"/>
        <v>0</v>
      </c>
      <c r="M503" s="292">
        <f t="shared" si="151"/>
        <v>16843</v>
      </c>
      <c r="N503" s="292">
        <f t="shared" si="151"/>
        <v>16843</v>
      </c>
      <c r="O503" s="292">
        <f t="shared" si="151"/>
        <v>0</v>
      </c>
      <c r="P503" s="293">
        <f t="shared" si="151"/>
        <v>0</v>
      </c>
      <c r="Q503" s="335"/>
    </row>
    <row r="504" spans="1:17" s="261" customFormat="1" ht="6" customHeight="1" hidden="1">
      <c r="A504" s="366"/>
      <c r="B504" s="305"/>
      <c r="C504" s="275"/>
      <c r="D504" s="276"/>
      <c r="E504" s="380"/>
      <c r="F504" s="380"/>
      <c r="G504" s="380"/>
      <c r="H504" s="380"/>
      <c r="I504" s="380"/>
      <c r="J504" s="380"/>
      <c r="K504" s="380"/>
      <c r="L504" s="380"/>
      <c r="M504" s="380"/>
      <c r="N504" s="380"/>
      <c r="O504" s="380"/>
      <c r="P504" s="380"/>
      <c r="Q504" s="278"/>
    </row>
    <row r="505" spans="1:17" s="261" customFormat="1" ht="12.75" hidden="1">
      <c r="A505" s="1035">
        <v>92605</v>
      </c>
      <c r="B505" s="1018" t="s">
        <v>400</v>
      </c>
      <c r="C505" s="308" t="s">
        <v>20</v>
      </c>
      <c r="D505" s="302">
        <f>E505+M505</f>
        <v>3973000</v>
      </c>
      <c r="E505" s="309">
        <f>F505+I505+J505+K505+L505</f>
        <v>3973000</v>
      </c>
      <c r="F505" s="309">
        <f>G505+H505</f>
        <v>343000</v>
      </c>
      <c r="G505" s="309">
        <v>2000</v>
      </c>
      <c r="H505" s="303">
        <v>341000</v>
      </c>
      <c r="I505" s="303">
        <v>2900000</v>
      </c>
      <c r="J505" s="303">
        <v>730000</v>
      </c>
      <c r="K505" s="303">
        <v>0</v>
      </c>
      <c r="L505" s="303">
        <v>0</v>
      </c>
      <c r="M505" s="303">
        <f>N505+P505</f>
        <v>0</v>
      </c>
      <c r="N505" s="303">
        <v>0</v>
      </c>
      <c r="O505" s="309">
        <v>0</v>
      </c>
      <c r="P505" s="309">
        <v>0</v>
      </c>
      <c r="Q505" s="278"/>
    </row>
    <row r="506" spans="1:17" s="261" customFormat="1" ht="12.75" hidden="1">
      <c r="A506" s="1036"/>
      <c r="B506" s="1019"/>
      <c r="C506" s="301" t="s">
        <v>21</v>
      </c>
      <c r="D506" s="302">
        <f>E506+M506</f>
        <v>0</v>
      </c>
      <c r="E506" s="309">
        <f>F506+I506+J506+K506+L506</f>
        <v>0</v>
      </c>
      <c r="F506" s="309">
        <f>G506+H506</f>
        <v>0</v>
      </c>
      <c r="G506" s="314"/>
      <c r="H506" s="311"/>
      <c r="I506" s="311"/>
      <c r="J506" s="311"/>
      <c r="K506" s="311"/>
      <c r="L506" s="311"/>
      <c r="M506" s="303">
        <f>N506+P506</f>
        <v>0</v>
      </c>
      <c r="N506" s="311"/>
      <c r="O506" s="314"/>
      <c r="P506" s="314"/>
      <c r="Q506" s="278"/>
    </row>
    <row r="507" spans="1:17" s="261" customFormat="1" ht="12.75" hidden="1">
      <c r="A507" s="1037"/>
      <c r="B507" s="1020"/>
      <c r="C507" s="301" t="s">
        <v>22</v>
      </c>
      <c r="D507" s="312">
        <f>D505+D506</f>
        <v>3973000</v>
      </c>
      <c r="E507" s="314">
        <f>E505+E506</f>
        <v>3973000</v>
      </c>
      <c r="F507" s="314">
        <f aca="true" t="shared" si="152" ref="F507:P507">F505+F506</f>
        <v>343000</v>
      </c>
      <c r="G507" s="314">
        <f t="shared" si="152"/>
        <v>2000</v>
      </c>
      <c r="H507" s="314">
        <f t="shared" si="152"/>
        <v>341000</v>
      </c>
      <c r="I507" s="314">
        <f t="shared" si="152"/>
        <v>2900000</v>
      </c>
      <c r="J507" s="314">
        <f t="shared" si="152"/>
        <v>730000</v>
      </c>
      <c r="K507" s="314">
        <f t="shared" si="152"/>
        <v>0</v>
      </c>
      <c r="L507" s="314">
        <f t="shared" si="152"/>
        <v>0</v>
      </c>
      <c r="M507" s="314">
        <f t="shared" si="152"/>
        <v>0</v>
      </c>
      <c r="N507" s="314">
        <f t="shared" si="152"/>
        <v>0</v>
      </c>
      <c r="O507" s="314">
        <f t="shared" si="152"/>
        <v>0</v>
      </c>
      <c r="P507" s="314">
        <f t="shared" si="152"/>
        <v>0</v>
      </c>
      <c r="Q507" s="278"/>
    </row>
    <row r="508" spans="1:17" s="261" customFormat="1" ht="6" customHeight="1">
      <c r="A508" s="258"/>
      <c r="B508" s="304"/>
      <c r="C508" s="301"/>
      <c r="D508" s="312"/>
      <c r="E508" s="314"/>
      <c r="F508" s="314"/>
      <c r="G508" s="314"/>
      <c r="H508" s="314"/>
      <c r="I508" s="314"/>
      <c r="J508" s="314"/>
      <c r="K508" s="314"/>
      <c r="L508" s="314"/>
      <c r="M508" s="314"/>
      <c r="N508" s="314"/>
      <c r="O508" s="314"/>
      <c r="P508" s="314"/>
      <c r="Q508" s="278"/>
    </row>
    <row r="509" spans="1:17" s="261" customFormat="1" ht="12.75">
      <c r="A509" s="1035">
        <v>92595</v>
      </c>
      <c r="B509" s="1018" t="s">
        <v>210</v>
      </c>
      <c r="C509" s="308" t="s">
        <v>20</v>
      </c>
      <c r="D509" s="302">
        <f>E509+M509</f>
        <v>0</v>
      </c>
      <c r="E509" s="309">
        <f>F509+I509+J509+K509+L509</f>
        <v>0</v>
      </c>
      <c r="F509" s="309">
        <f>G509+H509</f>
        <v>0</v>
      </c>
      <c r="G509" s="309">
        <v>0</v>
      </c>
      <c r="H509" s="303">
        <v>0</v>
      </c>
      <c r="I509" s="303">
        <v>0</v>
      </c>
      <c r="J509" s="303">
        <v>0</v>
      </c>
      <c r="K509" s="303">
        <v>0</v>
      </c>
      <c r="L509" s="303">
        <v>0</v>
      </c>
      <c r="M509" s="303">
        <f>N509+P509</f>
        <v>0</v>
      </c>
      <c r="N509" s="303">
        <v>0</v>
      </c>
      <c r="O509" s="309">
        <v>0</v>
      </c>
      <c r="P509" s="309">
        <v>0</v>
      </c>
      <c r="Q509" s="278"/>
    </row>
    <row r="510" spans="1:17" s="261" customFormat="1" ht="12.75">
      <c r="A510" s="1036"/>
      <c r="B510" s="1019"/>
      <c r="C510" s="301" t="s">
        <v>21</v>
      </c>
      <c r="D510" s="302">
        <f>E510+M510</f>
        <v>16843</v>
      </c>
      <c r="E510" s="309">
        <f>F510+I510+J510+K510+L510</f>
        <v>0</v>
      </c>
      <c r="F510" s="309">
        <f>G510+H510</f>
        <v>0</v>
      </c>
      <c r="G510" s="314"/>
      <c r="H510" s="311"/>
      <c r="I510" s="311"/>
      <c r="J510" s="311"/>
      <c r="K510" s="311"/>
      <c r="L510" s="311"/>
      <c r="M510" s="303">
        <f>N510+P510</f>
        <v>16843</v>
      </c>
      <c r="N510" s="311">
        <v>16843</v>
      </c>
      <c r="O510" s="314"/>
      <c r="P510" s="314"/>
      <c r="Q510" s="278"/>
    </row>
    <row r="511" spans="1:17" s="261" customFormat="1" ht="12.75">
      <c r="A511" s="1037"/>
      <c r="B511" s="1020"/>
      <c r="C511" s="301" t="s">
        <v>22</v>
      </c>
      <c r="D511" s="312">
        <f>D509+D510</f>
        <v>16843</v>
      </c>
      <c r="E511" s="314">
        <f>E509+E510</f>
        <v>0</v>
      </c>
      <c r="F511" s="314">
        <f aca="true" t="shared" si="153" ref="F511:P511">F509+F510</f>
        <v>0</v>
      </c>
      <c r="G511" s="314">
        <f t="shared" si="153"/>
        <v>0</v>
      </c>
      <c r="H511" s="314">
        <f t="shared" si="153"/>
        <v>0</v>
      </c>
      <c r="I511" s="314">
        <f t="shared" si="153"/>
        <v>0</v>
      </c>
      <c r="J511" s="314">
        <f t="shared" si="153"/>
        <v>0</v>
      </c>
      <c r="K511" s="314">
        <f t="shared" si="153"/>
        <v>0</v>
      </c>
      <c r="L511" s="314">
        <f t="shared" si="153"/>
        <v>0</v>
      </c>
      <c r="M511" s="314">
        <f t="shared" si="153"/>
        <v>16843</v>
      </c>
      <c r="N511" s="314">
        <f t="shared" si="153"/>
        <v>16843</v>
      </c>
      <c r="O511" s="314">
        <f t="shared" si="153"/>
        <v>0</v>
      </c>
      <c r="P511" s="314">
        <f t="shared" si="153"/>
        <v>0</v>
      </c>
      <c r="Q511" s="278"/>
    </row>
    <row r="512" spans="1:17" s="261" customFormat="1" ht="6" customHeight="1" thickBot="1">
      <c r="A512" s="367"/>
      <c r="B512" s="313"/>
      <c r="C512" s="301"/>
      <c r="D512" s="312"/>
      <c r="E512" s="314"/>
      <c r="F512" s="314"/>
      <c r="G512" s="314"/>
      <c r="H512" s="314"/>
      <c r="I512" s="314"/>
      <c r="J512" s="314"/>
      <c r="K512" s="314"/>
      <c r="L512" s="314"/>
      <c r="M512" s="314"/>
      <c r="N512" s="314"/>
      <c r="O512" s="314"/>
      <c r="P512" s="314"/>
      <c r="Q512" s="278"/>
    </row>
    <row r="513" spans="1:17" s="385" customFormat="1" ht="15.75">
      <c r="A513" s="1041"/>
      <c r="B513" s="1044" t="s">
        <v>19</v>
      </c>
      <c r="C513" s="381" t="s">
        <v>20</v>
      </c>
      <c r="D513" s="382">
        <f aca="true" t="shared" si="154" ref="D513:P513">D13</f>
        <v>849420465</v>
      </c>
      <c r="E513" s="382">
        <f t="shared" si="154"/>
        <v>578870857</v>
      </c>
      <c r="F513" s="382">
        <f t="shared" si="154"/>
        <v>248744989</v>
      </c>
      <c r="G513" s="382">
        <f t="shared" si="154"/>
        <v>133355183</v>
      </c>
      <c r="H513" s="382">
        <f t="shared" si="154"/>
        <v>115389806</v>
      </c>
      <c r="I513" s="382">
        <f t="shared" si="154"/>
        <v>180407924</v>
      </c>
      <c r="J513" s="382">
        <f t="shared" si="154"/>
        <v>2694981</v>
      </c>
      <c r="K513" s="382">
        <f t="shared" si="154"/>
        <v>116564298</v>
      </c>
      <c r="L513" s="382">
        <f t="shared" si="154"/>
        <v>30458665</v>
      </c>
      <c r="M513" s="382">
        <f t="shared" si="154"/>
        <v>270549608</v>
      </c>
      <c r="N513" s="382">
        <f t="shared" si="154"/>
        <v>263146197</v>
      </c>
      <c r="O513" s="382">
        <f t="shared" si="154"/>
        <v>183223154</v>
      </c>
      <c r="P513" s="383">
        <f t="shared" si="154"/>
        <v>7403411</v>
      </c>
      <c r="Q513" s="384"/>
    </row>
    <row r="514" spans="1:17" s="385" customFormat="1" ht="15.75">
      <c r="A514" s="1042"/>
      <c r="B514" s="1045"/>
      <c r="C514" s="386" t="s">
        <v>21</v>
      </c>
      <c r="D514" s="387">
        <f aca="true" t="shared" si="155" ref="D514:P514">D14</f>
        <v>4072355</v>
      </c>
      <c r="E514" s="387">
        <f t="shared" si="155"/>
        <v>4119926</v>
      </c>
      <c r="F514" s="387">
        <f t="shared" si="155"/>
        <v>2002608</v>
      </c>
      <c r="G514" s="387">
        <f t="shared" si="155"/>
        <v>1817753</v>
      </c>
      <c r="H514" s="387">
        <f t="shared" si="155"/>
        <v>184855</v>
      </c>
      <c r="I514" s="387">
        <f t="shared" si="155"/>
        <v>0</v>
      </c>
      <c r="J514" s="387">
        <f t="shared" si="155"/>
        <v>1000</v>
      </c>
      <c r="K514" s="387">
        <f t="shared" si="155"/>
        <v>2116318</v>
      </c>
      <c r="L514" s="387">
        <f t="shared" si="155"/>
        <v>0</v>
      </c>
      <c r="M514" s="387">
        <f t="shared" si="155"/>
        <v>-47571</v>
      </c>
      <c r="N514" s="387">
        <f t="shared" si="155"/>
        <v>-47571</v>
      </c>
      <c r="O514" s="387">
        <f t="shared" si="155"/>
        <v>-18844</v>
      </c>
      <c r="P514" s="388">
        <f t="shared" si="155"/>
        <v>0</v>
      </c>
      <c r="Q514" s="384"/>
    </row>
    <row r="515" spans="1:17" s="385" customFormat="1" ht="16.5" thickBot="1">
      <c r="A515" s="1043"/>
      <c r="B515" s="1046"/>
      <c r="C515" s="389" t="s">
        <v>22</v>
      </c>
      <c r="D515" s="390">
        <f>D513+D514</f>
        <v>853492820</v>
      </c>
      <c r="E515" s="390">
        <f aca="true" t="shared" si="156" ref="E515:P515">E513+E514</f>
        <v>582990783</v>
      </c>
      <c r="F515" s="390">
        <f t="shared" si="156"/>
        <v>250747597</v>
      </c>
      <c r="G515" s="390">
        <f t="shared" si="156"/>
        <v>135172936</v>
      </c>
      <c r="H515" s="390">
        <f t="shared" si="156"/>
        <v>115574661</v>
      </c>
      <c r="I515" s="390">
        <f t="shared" si="156"/>
        <v>180407924</v>
      </c>
      <c r="J515" s="390">
        <f t="shared" si="156"/>
        <v>2695981</v>
      </c>
      <c r="K515" s="390">
        <f t="shared" si="156"/>
        <v>118680616</v>
      </c>
      <c r="L515" s="390">
        <f t="shared" si="156"/>
        <v>30458665</v>
      </c>
      <c r="M515" s="390">
        <f t="shared" si="156"/>
        <v>270502037</v>
      </c>
      <c r="N515" s="390">
        <f t="shared" si="156"/>
        <v>263098626</v>
      </c>
      <c r="O515" s="390">
        <f t="shared" si="156"/>
        <v>183204310</v>
      </c>
      <c r="P515" s="391">
        <f t="shared" si="156"/>
        <v>7403411</v>
      </c>
      <c r="Q515" s="384"/>
    </row>
    <row r="516" spans="4:16" ht="12.75">
      <c r="D516" s="5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1" ht="12.75">
      <c r="A517" s="36" t="s">
        <v>18</v>
      </c>
      <c r="K517" s="7"/>
    </row>
    <row r="518" spans="1:16" ht="12.75">
      <c r="A518" s="36" t="s">
        <v>51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ht="12.75">
      <c r="A519" s="36" t="s">
        <v>52</v>
      </c>
    </row>
    <row r="520" ht="12.75">
      <c r="A520" s="36" t="s">
        <v>53</v>
      </c>
    </row>
  </sheetData>
  <sheetProtection password="C25B" sheet="1"/>
  <mergeCells count="270">
    <mergeCell ref="A513:A515"/>
    <mergeCell ref="B513:B515"/>
    <mergeCell ref="A33:A35"/>
    <mergeCell ref="B33:B35"/>
    <mergeCell ref="A425:A427"/>
    <mergeCell ref="B425:B427"/>
    <mergeCell ref="A509:A511"/>
    <mergeCell ref="B509:B511"/>
    <mergeCell ref="A497:A499"/>
    <mergeCell ref="B497:B499"/>
    <mergeCell ref="A501:A503"/>
    <mergeCell ref="B501:B503"/>
    <mergeCell ref="A505:A507"/>
    <mergeCell ref="B505:B507"/>
    <mergeCell ref="A485:A487"/>
    <mergeCell ref="B485:B487"/>
    <mergeCell ref="A489:A491"/>
    <mergeCell ref="B489:B491"/>
    <mergeCell ref="A493:A495"/>
    <mergeCell ref="B493:B495"/>
    <mergeCell ref="A473:A475"/>
    <mergeCell ref="B473:B475"/>
    <mergeCell ref="A477:A479"/>
    <mergeCell ref="B477:B479"/>
    <mergeCell ref="A481:A483"/>
    <mergeCell ref="B481:B483"/>
    <mergeCell ref="A461:A463"/>
    <mergeCell ref="B461:B463"/>
    <mergeCell ref="A465:A467"/>
    <mergeCell ref="B465:B467"/>
    <mergeCell ref="A469:A471"/>
    <mergeCell ref="B469:B471"/>
    <mergeCell ref="A449:A451"/>
    <mergeCell ref="B449:B451"/>
    <mergeCell ref="A453:A455"/>
    <mergeCell ref="B453:B455"/>
    <mergeCell ref="A457:A459"/>
    <mergeCell ref="B457:B459"/>
    <mergeCell ref="A437:A439"/>
    <mergeCell ref="B437:B439"/>
    <mergeCell ref="A441:A443"/>
    <mergeCell ref="B441:B443"/>
    <mergeCell ref="A445:A447"/>
    <mergeCell ref="B445:B447"/>
    <mergeCell ref="A421:A423"/>
    <mergeCell ref="B421:B423"/>
    <mergeCell ref="A429:A431"/>
    <mergeCell ref="B429:B431"/>
    <mergeCell ref="A433:A435"/>
    <mergeCell ref="B433:B435"/>
    <mergeCell ref="A409:A411"/>
    <mergeCell ref="B409:B411"/>
    <mergeCell ref="A413:A415"/>
    <mergeCell ref="B413:B415"/>
    <mergeCell ref="A417:A419"/>
    <mergeCell ref="B417:B419"/>
    <mergeCell ref="A397:A399"/>
    <mergeCell ref="B397:B399"/>
    <mergeCell ref="A401:A403"/>
    <mergeCell ref="B401:B403"/>
    <mergeCell ref="A405:A407"/>
    <mergeCell ref="B405:B407"/>
    <mergeCell ref="A385:A387"/>
    <mergeCell ref="B385:B387"/>
    <mergeCell ref="A389:A391"/>
    <mergeCell ref="B389:B391"/>
    <mergeCell ref="A393:A395"/>
    <mergeCell ref="B393:B395"/>
    <mergeCell ref="A373:A375"/>
    <mergeCell ref="B373:B375"/>
    <mergeCell ref="A377:A379"/>
    <mergeCell ref="B377:B379"/>
    <mergeCell ref="A381:A383"/>
    <mergeCell ref="B381:B383"/>
    <mergeCell ref="A361:A363"/>
    <mergeCell ref="B361:B363"/>
    <mergeCell ref="A365:A367"/>
    <mergeCell ref="B365:B367"/>
    <mergeCell ref="A369:A371"/>
    <mergeCell ref="B369:B371"/>
    <mergeCell ref="A349:A351"/>
    <mergeCell ref="B349:B351"/>
    <mergeCell ref="A353:A355"/>
    <mergeCell ref="B353:B355"/>
    <mergeCell ref="A357:A359"/>
    <mergeCell ref="B357:B359"/>
    <mergeCell ref="A337:A339"/>
    <mergeCell ref="B337:B339"/>
    <mergeCell ref="A341:A343"/>
    <mergeCell ref="B341:B343"/>
    <mergeCell ref="A345:A347"/>
    <mergeCell ref="B345:B347"/>
    <mergeCell ref="A325:A327"/>
    <mergeCell ref="B325:B327"/>
    <mergeCell ref="A329:A331"/>
    <mergeCell ref="B329:B331"/>
    <mergeCell ref="A333:A335"/>
    <mergeCell ref="B333:B335"/>
    <mergeCell ref="A313:A315"/>
    <mergeCell ref="B313:B315"/>
    <mergeCell ref="A317:A319"/>
    <mergeCell ref="B317:B319"/>
    <mergeCell ref="A321:A323"/>
    <mergeCell ref="B321:B323"/>
    <mergeCell ref="A301:A303"/>
    <mergeCell ref="B301:B303"/>
    <mergeCell ref="A305:A307"/>
    <mergeCell ref="B305:B307"/>
    <mergeCell ref="A309:A311"/>
    <mergeCell ref="B309:B311"/>
    <mergeCell ref="A289:A291"/>
    <mergeCell ref="B289:B291"/>
    <mergeCell ref="A293:A295"/>
    <mergeCell ref="B293:B295"/>
    <mergeCell ref="A297:A299"/>
    <mergeCell ref="B297:B299"/>
    <mergeCell ref="A277:A279"/>
    <mergeCell ref="B277:B279"/>
    <mergeCell ref="A281:A283"/>
    <mergeCell ref="B281:B283"/>
    <mergeCell ref="A285:A287"/>
    <mergeCell ref="B285:B287"/>
    <mergeCell ref="A265:A267"/>
    <mergeCell ref="B265:B267"/>
    <mergeCell ref="A269:A271"/>
    <mergeCell ref="B269:B271"/>
    <mergeCell ref="A273:A275"/>
    <mergeCell ref="B273:B275"/>
    <mergeCell ref="A253:A255"/>
    <mergeCell ref="B253:B255"/>
    <mergeCell ref="A257:A259"/>
    <mergeCell ref="B257:B259"/>
    <mergeCell ref="A261:A263"/>
    <mergeCell ref="B261:B263"/>
    <mergeCell ref="A241:A243"/>
    <mergeCell ref="B241:B243"/>
    <mergeCell ref="A245:A247"/>
    <mergeCell ref="B245:B247"/>
    <mergeCell ref="A249:A251"/>
    <mergeCell ref="B249:B251"/>
    <mergeCell ref="A229:A231"/>
    <mergeCell ref="B229:B231"/>
    <mergeCell ref="A233:A235"/>
    <mergeCell ref="B233:B235"/>
    <mergeCell ref="A237:A239"/>
    <mergeCell ref="B237:B239"/>
    <mergeCell ref="A217:A219"/>
    <mergeCell ref="B217:B219"/>
    <mergeCell ref="A221:A223"/>
    <mergeCell ref="B221:B223"/>
    <mergeCell ref="A225:A227"/>
    <mergeCell ref="B225:B227"/>
    <mergeCell ref="A205:A207"/>
    <mergeCell ref="B205:B207"/>
    <mergeCell ref="A209:A211"/>
    <mergeCell ref="B209:B211"/>
    <mergeCell ref="A213:A215"/>
    <mergeCell ref="B213:B215"/>
    <mergeCell ref="A193:A195"/>
    <mergeCell ref="B193:B195"/>
    <mergeCell ref="A197:A199"/>
    <mergeCell ref="B197:B199"/>
    <mergeCell ref="A201:A203"/>
    <mergeCell ref="B201:B203"/>
    <mergeCell ref="A181:A183"/>
    <mergeCell ref="B181:B183"/>
    <mergeCell ref="A185:A187"/>
    <mergeCell ref="B185:B187"/>
    <mergeCell ref="A189:A191"/>
    <mergeCell ref="B189:B191"/>
    <mergeCell ref="A169:A171"/>
    <mergeCell ref="B169:B171"/>
    <mergeCell ref="A173:A175"/>
    <mergeCell ref="B173:B175"/>
    <mergeCell ref="A177:A179"/>
    <mergeCell ref="B177:B179"/>
    <mergeCell ref="A157:A159"/>
    <mergeCell ref="B157:B159"/>
    <mergeCell ref="A161:A163"/>
    <mergeCell ref="B161:B163"/>
    <mergeCell ref="A165:A167"/>
    <mergeCell ref="B165:B167"/>
    <mergeCell ref="A145:A147"/>
    <mergeCell ref="B145:B147"/>
    <mergeCell ref="A149:A151"/>
    <mergeCell ref="B149:B151"/>
    <mergeCell ref="A153:A155"/>
    <mergeCell ref="B153:B155"/>
    <mergeCell ref="A133:A135"/>
    <mergeCell ref="B133:B135"/>
    <mergeCell ref="A137:A139"/>
    <mergeCell ref="B137:B139"/>
    <mergeCell ref="A141:A143"/>
    <mergeCell ref="B141:B143"/>
    <mergeCell ref="A121:A123"/>
    <mergeCell ref="B121:B123"/>
    <mergeCell ref="A125:A127"/>
    <mergeCell ref="B125:B127"/>
    <mergeCell ref="A129:A131"/>
    <mergeCell ref="B129:B131"/>
    <mergeCell ref="A109:A111"/>
    <mergeCell ref="B109:B111"/>
    <mergeCell ref="A113:A115"/>
    <mergeCell ref="B113:B115"/>
    <mergeCell ref="A117:A119"/>
    <mergeCell ref="B117:B119"/>
    <mergeCell ref="A97:A99"/>
    <mergeCell ref="B97:B99"/>
    <mergeCell ref="A101:A103"/>
    <mergeCell ref="B101:B103"/>
    <mergeCell ref="A105:A107"/>
    <mergeCell ref="B105:B107"/>
    <mergeCell ref="A85:A87"/>
    <mergeCell ref="B85:B87"/>
    <mergeCell ref="A89:A91"/>
    <mergeCell ref="B89:B91"/>
    <mergeCell ref="A93:A95"/>
    <mergeCell ref="B93:B95"/>
    <mergeCell ref="A73:A75"/>
    <mergeCell ref="B73:B75"/>
    <mergeCell ref="A77:A79"/>
    <mergeCell ref="B77:B79"/>
    <mergeCell ref="A81:A83"/>
    <mergeCell ref="B81:B83"/>
    <mergeCell ref="A61:A63"/>
    <mergeCell ref="B61:B63"/>
    <mergeCell ref="A65:A67"/>
    <mergeCell ref="B65:B67"/>
    <mergeCell ref="A69:A71"/>
    <mergeCell ref="B69:B71"/>
    <mergeCell ref="A49:A51"/>
    <mergeCell ref="B49:B51"/>
    <mergeCell ref="A53:A55"/>
    <mergeCell ref="B53:B55"/>
    <mergeCell ref="A57:A59"/>
    <mergeCell ref="B57:B59"/>
    <mergeCell ref="A37:A39"/>
    <mergeCell ref="B37:B39"/>
    <mergeCell ref="A41:A43"/>
    <mergeCell ref="B41:B43"/>
    <mergeCell ref="A45:A47"/>
    <mergeCell ref="B45:B47"/>
    <mergeCell ref="A21:A23"/>
    <mergeCell ref="B21:B23"/>
    <mergeCell ref="A25:A27"/>
    <mergeCell ref="B25:B27"/>
    <mergeCell ref="A29:A31"/>
    <mergeCell ref="B29:B31"/>
    <mergeCell ref="A17:A19"/>
    <mergeCell ref="B17:B19"/>
    <mergeCell ref="F9:F10"/>
    <mergeCell ref="G9:H9"/>
    <mergeCell ref="I9:I10"/>
    <mergeCell ref="J9:J10"/>
    <mergeCell ref="E8:E10"/>
    <mergeCell ref="F8:L8"/>
    <mergeCell ref="N9:N10"/>
    <mergeCell ref="P9:P10"/>
    <mergeCell ref="A13:A15"/>
    <mergeCell ref="B13:B15"/>
    <mergeCell ref="M8:M10"/>
    <mergeCell ref="N8:P8"/>
    <mergeCell ref="K9:K10"/>
    <mergeCell ref="L9:L10"/>
    <mergeCell ref="A5:P5"/>
    <mergeCell ref="A7:A10"/>
    <mergeCell ref="B7:B10"/>
    <mergeCell ref="C7:C10"/>
    <mergeCell ref="D7:D10"/>
    <mergeCell ref="E7:P7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7"/>
  <sheetViews>
    <sheetView view="pageBreakPreview" zoomScaleSheetLayoutView="100" zoomScalePageLayoutView="0" workbookViewId="0" topLeftCell="A111">
      <selection activeCell="A1" sqref="A1:G137"/>
    </sheetView>
  </sheetViews>
  <sheetFormatPr defaultColWidth="8.796875" defaultRowHeight="14.25"/>
  <cols>
    <col min="1" max="1" width="7.19921875" style="18" customWidth="1"/>
    <col min="2" max="2" width="7.09765625" style="18" customWidth="1"/>
    <col min="3" max="3" width="39.59765625" style="18" customWidth="1"/>
    <col min="4" max="4" width="11.3984375" style="18" customWidth="1"/>
    <col min="5" max="5" width="13.19921875" style="18" customWidth="1"/>
    <col min="6" max="7" width="11.69921875" style="18" customWidth="1"/>
    <col min="8" max="16384" width="9" style="18" customWidth="1"/>
  </cols>
  <sheetData>
    <row r="1" spans="1:7" s="9" customFormat="1" ht="12.75">
      <c r="A1" s="10"/>
      <c r="B1" s="11"/>
      <c r="D1" s="6"/>
      <c r="E1" s="6" t="s">
        <v>435</v>
      </c>
      <c r="F1" s="6"/>
      <c r="G1" s="6"/>
    </row>
    <row r="2" spans="1:7" s="9" customFormat="1" ht="12.75">
      <c r="A2" s="10"/>
      <c r="B2" s="11"/>
      <c r="D2" s="6"/>
      <c r="E2" s="4" t="s">
        <v>440</v>
      </c>
      <c r="F2" s="6"/>
      <c r="G2" s="6"/>
    </row>
    <row r="3" spans="1:7" s="9" customFormat="1" ht="12.75">
      <c r="A3" s="10"/>
      <c r="B3" s="11"/>
      <c r="D3" s="6"/>
      <c r="E3" s="4" t="s">
        <v>441</v>
      </c>
      <c r="F3" s="6"/>
      <c r="G3" s="6"/>
    </row>
    <row r="4" spans="1:2" s="9" customFormat="1" ht="6" customHeight="1">
      <c r="A4" s="10"/>
      <c r="B4" s="11"/>
    </row>
    <row r="5" spans="1:7" s="9" customFormat="1" ht="45" customHeight="1">
      <c r="A5" s="986" t="s">
        <v>439</v>
      </c>
      <c r="B5" s="986"/>
      <c r="C5" s="986"/>
      <c r="D5" s="986"/>
      <c r="E5" s="986"/>
      <c r="F5" s="986"/>
      <c r="G5" s="986"/>
    </row>
    <row r="6" spans="1:7" s="9" customFormat="1" ht="17.25" customHeight="1">
      <c r="A6" s="12"/>
      <c r="B6" s="12"/>
      <c r="C6" s="8"/>
      <c r="D6" s="8"/>
      <c r="E6" s="8"/>
      <c r="F6" s="8"/>
      <c r="G6" s="422" t="s">
        <v>0</v>
      </c>
    </row>
    <row r="7" spans="1:7" s="13" customFormat="1" ht="12.75">
      <c r="A7" s="20" t="s">
        <v>1</v>
      </c>
      <c r="B7" s="1048" t="s">
        <v>2</v>
      </c>
      <c r="C7" s="1049" t="s">
        <v>3</v>
      </c>
      <c r="D7" s="21" t="s">
        <v>4</v>
      </c>
      <c r="E7" s="1051" t="s">
        <v>5</v>
      </c>
      <c r="F7" s="1053" t="s">
        <v>6</v>
      </c>
      <c r="G7" s="22" t="s">
        <v>7</v>
      </c>
    </row>
    <row r="8" spans="1:7" s="13" customFormat="1" ht="14.25" customHeight="1">
      <c r="A8" s="23" t="s">
        <v>8</v>
      </c>
      <c r="B8" s="1048"/>
      <c r="C8" s="1050"/>
      <c r="D8" s="24" t="s">
        <v>65</v>
      </c>
      <c r="E8" s="1052"/>
      <c r="F8" s="1054"/>
      <c r="G8" s="25" t="s">
        <v>9</v>
      </c>
    </row>
    <row r="9" spans="1:7" s="14" customFormat="1" ht="12">
      <c r="A9" s="26" t="s">
        <v>10</v>
      </c>
      <c r="B9" s="27" t="s">
        <v>11</v>
      </c>
      <c r="C9" s="26" t="s">
        <v>12</v>
      </c>
      <c r="D9" s="27" t="s">
        <v>13</v>
      </c>
      <c r="E9" s="26" t="s">
        <v>14</v>
      </c>
      <c r="F9" s="28" t="s">
        <v>15</v>
      </c>
      <c r="G9" s="26" t="s">
        <v>16</v>
      </c>
    </row>
    <row r="10" spans="1:7" s="17" customFormat="1" ht="19.5" customHeight="1">
      <c r="A10" s="15"/>
      <c r="B10" s="29"/>
      <c r="C10" s="30" t="s">
        <v>17</v>
      </c>
      <c r="D10" s="19">
        <v>849420465</v>
      </c>
      <c r="E10" s="16">
        <f>E11+E14+E24+E28+E33+E36+E39+E43+E48+E96+E99+E118+E135</f>
        <v>9151196</v>
      </c>
      <c r="F10" s="16">
        <f>F11+F14+F24+F28+F33+F36+F39+F43+F48+F96+F99+F118+F135</f>
        <v>5078841</v>
      </c>
      <c r="G10" s="16">
        <f>D10+E10-F10</f>
        <v>853492820</v>
      </c>
    </row>
    <row r="11" spans="1:7" s="411" customFormat="1" ht="14.25" customHeight="1">
      <c r="A11" s="412" t="s">
        <v>23</v>
      </c>
      <c r="B11" s="413" t="s">
        <v>403</v>
      </c>
      <c r="C11" s="414" t="s">
        <v>24</v>
      </c>
      <c r="D11" s="415">
        <v>67369557</v>
      </c>
      <c r="E11" s="416">
        <f>E12</f>
        <v>59263</v>
      </c>
      <c r="F11" s="416">
        <f>F12</f>
        <v>0</v>
      </c>
      <c r="G11" s="416">
        <f>D11+E11-F11</f>
        <v>67428820</v>
      </c>
    </row>
    <row r="12" spans="1:7" s="411" customFormat="1" ht="14.25" customHeight="1">
      <c r="A12" s="406" t="s">
        <v>259</v>
      </c>
      <c r="B12" s="407" t="s">
        <v>403</v>
      </c>
      <c r="C12" s="408" t="s">
        <v>401</v>
      </c>
      <c r="D12" s="409">
        <v>0</v>
      </c>
      <c r="E12" s="410">
        <f>E13</f>
        <v>59263</v>
      </c>
      <c r="F12" s="410">
        <f>F13</f>
        <v>0</v>
      </c>
      <c r="G12" s="410">
        <f aca="true" t="shared" si="0" ref="G12:G75">D12+E12-F12</f>
        <v>59263</v>
      </c>
    </row>
    <row r="13" spans="1:7" s="395" customFormat="1" ht="56.25" customHeight="1">
      <c r="A13" s="400" t="s">
        <v>403</v>
      </c>
      <c r="B13" s="402">
        <v>6300</v>
      </c>
      <c r="C13" s="398" t="s">
        <v>404</v>
      </c>
      <c r="D13" s="403">
        <v>0</v>
      </c>
      <c r="E13" s="396">
        <v>59263</v>
      </c>
      <c r="F13" s="403">
        <v>0</v>
      </c>
      <c r="G13" s="396">
        <f t="shared" si="0"/>
        <v>59263</v>
      </c>
    </row>
    <row r="14" spans="1:7" s="411" customFormat="1" ht="15" customHeight="1">
      <c r="A14" s="412" t="s">
        <v>27</v>
      </c>
      <c r="B14" s="413" t="s">
        <v>403</v>
      </c>
      <c r="C14" s="414" t="s">
        <v>28</v>
      </c>
      <c r="D14" s="415">
        <v>337609935</v>
      </c>
      <c r="E14" s="416">
        <f>E15</f>
        <v>1140046</v>
      </c>
      <c r="F14" s="416">
        <f>F15</f>
        <v>0</v>
      </c>
      <c r="G14" s="416">
        <f t="shared" si="0"/>
        <v>338749981</v>
      </c>
    </row>
    <row r="15" spans="1:7" s="411" customFormat="1" ht="15" customHeight="1">
      <c r="A15" s="406">
        <v>60013</v>
      </c>
      <c r="B15" s="407" t="s">
        <v>403</v>
      </c>
      <c r="C15" s="408" t="s">
        <v>306</v>
      </c>
      <c r="D15" s="409">
        <v>187142939</v>
      </c>
      <c r="E15" s="410">
        <f>SUM(E16:E23)</f>
        <v>1140046</v>
      </c>
      <c r="F15" s="410">
        <f>SUM(F16:F23)</f>
        <v>0</v>
      </c>
      <c r="G15" s="410">
        <f t="shared" si="0"/>
        <v>188282985</v>
      </c>
    </row>
    <row r="16" spans="1:7" s="395" customFormat="1" ht="15" customHeight="1">
      <c r="A16" s="400" t="s">
        <v>403</v>
      </c>
      <c r="B16" s="402">
        <v>4017</v>
      </c>
      <c r="C16" s="398" t="s">
        <v>405</v>
      </c>
      <c r="D16" s="403">
        <v>0</v>
      </c>
      <c r="E16" s="396">
        <v>477717</v>
      </c>
      <c r="F16" s="403">
        <v>0</v>
      </c>
      <c r="G16" s="396">
        <f t="shared" si="0"/>
        <v>477717</v>
      </c>
    </row>
    <row r="17" spans="1:7" s="395" customFormat="1" ht="15" customHeight="1">
      <c r="A17" s="400" t="s">
        <v>403</v>
      </c>
      <c r="B17" s="402">
        <v>4019</v>
      </c>
      <c r="C17" s="398" t="s">
        <v>405</v>
      </c>
      <c r="D17" s="403">
        <v>0</v>
      </c>
      <c r="E17" s="396">
        <v>84303</v>
      </c>
      <c r="F17" s="403">
        <v>0</v>
      </c>
      <c r="G17" s="396">
        <f t="shared" si="0"/>
        <v>84303</v>
      </c>
    </row>
    <row r="18" spans="1:7" s="395" customFormat="1" ht="15" customHeight="1">
      <c r="A18" s="400" t="s">
        <v>403</v>
      </c>
      <c r="B18" s="402">
        <v>4117</v>
      </c>
      <c r="C18" s="398" t="s">
        <v>406</v>
      </c>
      <c r="D18" s="403">
        <v>0</v>
      </c>
      <c r="E18" s="396">
        <v>84332</v>
      </c>
      <c r="F18" s="403">
        <v>0</v>
      </c>
      <c r="G18" s="396">
        <f t="shared" si="0"/>
        <v>84332</v>
      </c>
    </row>
    <row r="19" spans="1:7" s="395" customFormat="1" ht="15" customHeight="1">
      <c r="A19" s="400" t="s">
        <v>403</v>
      </c>
      <c r="B19" s="402">
        <v>4119</v>
      </c>
      <c r="C19" s="398" t="s">
        <v>406</v>
      </c>
      <c r="D19" s="403">
        <v>0</v>
      </c>
      <c r="E19" s="396">
        <v>14882</v>
      </c>
      <c r="F19" s="403">
        <v>0</v>
      </c>
      <c r="G19" s="396">
        <f t="shared" si="0"/>
        <v>14882</v>
      </c>
    </row>
    <row r="20" spans="1:7" s="395" customFormat="1" ht="15" customHeight="1">
      <c r="A20" s="400" t="s">
        <v>403</v>
      </c>
      <c r="B20" s="402">
        <v>4127</v>
      </c>
      <c r="C20" s="398" t="s">
        <v>407</v>
      </c>
      <c r="D20" s="403">
        <v>0</v>
      </c>
      <c r="E20" s="396">
        <v>11701</v>
      </c>
      <c r="F20" s="403">
        <v>0</v>
      </c>
      <c r="G20" s="396">
        <f t="shared" si="0"/>
        <v>11701</v>
      </c>
    </row>
    <row r="21" spans="1:7" s="395" customFormat="1" ht="15" customHeight="1">
      <c r="A21" s="400" t="s">
        <v>403</v>
      </c>
      <c r="B21" s="402">
        <v>4129</v>
      </c>
      <c r="C21" s="398" t="s">
        <v>407</v>
      </c>
      <c r="D21" s="403">
        <v>0</v>
      </c>
      <c r="E21" s="396">
        <v>2065</v>
      </c>
      <c r="F21" s="403">
        <v>0</v>
      </c>
      <c r="G21" s="396">
        <f t="shared" si="0"/>
        <v>2065</v>
      </c>
    </row>
    <row r="22" spans="1:7" s="395" customFormat="1" ht="15" customHeight="1">
      <c r="A22" s="400" t="s">
        <v>403</v>
      </c>
      <c r="B22" s="402">
        <v>6057</v>
      </c>
      <c r="C22" s="398" t="s">
        <v>408</v>
      </c>
      <c r="D22" s="403">
        <v>109918160</v>
      </c>
      <c r="E22" s="396">
        <v>307831</v>
      </c>
      <c r="F22" s="403">
        <v>0</v>
      </c>
      <c r="G22" s="396">
        <f t="shared" si="0"/>
        <v>110225991</v>
      </c>
    </row>
    <row r="23" spans="1:7" s="395" customFormat="1" ht="15" customHeight="1">
      <c r="A23" s="400" t="s">
        <v>403</v>
      </c>
      <c r="B23" s="402">
        <v>6059</v>
      </c>
      <c r="C23" s="398" t="s">
        <v>408</v>
      </c>
      <c r="D23" s="403">
        <v>8287111</v>
      </c>
      <c r="E23" s="396">
        <v>157215</v>
      </c>
      <c r="F23" s="403">
        <v>0</v>
      </c>
      <c r="G23" s="396">
        <f t="shared" si="0"/>
        <v>8444326</v>
      </c>
    </row>
    <row r="24" spans="1:7" s="411" customFormat="1" ht="15" customHeight="1">
      <c r="A24" s="412" t="s">
        <v>32</v>
      </c>
      <c r="B24" s="413" t="s">
        <v>403</v>
      </c>
      <c r="C24" s="414" t="s">
        <v>33</v>
      </c>
      <c r="D24" s="415">
        <v>973129</v>
      </c>
      <c r="E24" s="416">
        <f>E25</f>
        <v>114863</v>
      </c>
      <c r="F24" s="416">
        <f>F25</f>
        <v>0</v>
      </c>
      <c r="G24" s="416">
        <f t="shared" si="0"/>
        <v>1087992</v>
      </c>
    </row>
    <row r="25" spans="1:7" s="411" customFormat="1" ht="15" customHeight="1">
      <c r="A25" s="406">
        <v>70005</v>
      </c>
      <c r="B25" s="407" t="s">
        <v>403</v>
      </c>
      <c r="C25" s="408" t="s">
        <v>312</v>
      </c>
      <c r="D25" s="409">
        <v>973129</v>
      </c>
      <c r="E25" s="410">
        <f>SUM(E26:E27)</f>
        <v>114863</v>
      </c>
      <c r="F25" s="410">
        <f>SUM(F26:F27)</f>
        <v>0</v>
      </c>
      <c r="G25" s="410">
        <f t="shared" si="0"/>
        <v>1087992</v>
      </c>
    </row>
    <row r="26" spans="1:7" s="395" customFormat="1" ht="15" customHeight="1">
      <c r="A26" s="400" t="s">
        <v>403</v>
      </c>
      <c r="B26" s="402">
        <v>6050</v>
      </c>
      <c r="C26" s="398" t="s">
        <v>408</v>
      </c>
      <c r="D26" s="403">
        <v>535629</v>
      </c>
      <c r="E26" s="396">
        <v>110000</v>
      </c>
      <c r="F26" s="403">
        <v>0</v>
      </c>
      <c r="G26" s="396">
        <f t="shared" si="0"/>
        <v>645629</v>
      </c>
    </row>
    <row r="27" spans="1:7" s="395" customFormat="1" ht="56.25" customHeight="1">
      <c r="A27" s="400" t="s">
        <v>403</v>
      </c>
      <c r="B27" s="402">
        <v>6300</v>
      </c>
      <c r="C27" s="398" t="s">
        <v>404</v>
      </c>
      <c r="D27" s="403">
        <v>0</v>
      </c>
      <c r="E27" s="396">
        <v>4863</v>
      </c>
      <c r="F27" s="403">
        <v>0</v>
      </c>
      <c r="G27" s="396">
        <f t="shared" si="0"/>
        <v>4863</v>
      </c>
    </row>
    <row r="28" spans="1:7" s="411" customFormat="1" ht="15" customHeight="1">
      <c r="A28" s="412" t="s">
        <v>317</v>
      </c>
      <c r="B28" s="413" t="s">
        <v>403</v>
      </c>
      <c r="C28" s="414" t="s">
        <v>318</v>
      </c>
      <c r="D28" s="415">
        <v>25163146</v>
      </c>
      <c r="E28" s="416">
        <f>E29</f>
        <v>151618</v>
      </c>
      <c r="F28" s="416">
        <f>F29</f>
        <v>33329</v>
      </c>
      <c r="G28" s="416">
        <f t="shared" si="0"/>
        <v>25281435</v>
      </c>
    </row>
    <row r="29" spans="1:7" s="411" customFormat="1" ht="15" customHeight="1">
      <c r="A29" s="406">
        <v>72095</v>
      </c>
      <c r="B29" s="407" t="s">
        <v>403</v>
      </c>
      <c r="C29" s="408" t="s">
        <v>210</v>
      </c>
      <c r="D29" s="409">
        <v>25163146</v>
      </c>
      <c r="E29" s="410">
        <f>SUM(E30:E32)</f>
        <v>151618</v>
      </c>
      <c r="F29" s="410">
        <f>SUM(F30:F32)</f>
        <v>33329</v>
      </c>
      <c r="G29" s="410">
        <f t="shared" si="0"/>
        <v>25281435</v>
      </c>
    </row>
    <row r="30" spans="1:7" s="395" customFormat="1" ht="15" customHeight="1">
      <c r="A30" s="400" t="s">
        <v>403</v>
      </c>
      <c r="B30" s="402">
        <v>4300</v>
      </c>
      <c r="C30" s="398" t="s">
        <v>409</v>
      </c>
      <c r="D30" s="403">
        <v>884545</v>
      </c>
      <c r="E30" s="396">
        <v>41183</v>
      </c>
      <c r="F30" s="403">
        <v>0</v>
      </c>
      <c r="G30" s="396">
        <f t="shared" si="0"/>
        <v>925728</v>
      </c>
    </row>
    <row r="31" spans="1:7" s="395" customFormat="1" ht="15" customHeight="1">
      <c r="A31" s="400" t="s">
        <v>403</v>
      </c>
      <c r="B31" s="402">
        <v>4360</v>
      </c>
      <c r="C31" s="398" t="s">
        <v>410</v>
      </c>
      <c r="D31" s="403">
        <v>1339027</v>
      </c>
      <c r="E31" s="396">
        <v>110435</v>
      </c>
      <c r="F31" s="403">
        <v>0</v>
      </c>
      <c r="G31" s="396">
        <f t="shared" si="0"/>
        <v>1449462</v>
      </c>
    </row>
    <row r="32" spans="1:7" s="395" customFormat="1" ht="15" customHeight="1">
      <c r="A32" s="400" t="s">
        <v>403</v>
      </c>
      <c r="B32" s="402">
        <v>4430</v>
      </c>
      <c r="C32" s="398" t="s">
        <v>411</v>
      </c>
      <c r="D32" s="403">
        <v>98843</v>
      </c>
      <c r="E32" s="396">
        <v>0</v>
      </c>
      <c r="F32" s="403">
        <v>33329</v>
      </c>
      <c r="G32" s="396">
        <f t="shared" si="0"/>
        <v>65514</v>
      </c>
    </row>
    <row r="33" spans="1:7" s="411" customFormat="1" ht="15" customHeight="1">
      <c r="A33" s="412" t="s">
        <v>337</v>
      </c>
      <c r="B33" s="413" t="s">
        <v>403</v>
      </c>
      <c r="C33" s="414" t="s">
        <v>338</v>
      </c>
      <c r="D33" s="415">
        <v>21487624</v>
      </c>
      <c r="E33" s="416">
        <f>E34</f>
        <v>0</v>
      </c>
      <c r="F33" s="416">
        <f>F34</f>
        <v>2063457</v>
      </c>
      <c r="G33" s="416">
        <f t="shared" si="0"/>
        <v>19424167</v>
      </c>
    </row>
    <row r="34" spans="1:7" s="411" customFormat="1" ht="15" customHeight="1">
      <c r="A34" s="406">
        <v>75818</v>
      </c>
      <c r="B34" s="407" t="s">
        <v>403</v>
      </c>
      <c r="C34" s="408" t="s">
        <v>340</v>
      </c>
      <c r="D34" s="409">
        <v>21487624</v>
      </c>
      <c r="E34" s="410">
        <f>E35</f>
        <v>0</v>
      </c>
      <c r="F34" s="410">
        <f>F35</f>
        <v>2063457</v>
      </c>
      <c r="G34" s="410">
        <f t="shared" si="0"/>
        <v>19424167</v>
      </c>
    </row>
    <row r="35" spans="1:7" s="395" customFormat="1" ht="15" customHeight="1">
      <c r="A35" s="400" t="s">
        <v>403</v>
      </c>
      <c r="B35" s="402">
        <v>6800</v>
      </c>
      <c r="C35" s="398" t="s">
        <v>412</v>
      </c>
      <c r="D35" s="403">
        <v>13730000</v>
      </c>
      <c r="E35" s="396">
        <v>0</v>
      </c>
      <c r="F35" s="403">
        <v>2063457</v>
      </c>
      <c r="G35" s="396">
        <f t="shared" si="0"/>
        <v>11666543</v>
      </c>
    </row>
    <row r="36" spans="1:7" s="411" customFormat="1" ht="15" customHeight="1">
      <c r="A36" s="412" t="s">
        <v>41</v>
      </c>
      <c r="B36" s="413" t="s">
        <v>403</v>
      </c>
      <c r="C36" s="414" t="s">
        <v>42</v>
      </c>
      <c r="D36" s="415">
        <v>64138577</v>
      </c>
      <c r="E36" s="416">
        <f>E37</f>
        <v>150000</v>
      </c>
      <c r="F36" s="416">
        <f>F37</f>
        <v>0</v>
      </c>
      <c r="G36" s="416">
        <f t="shared" si="0"/>
        <v>64288577</v>
      </c>
    </row>
    <row r="37" spans="1:7" s="411" customFormat="1" ht="15" customHeight="1">
      <c r="A37" s="406">
        <v>80130</v>
      </c>
      <c r="B37" s="407" t="s">
        <v>403</v>
      </c>
      <c r="C37" s="408" t="s">
        <v>356</v>
      </c>
      <c r="D37" s="409">
        <v>9124108</v>
      </c>
      <c r="E37" s="410">
        <f>E38</f>
        <v>150000</v>
      </c>
      <c r="F37" s="410">
        <f>F38</f>
        <v>0</v>
      </c>
      <c r="G37" s="410">
        <f t="shared" si="0"/>
        <v>9274108</v>
      </c>
    </row>
    <row r="38" spans="1:7" s="395" customFormat="1" ht="15" customHeight="1">
      <c r="A38" s="400" t="s">
        <v>403</v>
      </c>
      <c r="B38" s="402">
        <v>4270</v>
      </c>
      <c r="C38" s="398" t="s">
        <v>196</v>
      </c>
      <c r="D38" s="403">
        <v>39000</v>
      </c>
      <c r="E38" s="396">
        <v>150000</v>
      </c>
      <c r="F38" s="403">
        <v>0</v>
      </c>
      <c r="G38" s="396">
        <f t="shared" si="0"/>
        <v>189000</v>
      </c>
    </row>
    <row r="39" spans="1:7" s="411" customFormat="1" ht="28.5" customHeight="1">
      <c r="A39" s="412" t="s">
        <v>57</v>
      </c>
      <c r="B39" s="413" t="s">
        <v>403</v>
      </c>
      <c r="C39" s="414" t="s">
        <v>47</v>
      </c>
      <c r="D39" s="415">
        <v>17430285</v>
      </c>
      <c r="E39" s="416">
        <f>E40</f>
        <v>1748685</v>
      </c>
      <c r="F39" s="416">
        <f>F40</f>
        <v>0</v>
      </c>
      <c r="G39" s="416">
        <f t="shared" si="0"/>
        <v>19178970</v>
      </c>
    </row>
    <row r="40" spans="1:7" s="411" customFormat="1" ht="29.25" customHeight="1">
      <c r="A40" s="406">
        <v>85324</v>
      </c>
      <c r="B40" s="407" t="s">
        <v>403</v>
      </c>
      <c r="C40" s="408" t="s">
        <v>377</v>
      </c>
      <c r="D40" s="409">
        <v>243379</v>
      </c>
      <c r="E40" s="410">
        <f>SUM(E41:E42)</f>
        <v>1748685</v>
      </c>
      <c r="F40" s="410">
        <f>SUM(F41:F42)</f>
        <v>0</v>
      </c>
      <c r="G40" s="410">
        <f t="shared" si="0"/>
        <v>1992064</v>
      </c>
    </row>
    <row r="41" spans="1:7" s="395" customFormat="1" ht="55.5" customHeight="1">
      <c r="A41" s="400" t="s">
        <v>403</v>
      </c>
      <c r="B41" s="402">
        <v>4560</v>
      </c>
      <c r="C41" s="398" t="s">
        <v>413</v>
      </c>
      <c r="D41" s="403">
        <v>0</v>
      </c>
      <c r="E41" s="396">
        <v>748685</v>
      </c>
      <c r="F41" s="403">
        <v>0</v>
      </c>
      <c r="G41" s="396">
        <f t="shared" si="0"/>
        <v>748685</v>
      </c>
    </row>
    <row r="42" spans="1:7" s="395" customFormat="1" ht="29.25" customHeight="1">
      <c r="A42" s="400" t="s">
        <v>403</v>
      </c>
      <c r="B42" s="402">
        <v>6690</v>
      </c>
      <c r="C42" s="398" t="s">
        <v>414</v>
      </c>
      <c r="D42" s="403">
        <v>0</v>
      </c>
      <c r="E42" s="396">
        <v>1000000</v>
      </c>
      <c r="F42" s="403">
        <v>0</v>
      </c>
      <c r="G42" s="396">
        <f t="shared" si="0"/>
        <v>1000000</v>
      </c>
    </row>
    <row r="43" spans="1:7" s="411" customFormat="1" ht="15" customHeight="1">
      <c r="A43" s="412" t="s">
        <v>62</v>
      </c>
      <c r="B43" s="413" t="s">
        <v>403</v>
      </c>
      <c r="C43" s="414" t="s">
        <v>63</v>
      </c>
      <c r="D43" s="415">
        <v>29697953</v>
      </c>
      <c r="E43" s="416">
        <f>E44+E46</f>
        <v>215000</v>
      </c>
      <c r="F43" s="416">
        <f>F44+F46</f>
        <v>0</v>
      </c>
      <c r="G43" s="416">
        <f t="shared" si="0"/>
        <v>29912953</v>
      </c>
    </row>
    <row r="44" spans="1:7" s="411" customFormat="1" ht="15" customHeight="1">
      <c r="A44" s="406">
        <v>85403</v>
      </c>
      <c r="B44" s="407" t="s">
        <v>403</v>
      </c>
      <c r="C44" s="408" t="s">
        <v>380</v>
      </c>
      <c r="D44" s="409">
        <v>18588089</v>
      </c>
      <c r="E44" s="410">
        <f>E45</f>
        <v>15000</v>
      </c>
      <c r="F44" s="410">
        <f>F45</f>
        <v>0</v>
      </c>
      <c r="G44" s="410">
        <f t="shared" si="0"/>
        <v>18603089</v>
      </c>
    </row>
    <row r="45" spans="1:7" s="395" customFormat="1" ht="13.5" customHeight="1">
      <c r="A45" s="400" t="s">
        <v>403</v>
      </c>
      <c r="B45" s="402">
        <v>6050</v>
      </c>
      <c r="C45" s="398" t="s">
        <v>408</v>
      </c>
      <c r="D45" s="403">
        <v>485770</v>
      </c>
      <c r="E45" s="396">
        <v>15000</v>
      </c>
      <c r="F45" s="403">
        <v>0</v>
      </c>
      <c r="G45" s="396">
        <f t="shared" si="0"/>
        <v>500770</v>
      </c>
    </row>
    <row r="46" spans="1:7" s="411" customFormat="1" ht="15" customHeight="1">
      <c r="A46" s="406">
        <v>85495</v>
      </c>
      <c r="B46" s="407" t="s">
        <v>403</v>
      </c>
      <c r="C46" s="408" t="s">
        <v>210</v>
      </c>
      <c r="D46" s="409">
        <v>306744</v>
      </c>
      <c r="E46" s="410">
        <f>E47</f>
        <v>200000</v>
      </c>
      <c r="F46" s="410">
        <f>F47</f>
        <v>0</v>
      </c>
      <c r="G46" s="410">
        <f t="shared" si="0"/>
        <v>506744</v>
      </c>
    </row>
    <row r="47" spans="1:7" s="395" customFormat="1" ht="70.5" customHeight="1">
      <c r="A47" s="401" t="s">
        <v>403</v>
      </c>
      <c r="B47" s="404">
        <v>6230</v>
      </c>
      <c r="C47" s="399" t="s">
        <v>415</v>
      </c>
      <c r="D47" s="405">
        <v>0</v>
      </c>
      <c r="E47" s="397">
        <v>200000</v>
      </c>
      <c r="F47" s="405">
        <v>0</v>
      </c>
      <c r="G47" s="397">
        <f t="shared" si="0"/>
        <v>200000</v>
      </c>
    </row>
    <row r="48" spans="1:7" s="411" customFormat="1" ht="15" customHeight="1">
      <c r="A48" s="412" t="s">
        <v>235</v>
      </c>
      <c r="B48" s="413" t="s">
        <v>403</v>
      </c>
      <c r="C48" s="414" t="s">
        <v>236</v>
      </c>
      <c r="D48" s="415">
        <v>1217000</v>
      </c>
      <c r="E48" s="416">
        <f>E49+E64+E81</f>
        <v>2101000</v>
      </c>
      <c r="F48" s="416">
        <f>F49+F64+F81</f>
        <v>0</v>
      </c>
      <c r="G48" s="416">
        <f t="shared" si="0"/>
        <v>3318000</v>
      </c>
    </row>
    <row r="49" spans="1:7" s="411" customFormat="1" ht="15" customHeight="1">
      <c r="A49" s="406">
        <v>85501</v>
      </c>
      <c r="B49" s="407" t="s">
        <v>403</v>
      </c>
      <c r="C49" s="408" t="s">
        <v>238</v>
      </c>
      <c r="D49" s="409">
        <v>187000</v>
      </c>
      <c r="E49" s="410">
        <f>SUM(E50:E63)</f>
        <v>343000</v>
      </c>
      <c r="F49" s="410">
        <f>SUM(F50:F63)</f>
        <v>0</v>
      </c>
      <c r="G49" s="410">
        <f t="shared" si="0"/>
        <v>530000</v>
      </c>
    </row>
    <row r="50" spans="1:7" s="395" customFormat="1" ht="15" customHeight="1">
      <c r="A50" s="400" t="s">
        <v>403</v>
      </c>
      <c r="B50" s="402">
        <v>3020</v>
      </c>
      <c r="C50" s="398" t="s">
        <v>416</v>
      </c>
      <c r="D50" s="403">
        <v>0</v>
      </c>
      <c r="E50" s="396">
        <v>250</v>
      </c>
      <c r="F50" s="403">
        <v>0</v>
      </c>
      <c r="G50" s="396">
        <f t="shared" si="0"/>
        <v>250</v>
      </c>
    </row>
    <row r="51" spans="1:7" s="395" customFormat="1" ht="15" customHeight="1">
      <c r="A51" s="400" t="s">
        <v>403</v>
      </c>
      <c r="B51" s="402">
        <v>4010</v>
      </c>
      <c r="C51" s="398" t="s">
        <v>405</v>
      </c>
      <c r="D51" s="403">
        <v>57000</v>
      </c>
      <c r="E51" s="396">
        <v>242000</v>
      </c>
      <c r="F51" s="403">
        <v>0</v>
      </c>
      <c r="G51" s="396">
        <f t="shared" si="0"/>
        <v>299000</v>
      </c>
    </row>
    <row r="52" spans="1:7" s="395" customFormat="1" ht="15" customHeight="1">
      <c r="A52" s="400" t="s">
        <v>403</v>
      </c>
      <c r="B52" s="402">
        <v>4110</v>
      </c>
      <c r="C52" s="398" t="s">
        <v>406</v>
      </c>
      <c r="D52" s="403">
        <v>13234</v>
      </c>
      <c r="E52" s="396">
        <v>42766</v>
      </c>
      <c r="F52" s="403">
        <v>0</v>
      </c>
      <c r="G52" s="396">
        <f t="shared" si="0"/>
        <v>56000</v>
      </c>
    </row>
    <row r="53" spans="1:7" s="395" customFormat="1" ht="15" customHeight="1">
      <c r="A53" s="400" t="s">
        <v>403</v>
      </c>
      <c r="B53" s="402">
        <v>4120</v>
      </c>
      <c r="C53" s="398" t="s">
        <v>407</v>
      </c>
      <c r="D53" s="403">
        <v>1887</v>
      </c>
      <c r="E53" s="396">
        <v>6113</v>
      </c>
      <c r="F53" s="403">
        <v>0</v>
      </c>
      <c r="G53" s="396">
        <f t="shared" si="0"/>
        <v>8000</v>
      </c>
    </row>
    <row r="54" spans="1:7" s="395" customFormat="1" ht="28.5" customHeight="1">
      <c r="A54" s="400" t="s">
        <v>403</v>
      </c>
      <c r="B54" s="402">
        <v>4140</v>
      </c>
      <c r="C54" s="398" t="s">
        <v>417</v>
      </c>
      <c r="D54" s="403">
        <v>4000</v>
      </c>
      <c r="E54" s="396">
        <v>9200</v>
      </c>
      <c r="F54" s="403">
        <v>0</v>
      </c>
      <c r="G54" s="396">
        <f t="shared" si="0"/>
        <v>13200</v>
      </c>
    </row>
    <row r="55" spans="1:7" s="395" customFormat="1" ht="15" customHeight="1">
      <c r="A55" s="400" t="s">
        <v>403</v>
      </c>
      <c r="B55" s="402">
        <v>4210</v>
      </c>
      <c r="C55" s="398" t="s">
        <v>418</v>
      </c>
      <c r="D55" s="403">
        <v>5000</v>
      </c>
      <c r="E55" s="396">
        <v>7000</v>
      </c>
      <c r="F55" s="403">
        <v>0</v>
      </c>
      <c r="G55" s="396">
        <f t="shared" si="0"/>
        <v>12000</v>
      </c>
    </row>
    <row r="56" spans="1:7" s="395" customFormat="1" ht="15" customHeight="1">
      <c r="A56" s="400" t="s">
        <v>403</v>
      </c>
      <c r="B56" s="402">
        <v>4260</v>
      </c>
      <c r="C56" s="398" t="s">
        <v>419</v>
      </c>
      <c r="D56" s="403">
        <v>6000</v>
      </c>
      <c r="E56" s="396">
        <v>966</v>
      </c>
      <c r="F56" s="403">
        <v>0</v>
      </c>
      <c r="G56" s="396">
        <f t="shared" si="0"/>
        <v>6966</v>
      </c>
    </row>
    <row r="57" spans="1:7" s="395" customFormat="1" ht="15" customHeight="1">
      <c r="A57" s="400" t="s">
        <v>403</v>
      </c>
      <c r="B57" s="402">
        <v>4280</v>
      </c>
      <c r="C57" s="398" t="s">
        <v>420</v>
      </c>
      <c r="D57" s="403">
        <v>100</v>
      </c>
      <c r="E57" s="396">
        <v>75</v>
      </c>
      <c r="F57" s="403">
        <v>0</v>
      </c>
      <c r="G57" s="396">
        <f t="shared" si="0"/>
        <v>175</v>
      </c>
    </row>
    <row r="58" spans="1:7" s="395" customFormat="1" ht="15" customHeight="1">
      <c r="A58" s="400" t="s">
        <v>403</v>
      </c>
      <c r="B58" s="402">
        <v>4300</v>
      </c>
      <c r="C58" s="398" t="s">
        <v>409</v>
      </c>
      <c r="D58" s="403">
        <v>66179</v>
      </c>
      <c r="E58" s="396">
        <v>15586</v>
      </c>
      <c r="F58" s="403">
        <v>0</v>
      </c>
      <c r="G58" s="396">
        <f t="shared" si="0"/>
        <v>81765</v>
      </c>
    </row>
    <row r="59" spans="1:7" s="395" customFormat="1" ht="15" customHeight="1">
      <c r="A59" s="400" t="s">
        <v>403</v>
      </c>
      <c r="B59" s="402">
        <v>4360</v>
      </c>
      <c r="C59" s="398" t="s">
        <v>410</v>
      </c>
      <c r="D59" s="403">
        <v>1800</v>
      </c>
      <c r="E59" s="396">
        <v>544</v>
      </c>
      <c r="F59" s="403">
        <v>0</v>
      </c>
      <c r="G59" s="396">
        <f t="shared" si="0"/>
        <v>2344</v>
      </c>
    </row>
    <row r="60" spans="1:7" s="395" customFormat="1" ht="15" customHeight="1">
      <c r="A60" s="400" t="s">
        <v>403</v>
      </c>
      <c r="B60" s="402">
        <v>4380</v>
      </c>
      <c r="C60" s="398" t="s">
        <v>421</v>
      </c>
      <c r="D60" s="403">
        <v>10000</v>
      </c>
      <c r="E60" s="396">
        <v>5000</v>
      </c>
      <c r="F60" s="403">
        <v>0</v>
      </c>
      <c r="G60" s="396">
        <f t="shared" si="0"/>
        <v>15000</v>
      </c>
    </row>
    <row r="61" spans="1:7" s="395" customFormat="1" ht="15" customHeight="1">
      <c r="A61" s="400" t="s">
        <v>403</v>
      </c>
      <c r="B61" s="402">
        <v>4410</v>
      </c>
      <c r="C61" s="398" t="s">
        <v>422</v>
      </c>
      <c r="D61" s="403">
        <v>0</v>
      </c>
      <c r="E61" s="396">
        <v>750</v>
      </c>
      <c r="F61" s="403">
        <v>0</v>
      </c>
      <c r="G61" s="396">
        <f t="shared" si="0"/>
        <v>750</v>
      </c>
    </row>
    <row r="62" spans="1:7" s="395" customFormat="1" ht="15" customHeight="1">
      <c r="A62" s="400" t="s">
        <v>403</v>
      </c>
      <c r="B62" s="402">
        <v>4440</v>
      </c>
      <c r="C62" s="398" t="s">
        <v>423</v>
      </c>
      <c r="D62" s="403">
        <v>0</v>
      </c>
      <c r="E62" s="396">
        <v>12000</v>
      </c>
      <c r="F62" s="403">
        <v>0</v>
      </c>
      <c r="G62" s="396">
        <f t="shared" si="0"/>
        <v>12000</v>
      </c>
    </row>
    <row r="63" spans="1:7" s="395" customFormat="1" ht="30.75" customHeight="1">
      <c r="A63" s="400" t="s">
        <v>403</v>
      </c>
      <c r="B63" s="402">
        <v>4700</v>
      </c>
      <c r="C63" s="398" t="s">
        <v>424</v>
      </c>
      <c r="D63" s="403">
        <v>0</v>
      </c>
      <c r="E63" s="396">
        <v>750</v>
      </c>
      <c r="F63" s="403">
        <v>0</v>
      </c>
      <c r="G63" s="396">
        <f t="shared" si="0"/>
        <v>750</v>
      </c>
    </row>
    <row r="64" spans="1:7" s="411" customFormat="1" ht="44.25" customHeight="1">
      <c r="A64" s="406">
        <v>85502</v>
      </c>
      <c r="B64" s="407" t="s">
        <v>403</v>
      </c>
      <c r="C64" s="408" t="s">
        <v>241</v>
      </c>
      <c r="D64" s="409">
        <v>190000</v>
      </c>
      <c r="E64" s="410">
        <f>SUM(E65:E80)</f>
        <v>918000</v>
      </c>
      <c r="F64" s="410">
        <f>SUM(F65:F80)</f>
        <v>0</v>
      </c>
      <c r="G64" s="410">
        <f t="shared" si="0"/>
        <v>1108000</v>
      </c>
    </row>
    <row r="65" spans="1:7" s="395" customFormat="1" ht="15" customHeight="1">
      <c r="A65" s="400" t="s">
        <v>403</v>
      </c>
      <c r="B65" s="402">
        <v>3020</v>
      </c>
      <c r="C65" s="398" t="s">
        <v>416</v>
      </c>
      <c r="D65" s="403">
        <v>0</v>
      </c>
      <c r="E65" s="396">
        <v>750</v>
      </c>
      <c r="F65" s="403">
        <v>0</v>
      </c>
      <c r="G65" s="396">
        <f t="shared" si="0"/>
        <v>750</v>
      </c>
    </row>
    <row r="66" spans="1:7" s="395" customFormat="1" ht="15" customHeight="1">
      <c r="A66" s="400" t="s">
        <v>403</v>
      </c>
      <c r="B66" s="402">
        <v>4010</v>
      </c>
      <c r="C66" s="398" t="s">
        <v>405</v>
      </c>
      <c r="D66" s="403">
        <v>80000</v>
      </c>
      <c r="E66" s="396">
        <v>532000</v>
      </c>
      <c r="F66" s="403">
        <v>0</v>
      </c>
      <c r="G66" s="396">
        <f t="shared" si="0"/>
        <v>612000</v>
      </c>
    </row>
    <row r="67" spans="1:7" s="395" customFormat="1" ht="15" customHeight="1">
      <c r="A67" s="400" t="s">
        <v>403</v>
      </c>
      <c r="B67" s="402">
        <v>4040</v>
      </c>
      <c r="C67" s="398" t="s">
        <v>425</v>
      </c>
      <c r="D67" s="403">
        <v>0</v>
      </c>
      <c r="E67" s="396">
        <v>74000</v>
      </c>
      <c r="F67" s="403">
        <v>0</v>
      </c>
      <c r="G67" s="396">
        <f t="shared" si="0"/>
        <v>74000</v>
      </c>
    </row>
    <row r="68" spans="1:7" s="395" customFormat="1" ht="15" customHeight="1">
      <c r="A68" s="400" t="s">
        <v>403</v>
      </c>
      <c r="B68" s="402">
        <v>4110</v>
      </c>
      <c r="C68" s="398" t="s">
        <v>406</v>
      </c>
      <c r="D68" s="403">
        <v>13800</v>
      </c>
      <c r="E68" s="396">
        <v>104200</v>
      </c>
      <c r="F68" s="403">
        <v>0</v>
      </c>
      <c r="G68" s="396">
        <f t="shared" si="0"/>
        <v>118000</v>
      </c>
    </row>
    <row r="69" spans="1:7" s="395" customFormat="1" ht="15" customHeight="1">
      <c r="A69" s="400" t="s">
        <v>403</v>
      </c>
      <c r="B69" s="402">
        <v>4120</v>
      </c>
      <c r="C69" s="398" t="s">
        <v>407</v>
      </c>
      <c r="D69" s="403">
        <v>1960</v>
      </c>
      <c r="E69" s="396">
        <v>15040</v>
      </c>
      <c r="F69" s="403">
        <v>0</v>
      </c>
      <c r="G69" s="396">
        <f t="shared" si="0"/>
        <v>17000</v>
      </c>
    </row>
    <row r="70" spans="1:7" s="395" customFormat="1" ht="27.75" customHeight="1">
      <c r="A70" s="400" t="s">
        <v>403</v>
      </c>
      <c r="B70" s="402">
        <v>4140</v>
      </c>
      <c r="C70" s="398" t="s">
        <v>417</v>
      </c>
      <c r="D70" s="403">
        <v>4000</v>
      </c>
      <c r="E70" s="396">
        <v>19000</v>
      </c>
      <c r="F70" s="403">
        <v>0</v>
      </c>
      <c r="G70" s="396">
        <f t="shared" si="0"/>
        <v>23000</v>
      </c>
    </row>
    <row r="71" spans="1:7" s="395" customFormat="1" ht="15" customHeight="1">
      <c r="A71" s="400" t="s">
        <v>403</v>
      </c>
      <c r="B71" s="402">
        <v>4210</v>
      </c>
      <c r="C71" s="398" t="s">
        <v>418</v>
      </c>
      <c r="D71" s="403">
        <v>4500</v>
      </c>
      <c r="E71" s="396">
        <v>9720</v>
      </c>
      <c r="F71" s="403">
        <v>0</v>
      </c>
      <c r="G71" s="396">
        <f t="shared" si="0"/>
        <v>14220</v>
      </c>
    </row>
    <row r="72" spans="1:7" s="395" customFormat="1" ht="15" customHeight="1">
      <c r="A72" s="400" t="s">
        <v>403</v>
      </c>
      <c r="B72" s="402">
        <v>4260</v>
      </c>
      <c r="C72" s="398" t="s">
        <v>419</v>
      </c>
      <c r="D72" s="403">
        <v>6000</v>
      </c>
      <c r="E72" s="396">
        <v>6840</v>
      </c>
      <c r="F72" s="403">
        <v>0</v>
      </c>
      <c r="G72" s="396">
        <f t="shared" si="0"/>
        <v>12840</v>
      </c>
    </row>
    <row r="73" spans="1:7" s="395" customFormat="1" ht="15" customHeight="1">
      <c r="A73" s="400" t="s">
        <v>403</v>
      </c>
      <c r="B73" s="402">
        <v>4270</v>
      </c>
      <c r="C73" s="398" t="s">
        <v>196</v>
      </c>
      <c r="D73" s="403">
        <v>500</v>
      </c>
      <c r="E73" s="396">
        <v>1000</v>
      </c>
      <c r="F73" s="403">
        <v>0</v>
      </c>
      <c r="G73" s="396">
        <f t="shared" si="0"/>
        <v>1500</v>
      </c>
    </row>
    <row r="74" spans="1:7" s="395" customFormat="1" ht="15" customHeight="1">
      <c r="A74" s="400" t="s">
        <v>403</v>
      </c>
      <c r="B74" s="402">
        <v>4280</v>
      </c>
      <c r="C74" s="398" t="s">
        <v>420</v>
      </c>
      <c r="D74" s="403">
        <v>100</v>
      </c>
      <c r="E74" s="396">
        <v>450</v>
      </c>
      <c r="F74" s="403">
        <v>0</v>
      </c>
      <c r="G74" s="396">
        <f t="shared" si="0"/>
        <v>550</v>
      </c>
    </row>
    <row r="75" spans="1:7" s="395" customFormat="1" ht="15" customHeight="1">
      <c r="A75" s="400" t="s">
        <v>403</v>
      </c>
      <c r="B75" s="402">
        <v>4300</v>
      </c>
      <c r="C75" s="398" t="s">
        <v>409</v>
      </c>
      <c r="D75" s="403">
        <v>66040</v>
      </c>
      <c r="E75" s="396">
        <v>98500</v>
      </c>
      <c r="F75" s="403">
        <v>0</v>
      </c>
      <c r="G75" s="396">
        <f t="shared" si="0"/>
        <v>164540</v>
      </c>
    </row>
    <row r="76" spans="1:7" s="395" customFormat="1" ht="15" customHeight="1">
      <c r="A76" s="400" t="s">
        <v>403</v>
      </c>
      <c r="B76" s="402">
        <v>4360</v>
      </c>
      <c r="C76" s="398" t="s">
        <v>410</v>
      </c>
      <c r="D76" s="403">
        <v>1800</v>
      </c>
      <c r="E76" s="396">
        <v>3250</v>
      </c>
      <c r="F76" s="403">
        <v>0</v>
      </c>
      <c r="G76" s="396">
        <f aca="true" t="shared" si="1" ref="G76:G137">D76+E76-F76</f>
        <v>5050</v>
      </c>
    </row>
    <row r="77" spans="1:7" s="395" customFormat="1" ht="15" customHeight="1">
      <c r="A77" s="400" t="s">
        <v>403</v>
      </c>
      <c r="B77" s="402">
        <v>4380</v>
      </c>
      <c r="C77" s="398" t="s">
        <v>421</v>
      </c>
      <c r="D77" s="403">
        <v>10000</v>
      </c>
      <c r="E77" s="396">
        <v>18750</v>
      </c>
      <c r="F77" s="403">
        <v>0</v>
      </c>
      <c r="G77" s="396">
        <f t="shared" si="1"/>
        <v>28750</v>
      </c>
    </row>
    <row r="78" spans="1:7" s="395" customFormat="1" ht="15" customHeight="1">
      <c r="A78" s="400" t="s">
        <v>403</v>
      </c>
      <c r="B78" s="402">
        <v>4410</v>
      </c>
      <c r="C78" s="398" t="s">
        <v>422</v>
      </c>
      <c r="D78" s="403">
        <v>0</v>
      </c>
      <c r="E78" s="396">
        <v>2250</v>
      </c>
      <c r="F78" s="403">
        <v>0</v>
      </c>
      <c r="G78" s="396">
        <f t="shared" si="1"/>
        <v>2250</v>
      </c>
    </row>
    <row r="79" spans="1:7" s="395" customFormat="1" ht="15" customHeight="1">
      <c r="A79" s="400" t="s">
        <v>403</v>
      </c>
      <c r="B79" s="402">
        <v>4440</v>
      </c>
      <c r="C79" s="398" t="s">
        <v>423</v>
      </c>
      <c r="D79" s="403">
        <v>0</v>
      </c>
      <c r="E79" s="396">
        <v>30000</v>
      </c>
      <c r="F79" s="403">
        <v>0</v>
      </c>
      <c r="G79" s="396">
        <f t="shared" si="1"/>
        <v>30000</v>
      </c>
    </row>
    <row r="80" spans="1:7" s="395" customFormat="1" ht="31.5" customHeight="1">
      <c r="A80" s="400" t="s">
        <v>403</v>
      </c>
      <c r="B80" s="402">
        <v>4700</v>
      </c>
      <c r="C80" s="398" t="s">
        <v>424</v>
      </c>
      <c r="D80" s="403">
        <v>0</v>
      </c>
      <c r="E80" s="396">
        <v>2250</v>
      </c>
      <c r="F80" s="403">
        <v>0</v>
      </c>
      <c r="G80" s="396">
        <f t="shared" si="1"/>
        <v>2250</v>
      </c>
    </row>
    <row r="81" spans="1:7" s="411" customFormat="1" ht="15" customHeight="1">
      <c r="A81" s="406">
        <v>85509</v>
      </c>
      <c r="B81" s="407" t="s">
        <v>403</v>
      </c>
      <c r="C81" s="408" t="s">
        <v>244</v>
      </c>
      <c r="D81" s="409">
        <v>840000</v>
      </c>
      <c r="E81" s="410">
        <f>SUM(E82:E95)</f>
        <v>840000</v>
      </c>
      <c r="F81" s="410">
        <f>SUM(F82:F95)</f>
        <v>0</v>
      </c>
      <c r="G81" s="410">
        <f t="shared" si="1"/>
        <v>1680000</v>
      </c>
    </row>
    <row r="82" spans="1:7" s="395" customFormat="1" ht="17.25" customHeight="1">
      <c r="A82" s="400" t="s">
        <v>403</v>
      </c>
      <c r="B82" s="402">
        <v>4010</v>
      </c>
      <c r="C82" s="398" t="s">
        <v>405</v>
      </c>
      <c r="D82" s="403">
        <v>409080</v>
      </c>
      <c r="E82" s="396">
        <v>630000</v>
      </c>
      <c r="F82" s="403">
        <v>0</v>
      </c>
      <c r="G82" s="396">
        <f t="shared" si="1"/>
        <v>1039080</v>
      </c>
    </row>
    <row r="83" spans="1:7" s="395" customFormat="1" ht="17.25" customHeight="1">
      <c r="A83" s="400" t="s">
        <v>403</v>
      </c>
      <c r="B83" s="402">
        <v>4110</v>
      </c>
      <c r="C83" s="398" t="s">
        <v>406</v>
      </c>
      <c r="D83" s="403">
        <v>91700</v>
      </c>
      <c r="E83" s="396">
        <v>90000</v>
      </c>
      <c r="F83" s="403">
        <v>0</v>
      </c>
      <c r="G83" s="396">
        <f t="shared" si="1"/>
        <v>181700</v>
      </c>
    </row>
    <row r="84" spans="1:7" s="395" customFormat="1" ht="17.25" customHeight="1">
      <c r="A84" s="400" t="s">
        <v>403</v>
      </c>
      <c r="B84" s="402">
        <v>4120</v>
      </c>
      <c r="C84" s="398" t="s">
        <v>407</v>
      </c>
      <c r="D84" s="403">
        <v>7440</v>
      </c>
      <c r="E84" s="396">
        <v>6000</v>
      </c>
      <c r="F84" s="403">
        <v>0</v>
      </c>
      <c r="G84" s="396">
        <f t="shared" si="1"/>
        <v>13440</v>
      </c>
    </row>
    <row r="85" spans="1:7" s="395" customFormat="1" ht="17.25" customHeight="1">
      <c r="A85" s="400" t="s">
        <v>403</v>
      </c>
      <c r="B85" s="402">
        <v>4170</v>
      </c>
      <c r="C85" s="398" t="s">
        <v>426</v>
      </c>
      <c r="D85" s="403">
        <v>0</v>
      </c>
      <c r="E85" s="396">
        <v>1000</v>
      </c>
      <c r="F85" s="403">
        <v>0</v>
      </c>
      <c r="G85" s="396">
        <f t="shared" si="1"/>
        <v>1000</v>
      </c>
    </row>
    <row r="86" spans="1:7" s="395" customFormat="1" ht="17.25" customHeight="1">
      <c r="A86" s="400" t="s">
        <v>403</v>
      </c>
      <c r="B86" s="402">
        <v>4210</v>
      </c>
      <c r="C86" s="398" t="s">
        <v>418</v>
      </c>
      <c r="D86" s="403">
        <v>6803</v>
      </c>
      <c r="E86" s="396">
        <v>45220</v>
      </c>
      <c r="F86" s="403">
        <v>0</v>
      </c>
      <c r="G86" s="396">
        <f t="shared" si="1"/>
        <v>52023</v>
      </c>
    </row>
    <row r="87" spans="1:7" s="395" customFormat="1" ht="17.25" customHeight="1">
      <c r="A87" s="400" t="s">
        <v>403</v>
      </c>
      <c r="B87" s="402">
        <v>4260</v>
      </c>
      <c r="C87" s="398" t="s">
        <v>419</v>
      </c>
      <c r="D87" s="403">
        <v>18000</v>
      </c>
      <c r="E87" s="396">
        <v>12000</v>
      </c>
      <c r="F87" s="403">
        <v>0</v>
      </c>
      <c r="G87" s="396">
        <f t="shared" si="1"/>
        <v>30000</v>
      </c>
    </row>
    <row r="88" spans="1:7" s="395" customFormat="1" ht="17.25" customHeight="1">
      <c r="A88" s="400" t="s">
        <v>403</v>
      </c>
      <c r="B88" s="402">
        <v>4280</v>
      </c>
      <c r="C88" s="398" t="s">
        <v>420</v>
      </c>
      <c r="D88" s="403">
        <v>500</v>
      </c>
      <c r="E88" s="396">
        <v>500</v>
      </c>
      <c r="F88" s="403">
        <v>0</v>
      </c>
      <c r="G88" s="396">
        <f t="shared" si="1"/>
        <v>1000</v>
      </c>
    </row>
    <row r="89" spans="1:7" s="395" customFormat="1" ht="17.25" customHeight="1">
      <c r="A89" s="400" t="s">
        <v>403</v>
      </c>
      <c r="B89" s="402">
        <v>4300</v>
      </c>
      <c r="C89" s="398" t="s">
        <v>409</v>
      </c>
      <c r="D89" s="403">
        <v>15000</v>
      </c>
      <c r="E89" s="396">
        <v>5000</v>
      </c>
      <c r="F89" s="403">
        <v>0</v>
      </c>
      <c r="G89" s="396">
        <f t="shared" si="1"/>
        <v>20000</v>
      </c>
    </row>
    <row r="90" spans="1:7" s="395" customFormat="1" ht="17.25" customHeight="1">
      <c r="A90" s="400" t="s">
        <v>403</v>
      </c>
      <c r="B90" s="402">
        <v>4360</v>
      </c>
      <c r="C90" s="398" t="s">
        <v>410</v>
      </c>
      <c r="D90" s="403">
        <v>4000</v>
      </c>
      <c r="E90" s="396">
        <v>5500</v>
      </c>
      <c r="F90" s="403">
        <v>0</v>
      </c>
      <c r="G90" s="396">
        <f t="shared" si="1"/>
        <v>9500</v>
      </c>
    </row>
    <row r="91" spans="1:7" s="395" customFormat="1" ht="28.5" customHeight="1">
      <c r="A91" s="400" t="s">
        <v>403</v>
      </c>
      <c r="B91" s="402">
        <v>4400</v>
      </c>
      <c r="C91" s="398" t="s">
        <v>427</v>
      </c>
      <c r="D91" s="403">
        <v>1776</v>
      </c>
      <c r="E91" s="396">
        <v>2220</v>
      </c>
      <c r="F91" s="403">
        <v>0</v>
      </c>
      <c r="G91" s="396">
        <f t="shared" si="1"/>
        <v>3996</v>
      </c>
    </row>
    <row r="92" spans="1:7" s="395" customFormat="1" ht="15" customHeight="1">
      <c r="A92" s="400" t="s">
        <v>403</v>
      </c>
      <c r="B92" s="402">
        <v>4410</v>
      </c>
      <c r="C92" s="398" t="s">
        <v>422</v>
      </c>
      <c r="D92" s="403">
        <v>15000</v>
      </c>
      <c r="E92" s="396">
        <v>10000</v>
      </c>
      <c r="F92" s="403">
        <v>0</v>
      </c>
      <c r="G92" s="396">
        <f t="shared" si="1"/>
        <v>25000</v>
      </c>
    </row>
    <row r="93" spans="1:7" s="395" customFormat="1" ht="15" customHeight="1">
      <c r="A93" s="400" t="s">
        <v>403</v>
      </c>
      <c r="B93" s="402">
        <v>4440</v>
      </c>
      <c r="C93" s="398" t="s">
        <v>423</v>
      </c>
      <c r="D93" s="403">
        <v>0</v>
      </c>
      <c r="E93" s="396">
        <v>29110</v>
      </c>
      <c r="F93" s="403">
        <v>0</v>
      </c>
      <c r="G93" s="396">
        <f t="shared" si="1"/>
        <v>29110</v>
      </c>
    </row>
    <row r="94" spans="1:7" s="395" customFormat="1" ht="15" customHeight="1">
      <c r="A94" s="400" t="s">
        <v>403</v>
      </c>
      <c r="B94" s="402">
        <v>4480</v>
      </c>
      <c r="C94" s="398" t="s">
        <v>428</v>
      </c>
      <c r="D94" s="403">
        <v>1500</v>
      </c>
      <c r="E94" s="396">
        <v>1450</v>
      </c>
      <c r="F94" s="403">
        <v>0</v>
      </c>
      <c r="G94" s="396">
        <f t="shared" si="1"/>
        <v>2950</v>
      </c>
    </row>
    <row r="95" spans="1:7" s="395" customFormat="1" ht="46.5" customHeight="1">
      <c r="A95" s="401" t="s">
        <v>403</v>
      </c>
      <c r="B95" s="404">
        <v>4700</v>
      </c>
      <c r="C95" s="399" t="s">
        <v>424</v>
      </c>
      <c r="D95" s="405">
        <v>0</v>
      </c>
      <c r="E95" s="397">
        <v>2000</v>
      </c>
      <c r="F95" s="405">
        <v>0</v>
      </c>
      <c r="G95" s="397">
        <f t="shared" si="1"/>
        <v>2000</v>
      </c>
    </row>
    <row r="96" spans="1:7" s="411" customFormat="1" ht="29.25" customHeight="1">
      <c r="A96" s="412" t="s">
        <v>58</v>
      </c>
      <c r="B96" s="413" t="s">
        <v>403</v>
      </c>
      <c r="C96" s="414" t="s">
        <v>48</v>
      </c>
      <c r="D96" s="415">
        <v>6117756</v>
      </c>
      <c r="E96" s="416">
        <f>E97</f>
        <v>102631</v>
      </c>
      <c r="F96" s="416">
        <f>F97</f>
        <v>0</v>
      </c>
      <c r="G96" s="416">
        <f t="shared" si="1"/>
        <v>6220387</v>
      </c>
    </row>
    <row r="97" spans="1:7" s="411" customFormat="1" ht="15" customHeight="1">
      <c r="A97" s="406">
        <v>90001</v>
      </c>
      <c r="B97" s="407" t="s">
        <v>403</v>
      </c>
      <c r="C97" s="408" t="s">
        <v>402</v>
      </c>
      <c r="D97" s="409">
        <v>0</v>
      </c>
      <c r="E97" s="410">
        <f>E98</f>
        <v>102631</v>
      </c>
      <c r="F97" s="410">
        <f>F98</f>
        <v>0</v>
      </c>
      <c r="G97" s="410">
        <f t="shared" si="1"/>
        <v>102631</v>
      </c>
    </row>
    <row r="98" spans="1:7" s="395" customFormat="1" ht="55.5" customHeight="1">
      <c r="A98" s="400" t="s">
        <v>403</v>
      </c>
      <c r="B98" s="402">
        <v>6300</v>
      </c>
      <c r="C98" s="398" t="s">
        <v>404</v>
      </c>
      <c r="D98" s="403">
        <v>0</v>
      </c>
      <c r="E98" s="396">
        <v>102631</v>
      </c>
      <c r="F98" s="403">
        <v>0</v>
      </c>
      <c r="G98" s="396">
        <f t="shared" si="1"/>
        <v>102631</v>
      </c>
    </row>
    <row r="99" spans="1:7" s="411" customFormat="1" ht="30" customHeight="1">
      <c r="A99" s="412" t="s">
        <v>147</v>
      </c>
      <c r="B99" s="413" t="s">
        <v>403</v>
      </c>
      <c r="C99" s="414" t="s">
        <v>49</v>
      </c>
      <c r="D99" s="415">
        <v>85248276</v>
      </c>
      <c r="E99" s="416">
        <f>E100+E102+E104+E106</f>
        <v>3172613</v>
      </c>
      <c r="F99" s="416">
        <f>F100+F102+F104+F106</f>
        <v>1216174</v>
      </c>
      <c r="G99" s="416">
        <f t="shared" si="1"/>
        <v>87204715</v>
      </c>
    </row>
    <row r="100" spans="1:7" s="411" customFormat="1" ht="15.75" customHeight="1">
      <c r="A100" s="406">
        <v>92106</v>
      </c>
      <c r="B100" s="407" t="s">
        <v>403</v>
      </c>
      <c r="C100" s="408" t="s">
        <v>390</v>
      </c>
      <c r="D100" s="409">
        <v>27877114</v>
      </c>
      <c r="E100" s="410">
        <f>E101</f>
        <v>248520</v>
      </c>
      <c r="F100" s="410">
        <f>F101</f>
        <v>0</v>
      </c>
      <c r="G100" s="410">
        <f t="shared" si="1"/>
        <v>28125634</v>
      </c>
    </row>
    <row r="101" spans="1:7" s="395" customFormat="1" ht="57.75" customHeight="1">
      <c r="A101" s="400" t="s">
        <v>403</v>
      </c>
      <c r="B101" s="402">
        <v>6220</v>
      </c>
      <c r="C101" s="398" t="s">
        <v>429</v>
      </c>
      <c r="D101" s="403">
        <v>2234614</v>
      </c>
      <c r="E101" s="396">
        <v>248520</v>
      </c>
      <c r="F101" s="403">
        <v>0</v>
      </c>
      <c r="G101" s="396">
        <f t="shared" si="1"/>
        <v>2483134</v>
      </c>
    </row>
    <row r="102" spans="1:7" s="411" customFormat="1" ht="15" customHeight="1">
      <c r="A102" s="406">
        <v>92116</v>
      </c>
      <c r="B102" s="407" t="s">
        <v>403</v>
      </c>
      <c r="C102" s="408" t="s">
        <v>395</v>
      </c>
      <c r="D102" s="409">
        <v>18145468</v>
      </c>
      <c r="E102" s="410">
        <f>E103</f>
        <v>224610</v>
      </c>
      <c r="F102" s="410">
        <f>F103</f>
        <v>0</v>
      </c>
      <c r="G102" s="410">
        <f t="shared" si="1"/>
        <v>18370078</v>
      </c>
    </row>
    <row r="103" spans="1:7" s="395" customFormat="1" ht="60" customHeight="1">
      <c r="A103" s="400" t="s">
        <v>403</v>
      </c>
      <c r="B103" s="402">
        <v>6220</v>
      </c>
      <c r="C103" s="398" t="s">
        <v>429</v>
      </c>
      <c r="D103" s="403">
        <v>500000</v>
      </c>
      <c r="E103" s="396">
        <v>224610</v>
      </c>
      <c r="F103" s="403">
        <v>0</v>
      </c>
      <c r="G103" s="396">
        <f t="shared" si="1"/>
        <v>724610</v>
      </c>
    </row>
    <row r="104" spans="1:7" s="411" customFormat="1" ht="16.5" customHeight="1">
      <c r="A104" s="406">
        <v>92120</v>
      </c>
      <c r="B104" s="407" t="s">
        <v>403</v>
      </c>
      <c r="C104" s="408" t="s">
        <v>397</v>
      </c>
      <c r="D104" s="409">
        <v>1314991</v>
      </c>
      <c r="E104" s="410">
        <f>E105</f>
        <v>2680873</v>
      </c>
      <c r="F104" s="410">
        <f>F105</f>
        <v>0</v>
      </c>
      <c r="G104" s="410">
        <f t="shared" si="1"/>
        <v>3995864</v>
      </c>
    </row>
    <row r="105" spans="1:7" s="395" customFormat="1" ht="56.25" customHeight="1">
      <c r="A105" s="400" t="s">
        <v>403</v>
      </c>
      <c r="B105" s="402">
        <v>2727</v>
      </c>
      <c r="C105" s="398" t="s">
        <v>430</v>
      </c>
      <c r="D105" s="403">
        <v>0</v>
      </c>
      <c r="E105" s="396">
        <v>2680873</v>
      </c>
      <c r="F105" s="403">
        <v>0</v>
      </c>
      <c r="G105" s="396">
        <f t="shared" si="1"/>
        <v>2680873</v>
      </c>
    </row>
    <row r="106" spans="1:7" s="411" customFormat="1" ht="15" customHeight="1">
      <c r="A106" s="406">
        <v>92195</v>
      </c>
      <c r="B106" s="407" t="s">
        <v>403</v>
      </c>
      <c r="C106" s="408" t="s">
        <v>210</v>
      </c>
      <c r="D106" s="409">
        <v>7399057</v>
      </c>
      <c r="E106" s="410">
        <f>SUM(E107:E117)</f>
        <v>18610</v>
      </c>
      <c r="F106" s="410">
        <f>SUM(F107:F117)</f>
        <v>1216174</v>
      </c>
      <c r="G106" s="410">
        <f t="shared" si="1"/>
        <v>6201493</v>
      </c>
    </row>
    <row r="107" spans="1:7" s="395" customFormat="1" ht="82.5" customHeight="1">
      <c r="A107" s="400" t="s">
        <v>403</v>
      </c>
      <c r="B107" s="402">
        <v>2007</v>
      </c>
      <c r="C107" s="398" t="s">
        <v>431</v>
      </c>
      <c r="D107" s="403">
        <v>4307457</v>
      </c>
      <c r="E107" s="396">
        <v>0</v>
      </c>
      <c r="F107" s="403">
        <v>1190395</v>
      </c>
      <c r="G107" s="396">
        <f t="shared" si="1"/>
        <v>3117062</v>
      </c>
    </row>
    <row r="108" spans="1:7" s="395" customFormat="1" ht="15.75" customHeight="1">
      <c r="A108" s="400" t="s">
        <v>403</v>
      </c>
      <c r="B108" s="402">
        <v>4017</v>
      </c>
      <c r="C108" s="398" t="s">
        <v>405</v>
      </c>
      <c r="D108" s="403">
        <v>97687</v>
      </c>
      <c r="E108" s="396">
        <v>0</v>
      </c>
      <c r="F108" s="403">
        <v>17734</v>
      </c>
      <c r="G108" s="396">
        <f t="shared" si="1"/>
        <v>79953</v>
      </c>
    </row>
    <row r="109" spans="1:7" s="395" customFormat="1" ht="15.75" customHeight="1">
      <c r="A109" s="400" t="s">
        <v>403</v>
      </c>
      <c r="B109" s="402">
        <v>4019</v>
      </c>
      <c r="C109" s="398" t="s">
        <v>405</v>
      </c>
      <c r="D109" s="403">
        <v>17239</v>
      </c>
      <c r="E109" s="396">
        <v>0</v>
      </c>
      <c r="F109" s="403">
        <v>3130</v>
      </c>
      <c r="G109" s="396">
        <f t="shared" si="1"/>
        <v>14109</v>
      </c>
    </row>
    <row r="110" spans="1:7" s="395" customFormat="1" ht="15.75" customHeight="1">
      <c r="A110" s="400" t="s">
        <v>403</v>
      </c>
      <c r="B110" s="402">
        <v>4117</v>
      </c>
      <c r="C110" s="398" t="s">
        <v>406</v>
      </c>
      <c r="D110" s="403">
        <v>16880</v>
      </c>
      <c r="E110" s="396">
        <v>0</v>
      </c>
      <c r="F110" s="403">
        <v>3064</v>
      </c>
      <c r="G110" s="396">
        <f t="shared" si="1"/>
        <v>13816</v>
      </c>
    </row>
    <row r="111" spans="1:7" s="395" customFormat="1" ht="15.75" customHeight="1">
      <c r="A111" s="400" t="s">
        <v>403</v>
      </c>
      <c r="B111" s="402">
        <v>4119</v>
      </c>
      <c r="C111" s="398" t="s">
        <v>406</v>
      </c>
      <c r="D111" s="403">
        <v>2979</v>
      </c>
      <c r="E111" s="396">
        <v>0</v>
      </c>
      <c r="F111" s="403">
        <v>541</v>
      </c>
      <c r="G111" s="396">
        <f t="shared" si="1"/>
        <v>2438</v>
      </c>
    </row>
    <row r="112" spans="1:7" s="395" customFormat="1" ht="15.75" customHeight="1">
      <c r="A112" s="400" t="s">
        <v>403</v>
      </c>
      <c r="B112" s="402">
        <v>4127</v>
      </c>
      <c r="C112" s="398" t="s">
        <v>407</v>
      </c>
      <c r="D112" s="403">
        <v>2393</v>
      </c>
      <c r="E112" s="396">
        <v>0</v>
      </c>
      <c r="F112" s="403">
        <v>434</v>
      </c>
      <c r="G112" s="396">
        <f t="shared" si="1"/>
        <v>1959</v>
      </c>
    </row>
    <row r="113" spans="1:7" s="395" customFormat="1" ht="15.75" customHeight="1">
      <c r="A113" s="400" t="s">
        <v>403</v>
      </c>
      <c r="B113" s="402">
        <v>4129</v>
      </c>
      <c r="C113" s="398" t="s">
        <v>407</v>
      </c>
      <c r="D113" s="403">
        <v>422</v>
      </c>
      <c r="E113" s="396">
        <v>0</v>
      </c>
      <c r="F113" s="403">
        <v>76</v>
      </c>
      <c r="G113" s="396">
        <f t="shared" si="1"/>
        <v>346</v>
      </c>
    </row>
    <row r="114" spans="1:7" s="395" customFormat="1" ht="15.75" customHeight="1">
      <c r="A114" s="400" t="s">
        <v>403</v>
      </c>
      <c r="B114" s="402">
        <v>4217</v>
      </c>
      <c r="C114" s="398" t="s">
        <v>418</v>
      </c>
      <c r="D114" s="403">
        <v>1020</v>
      </c>
      <c r="E114" s="396">
        <v>0</v>
      </c>
      <c r="F114" s="403">
        <v>680</v>
      </c>
      <c r="G114" s="396">
        <f t="shared" si="1"/>
        <v>340</v>
      </c>
    </row>
    <row r="115" spans="1:7" s="395" customFormat="1" ht="15.75" customHeight="1">
      <c r="A115" s="400" t="s">
        <v>403</v>
      </c>
      <c r="B115" s="402">
        <v>4219</v>
      </c>
      <c r="C115" s="398" t="s">
        <v>418</v>
      </c>
      <c r="D115" s="403">
        <v>180</v>
      </c>
      <c r="E115" s="396">
        <v>0</v>
      </c>
      <c r="F115" s="403">
        <v>120</v>
      </c>
      <c r="G115" s="396">
        <f t="shared" si="1"/>
        <v>60</v>
      </c>
    </row>
    <row r="116" spans="1:7" s="395" customFormat="1" ht="15.75" customHeight="1">
      <c r="A116" s="400" t="s">
        <v>403</v>
      </c>
      <c r="B116" s="402">
        <v>4307</v>
      </c>
      <c r="C116" s="398" t="s">
        <v>409</v>
      </c>
      <c r="D116" s="403">
        <v>119000</v>
      </c>
      <c r="E116" s="396">
        <v>15818</v>
      </c>
      <c r="F116" s="403">
        <v>0</v>
      </c>
      <c r="G116" s="396">
        <f t="shared" si="1"/>
        <v>134818</v>
      </c>
    </row>
    <row r="117" spans="1:7" s="395" customFormat="1" ht="15.75" customHeight="1">
      <c r="A117" s="400" t="s">
        <v>403</v>
      </c>
      <c r="B117" s="402">
        <v>4309</v>
      </c>
      <c r="C117" s="398" t="s">
        <v>409</v>
      </c>
      <c r="D117" s="403">
        <v>21000</v>
      </c>
      <c r="E117" s="396">
        <v>2792</v>
      </c>
      <c r="F117" s="403">
        <v>0</v>
      </c>
      <c r="G117" s="396">
        <f t="shared" si="1"/>
        <v>23792</v>
      </c>
    </row>
    <row r="118" spans="1:7" s="411" customFormat="1" ht="51" customHeight="1">
      <c r="A118" s="412" t="s">
        <v>60</v>
      </c>
      <c r="B118" s="413" t="s">
        <v>403</v>
      </c>
      <c r="C118" s="414" t="s">
        <v>433</v>
      </c>
      <c r="D118" s="415">
        <v>9215046</v>
      </c>
      <c r="E118" s="416">
        <f>E119</f>
        <v>178634</v>
      </c>
      <c r="F118" s="416">
        <f>F119</f>
        <v>1765881</v>
      </c>
      <c r="G118" s="416">
        <f t="shared" si="1"/>
        <v>7627799</v>
      </c>
    </row>
    <row r="119" spans="1:7" s="411" customFormat="1" ht="15" customHeight="1">
      <c r="A119" s="406">
        <v>92502</v>
      </c>
      <c r="B119" s="407" t="s">
        <v>403</v>
      </c>
      <c r="C119" s="408" t="s">
        <v>398</v>
      </c>
      <c r="D119" s="409">
        <v>9215046</v>
      </c>
      <c r="E119" s="410">
        <f>SUM(E120:E134)</f>
        <v>178634</v>
      </c>
      <c r="F119" s="410">
        <f>SUM(F120:F134)</f>
        <v>1765881</v>
      </c>
      <c r="G119" s="410">
        <f t="shared" si="1"/>
        <v>7627799</v>
      </c>
    </row>
    <row r="120" spans="1:7" s="395" customFormat="1" ht="16.5" customHeight="1">
      <c r="A120" s="400" t="s">
        <v>403</v>
      </c>
      <c r="B120" s="402">
        <v>4010</v>
      </c>
      <c r="C120" s="398" t="s">
        <v>405</v>
      </c>
      <c r="D120" s="403">
        <v>2292501</v>
      </c>
      <c r="E120" s="396">
        <v>47430</v>
      </c>
      <c r="F120" s="403">
        <v>0</v>
      </c>
      <c r="G120" s="396">
        <f t="shared" si="1"/>
        <v>2339931</v>
      </c>
    </row>
    <row r="121" spans="1:7" s="395" customFormat="1" ht="16.5" customHeight="1">
      <c r="A121" s="400" t="s">
        <v>403</v>
      </c>
      <c r="B121" s="402">
        <v>4110</v>
      </c>
      <c r="C121" s="398" t="s">
        <v>406</v>
      </c>
      <c r="D121" s="403">
        <v>435993</v>
      </c>
      <c r="E121" s="396">
        <v>8290</v>
      </c>
      <c r="F121" s="403">
        <v>0</v>
      </c>
      <c r="G121" s="396">
        <f t="shared" si="1"/>
        <v>444283</v>
      </c>
    </row>
    <row r="122" spans="1:7" s="395" customFormat="1" ht="16.5" customHeight="1">
      <c r="A122" s="400" t="s">
        <v>403</v>
      </c>
      <c r="B122" s="402">
        <v>4120</v>
      </c>
      <c r="C122" s="398" t="s">
        <v>407</v>
      </c>
      <c r="D122" s="403">
        <v>57160</v>
      </c>
      <c r="E122" s="396">
        <v>914</v>
      </c>
      <c r="F122" s="403">
        <v>0</v>
      </c>
      <c r="G122" s="396">
        <f t="shared" si="1"/>
        <v>58074</v>
      </c>
    </row>
    <row r="123" spans="1:7" s="395" customFormat="1" ht="16.5" customHeight="1">
      <c r="A123" s="400" t="s">
        <v>403</v>
      </c>
      <c r="B123" s="402">
        <v>4170</v>
      </c>
      <c r="C123" s="398" t="s">
        <v>426</v>
      </c>
      <c r="D123" s="403">
        <v>37500</v>
      </c>
      <c r="E123" s="396">
        <v>18000</v>
      </c>
      <c r="F123" s="403">
        <v>0</v>
      </c>
      <c r="G123" s="396">
        <f t="shared" si="1"/>
        <v>55500</v>
      </c>
    </row>
    <row r="124" spans="1:7" s="395" customFormat="1" ht="16.5" customHeight="1">
      <c r="A124" s="400" t="s">
        <v>403</v>
      </c>
      <c r="B124" s="402">
        <v>4210</v>
      </c>
      <c r="C124" s="398" t="s">
        <v>418</v>
      </c>
      <c r="D124" s="403">
        <v>221500</v>
      </c>
      <c r="E124" s="396">
        <v>22000</v>
      </c>
      <c r="F124" s="403">
        <v>0</v>
      </c>
      <c r="G124" s="396">
        <f t="shared" si="1"/>
        <v>243500</v>
      </c>
    </row>
    <row r="125" spans="1:7" s="395" customFormat="1" ht="16.5" customHeight="1">
      <c r="A125" s="400" t="s">
        <v>403</v>
      </c>
      <c r="B125" s="402">
        <v>4300</v>
      </c>
      <c r="C125" s="398" t="s">
        <v>409</v>
      </c>
      <c r="D125" s="403">
        <v>3039180</v>
      </c>
      <c r="E125" s="396">
        <v>0</v>
      </c>
      <c r="F125" s="403">
        <v>1240000</v>
      </c>
      <c r="G125" s="396">
        <f t="shared" si="1"/>
        <v>1799180</v>
      </c>
    </row>
    <row r="126" spans="1:7" s="395" customFormat="1" ht="16.5" customHeight="1">
      <c r="A126" s="400" t="s">
        <v>403</v>
      </c>
      <c r="B126" s="402">
        <v>4307</v>
      </c>
      <c r="C126" s="398" t="s">
        <v>409</v>
      </c>
      <c r="D126" s="403">
        <v>399614</v>
      </c>
      <c r="E126" s="396">
        <v>0</v>
      </c>
      <c r="F126" s="403">
        <v>27294</v>
      </c>
      <c r="G126" s="396">
        <f t="shared" si="1"/>
        <v>372320</v>
      </c>
    </row>
    <row r="127" spans="1:7" s="395" customFormat="1" ht="16.5" customHeight="1">
      <c r="A127" s="400" t="s">
        <v>403</v>
      </c>
      <c r="B127" s="402">
        <v>4309</v>
      </c>
      <c r="C127" s="398" t="s">
        <v>409</v>
      </c>
      <c r="D127" s="403">
        <v>215177</v>
      </c>
      <c r="E127" s="396">
        <v>0</v>
      </c>
      <c r="F127" s="403">
        <v>14697</v>
      </c>
      <c r="G127" s="396">
        <f t="shared" si="1"/>
        <v>200480</v>
      </c>
    </row>
    <row r="128" spans="1:7" s="395" customFormat="1" ht="16.5" customHeight="1">
      <c r="A128" s="400" t="s">
        <v>403</v>
      </c>
      <c r="B128" s="402">
        <v>4410</v>
      </c>
      <c r="C128" s="398" t="s">
        <v>422</v>
      </c>
      <c r="D128" s="403">
        <v>2290</v>
      </c>
      <c r="E128" s="396">
        <v>9000</v>
      </c>
      <c r="F128" s="403">
        <v>0</v>
      </c>
      <c r="G128" s="396">
        <f t="shared" si="1"/>
        <v>11290</v>
      </c>
    </row>
    <row r="129" spans="1:7" s="395" customFormat="1" ht="29.25" customHeight="1">
      <c r="A129" s="400" t="s">
        <v>403</v>
      </c>
      <c r="B129" s="402">
        <v>4700</v>
      </c>
      <c r="C129" s="398" t="s">
        <v>424</v>
      </c>
      <c r="D129" s="403">
        <v>6490</v>
      </c>
      <c r="E129" s="396">
        <v>20000</v>
      </c>
      <c r="F129" s="403">
        <v>0</v>
      </c>
      <c r="G129" s="396">
        <f t="shared" si="1"/>
        <v>26490</v>
      </c>
    </row>
    <row r="130" spans="1:7" s="395" customFormat="1" ht="16.5" customHeight="1">
      <c r="A130" s="400" t="s">
        <v>403</v>
      </c>
      <c r="B130" s="402">
        <v>6057</v>
      </c>
      <c r="C130" s="398" t="s">
        <v>408</v>
      </c>
      <c r="D130" s="403">
        <v>710573</v>
      </c>
      <c r="E130" s="396">
        <v>0</v>
      </c>
      <c r="F130" s="403">
        <v>282548</v>
      </c>
      <c r="G130" s="396">
        <f t="shared" si="1"/>
        <v>428025</v>
      </c>
    </row>
    <row r="131" spans="1:7" s="395" customFormat="1" ht="16.5" customHeight="1">
      <c r="A131" s="400" t="s">
        <v>403</v>
      </c>
      <c r="B131" s="402">
        <v>6059</v>
      </c>
      <c r="C131" s="398" t="s">
        <v>408</v>
      </c>
      <c r="D131" s="403">
        <v>382617</v>
      </c>
      <c r="E131" s="396">
        <v>0</v>
      </c>
      <c r="F131" s="403">
        <v>152142</v>
      </c>
      <c r="G131" s="396">
        <f t="shared" si="1"/>
        <v>230475</v>
      </c>
    </row>
    <row r="132" spans="1:7" s="395" customFormat="1" ht="16.5" customHeight="1">
      <c r="A132" s="401" t="s">
        <v>403</v>
      </c>
      <c r="B132" s="404">
        <v>6060</v>
      </c>
      <c r="C132" s="399" t="s">
        <v>432</v>
      </c>
      <c r="D132" s="405">
        <v>130000</v>
      </c>
      <c r="E132" s="397">
        <v>53000</v>
      </c>
      <c r="F132" s="405">
        <v>0</v>
      </c>
      <c r="G132" s="397">
        <f t="shared" si="1"/>
        <v>183000</v>
      </c>
    </row>
    <row r="133" spans="1:7" s="395" customFormat="1" ht="16.5" customHeight="1">
      <c r="A133" s="423" t="s">
        <v>403</v>
      </c>
      <c r="B133" s="424">
        <v>6067</v>
      </c>
      <c r="C133" s="425" t="s">
        <v>432</v>
      </c>
      <c r="D133" s="426">
        <v>314080</v>
      </c>
      <c r="E133" s="427">
        <v>0</v>
      </c>
      <c r="F133" s="426">
        <v>31980</v>
      </c>
      <c r="G133" s="427">
        <f t="shared" si="1"/>
        <v>282100</v>
      </c>
    </row>
    <row r="134" spans="1:7" s="395" customFormat="1" ht="18" customHeight="1">
      <c r="A134" s="400" t="s">
        <v>403</v>
      </c>
      <c r="B134" s="402">
        <v>6069</v>
      </c>
      <c r="C134" s="398" t="s">
        <v>432</v>
      </c>
      <c r="D134" s="403">
        <v>169120</v>
      </c>
      <c r="E134" s="396">
        <v>0</v>
      </c>
      <c r="F134" s="403">
        <v>17220</v>
      </c>
      <c r="G134" s="396">
        <f t="shared" si="1"/>
        <v>151900</v>
      </c>
    </row>
    <row r="135" spans="1:7" s="411" customFormat="1" ht="16.5" customHeight="1">
      <c r="A135" s="412" t="s">
        <v>261</v>
      </c>
      <c r="B135" s="413" t="s">
        <v>403</v>
      </c>
      <c r="C135" s="414" t="s">
        <v>262</v>
      </c>
      <c r="D135" s="415">
        <v>3973000</v>
      </c>
      <c r="E135" s="416">
        <f>E136</f>
        <v>16843</v>
      </c>
      <c r="F135" s="416">
        <f>F136</f>
        <v>0</v>
      </c>
      <c r="G135" s="416">
        <f t="shared" si="1"/>
        <v>3989843</v>
      </c>
    </row>
    <row r="136" spans="1:7" s="411" customFormat="1" ht="15.75" customHeight="1">
      <c r="A136" s="406">
        <v>92695</v>
      </c>
      <c r="B136" s="407" t="s">
        <v>403</v>
      </c>
      <c r="C136" s="408" t="s">
        <v>210</v>
      </c>
      <c r="D136" s="409">
        <v>0</v>
      </c>
      <c r="E136" s="410">
        <f>E137</f>
        <v>16843</v>
      </c>
      <c r="F136" s="410">
        <f>F137</f>
        <v>0</v>
      </c>
      <c r="G136" s="410">
        <f t="shared" si="1"/>
        <v>16843</v>
      </c>
    </row>
    <row r="137" spans="1:7" s="395" customFormat="1" ht="56.25" customHeight="1">
      <c r="A137" s="401" t="s">
        <v>403</v>
      </c>
      <c r="B137" s="404">
        <v>6300</v>
      </c>
      <c r="C137" s="399" t="s">
        <v>404</v>
      </c>
      <c r="D137" s="405">
        <v>0</v>
      </c>
      <c r="E137" s="397">
        <v>16843</v>
      </c>
      <c r="F137" s="405">
        <v>0</v>
      </c>
      <c r="G137" s="397">
        <f t="shared" si="1"/>
        <v>16843</v>
      </c>
    </row>
    <row r="138" s="395" customFormat="1" ht="12.75"/>
  </sheetData>
  <sheetProtection password="C25B" sheet="1"/>
  <mergeCells count="5">
    <mergeCell ref="A5:G5"/>
    <mergeCell ref="B7:B8"/>
    <mergeCell ref="C7:C8"/>
    <mergeCell ref="E7:E8"/>
    <mergeCell ref="F7:F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="120" zoomScaleSheetLayoutView="120" zoomScalePageLayoutView="0" workbookViewId="0" topLeftCell="A28">
      <selection activeCell="A1" sqref="A1:F56"/>
    </sheetView>
  </sheetViews>
  <sheetFormatPr defaultColWidth="16.796875" defaultRowHeight="14.25"/>
  <cols>
    <col min="1" max="1" width="5.69921875" style="787" customWidth="1"/>
    <col min="2" max="2" width="5.8984375" style="787" customWidth="1"/>
    <col min="3" max="3" width="50.69921875" style="787" customWidth="1"/>
    <col min="4" max="4" width="15.09765625" style="914" customWidth="1"/>
    <col min="5" max="5" width="16.19921875" style="787" customWidth="1"/>
    <col min="6" max="6" width="15.8984375" style="787" customWidth="1"/>
    <col min="7" max="250" width="10.3984375" style="787" customWidth="1"/>
    <col min="251" max="251" width="5.69921875" style="787" customWidth="1"/>
    <col min="252" max="252" width="5.8984375" style="787" customWidth="1"/>
    <col min="253" max="253" width="34.09765625" style="787" customWidth="1"/>
    <col min="254" max="254" width="16.19921875" style="787" customWidth="1"/>
    <col min="255" max="16384" width="16.69921875" style="787" customWidth="1"/>
  </cols>
  <sheetData>
    <row r="1" spans="4:6" ht="15" customHeight="1">
      <c r="D1" s="788"/>
      <c r="E1" s="465" t="s">
        <v>880</v>
      </c>
      <c r="F1" s="788"/>
    </row>
    <row r="2" spans="4:6" ht="15" customHeight="1">
      <c r="D2" s="789"/>
      <c r="E2" s="465" t="s">
        <v>930</v>
      </c>
      <c r="F2" s="789"/>
    </row>
    <row r="3" spans="1:6" ht="15" customHeight="1">
      <c r="A3" s="790"/>
      <c r="B3" s="790"/>
      <c r="C3" s="790"/>
      <c r="D3" s="789"/>
      <c r="E3" s="595" t="s">
        <v>931</v>
      </c>
      <c r="F3" s="789"/>
    </row>
    <row r="4" spans="1:6" ht="15" customHeight="1">
      <c r="A4" s="790"/>
      <c r="B4" s="790"/>
      <c r="C4" s="790"/>
      <c r="D4" s="789"/>
      <c r="E4" s="791"/>
      <c r="F4" s="791"/>
    </row>
    <row r="5" spans="1:6" s="792" customFormat="1" ht="29.25" customHeight="1">
      <c r="A5" s="1066" t="s">
        <v>881</v>
      </c>
      <c r="B5" s="1066"/>
      <c r="C5" s="1066"/>
      <c r="D5" s="1066"/>
      <c r="E5" s="1066"/>
      <c r="F5" s="1066"/>
    </row>
    <row r="6" spans="1:4" s="792" customFormat="1" ht="5.25" customHeight="1" thickBot="1">
      <c r="A6" s="1067"/>
      <c r="B6" s="1067"/>
      <c r="C6" s="1067"/>
      <c r="D6" s="793"/>
    </row>
    <row r="7" spans="1:6" s="794" customFormat="1" ht="18.75" customHeight="1">
      <c r="A7" s="1068" t="s">
        <v>882</v>
      </c>
      <c r="B7" s="1068" t="s">
        <v>2</v>
      </c>
      <c r="C7" s="1070" t="s">
        <v>183</v>
      </c>
      <c r="D7" s="1072" t="s">
        <v>698</v>
      </c>
      <c r="E7" s="1068" t="s">
        <v>883</v>
      </c>
      <c r="F7" s="1068" t="s">
        <v>700</v>
      </c>
    </row>
    <row r="8" spans="1:6" s="795" customFormat="1" ht="19.5" customHeight="1" thickBot="1">
      <c r="A8" s="1069"/>
      <c r="B8" s="1069"/>
      <c r="C8" s="1071"/>
      <c r="D8" s="1073"/>
      <c r="E8" s="1069"/>
      <c r="F8" s="1069"/>
    </row>
    <row r="9" spans="1:6" s="802" customFormat="1" ht="13.5" thickBot="1">
      <c r="A9" s="796">
        <v>1</v>
      </c>
      <c r="B9" s="797">
        <v>2</v>
      </c>
      <c r="C9" s="798">
        <v>3</v>
      </c>
      <c r="D9" s="799">
        <v>4</v>
      </c>
      <c r="E9" s="800">
        <v>5</v>
      </c>
      <c r="F9" s="801">
        <v>6</v>
      </c>
    </row>
    <row r="10" spans="1:6" s="802" customFormat="1" ht="15" customHeight="1" thickBot="1">
      <c r="A10" s="803"/>
      <c r="B10" s="804"/>
      <c r="C10" s="804"/>
      <c r="D10" s="805"/>
      <c r="E10" s="806"/>
      <c r="F10" s="806"/>
    </row>
    <row r="11" spans="1:6" s="812" customFormat="1" ht="21.75" customHeight="1" thickBot="1">
      <c r="A11" s="807">
        <v>1</v>
      </c>
      <c r="B11" s="808"/>
      <c r="C11" s="809" t="s">
        <v>884</v>
      </c>
      <c r="D11" s="810">
        <f>D13+D12</f>
        <v>849420465</v>
      </c>
      <c r="E11" s="811">
        <f>E13+E12</f>
        <v>4072355</v>
      </c>
      <c r="F11" s="811">
        <f>F12+F13</f>
        <v>853492820</v>
      </c>
    </row>
    <row r="12" spans="1:6" s="818" customFormat="1" ht="21.75" customHeight="1" thickBot="1">
      <c r="A12" s="813" t="s">
        <v>885</v>
      </c>
      <c r="B12" s="814"/>
      <c r="C12" s="815" t="s">
        <v>886</v>
      </c>
      <c r="D12" s="816">
        <v>652551439</v>
      </c>
      <c r="E12" s="817">
        <v>2914766</v>
      </c>
      <c r="F12" s="817">
        <f>D12+E12</f>
        <v>655466205</v>
      </c>
    </row>
    <row r="13" spans="1:6" s="818" customFormat="1" ht="21.75" customHeight="1" thickBot="1">
      <c r="A13" s="813" t="s">
        <v>887</v>
      </c>
      <c r="B13" s="814"/>
      <c r="C13" s="815" t="s">
        <v>888</v>
      </c>
      <c r="D13" s="816">
        <v>196869026</v>
      </c>
      <c r="E13" s="817">
        <v>1157589</v>
      </c>
      <c r="F13" s="817">
        <f>D13+E13</f>
        <v>198026615</v>
      </c>
    </row>
    <row r="14" spans="1:6" s="812" customFormat="1" ht="21.75" customHeight="1" thickBot="1">
      <c r="A14" s="807">
        <v>2</v>
      </c>
      <c r="B14" s="808"/>
      <c r="C14" s="809" t="s">
        <v>889</v>
      </c>
      <c r="D14" s="810">
        <f>D15+D18</f>
        <v>36180952</v>
      </c>
      <c r="E14" s="811">
        <f>E15+E18</f>
        <v>0</v>
      </c>
      <c r="F14" s="811">
        <f>F15+F18</f>
        <v>36180952</v>
      </c>
    </row>
    <row r="15" spans="1:6" s="824" customFormat="1" ht="21.75" customHeight="1">
      <c r="A15" s="819" t="s">
        <v>486</v>
      </c>
      <c r="B15" s="820">
        <v>952</v>
      </c>
      <c r="C15" s="821" t="s">
        <v>890</v>
      </c>
      <c r="D15" s="822">
        <f>D16+D17</f>
        <v>17136530</v>
      </c>
      <c r="E15" s="823">
        <f>E16+E17</f>
        <v>0</v>
      </c>
      <c r="F15" s="823">
        <f>F16+F17</f>
        <v>17136530</v>
      </c>
    </row>
    <row r="16" spans="1:6" s="802" customFormat="1" ht="21.75" customHeight="1">
      <c r="A16" s="825" t="s">
        <v>891</v>
      </c>
      <c r="B16" s="826"/>
      <c r="C16" s="827" t="s">
        <v>892</v>
      </c>
      <c r="D16" s="828">
        <v>17136530</v>
      </c>
      <c r="E16" s="829">
        <v>0</v>
      </c>
      <c r="F16" s="829">
        <f>D16+E16</f>
        <v>17136530</v>
      </c>
    </row>
    <row r="17" spans="1:6" s="802" customFormat="1" ht="23.25" customHeight="1">
      <c r="A17" s="830" t="s">
        <v>893</v>
      </c>
      <c r="B17" s="831"/>
      <c r="C17" s="832" t="s">
        <v>894</v>
      </c>
      <c r="D17" s="833">
        <v>0</v>
      </c>
      <c r="E17" s="834">
        <v>0</v>
      </c>
      <c r="F17" s="834">
        <f>D17+E17</f>
        <v>0</v>
      </c>
    </row>
    <row r="18" spans="1:6" s="824" customFormat="1" ht="21.75" customHeight="1" thickBot="1">
      <c r="A18" s="819" t="s">
        <v>493</v>
      </c>
      <c r="B18" s="820">
        <v>950</v>
      </c>
      <c r="C18" s="821" t="s">
        <v>895</v>
      </c>
      <c r="D18" s="822">
        <v>19044422</v>
      </c>
      <c r="E18" s="835">
        <v>0</v>
      </c>
      <c r="F18" s="835">
        <f>D18+E18</f>
        <v>19044422</v>
      </c>
    </row>
    <row r="19" spans="1:6" s="841" customFormat="1" ht="21.75" customHeight="1" thickBot="1">
      <c r="A19" s="836">
        <v>3</v>
      </c>
      <c r="B19" s="837"/>
      <c r="C19" s="838" t="s">
        <v>896</v>
      </c>
      <c r="D19" s="839">
        <f>D11+D14</f>
        <v>885601417</v>
      </c>
      <c r="E19" s="840">
        <f>E11+E14</f>
        <v>4072355</v>
      </c>
      <c r="F19" s="840">
        <f>F11+F14</f>
        <v>889673772</v>
      </c>
    </row>
    <row r="20" spans="1:6" ht="15" customHeight="1" thickBot="1">
      <c r="A20" s="842"/>
      <c r="B20" s="843"/>
      <c r="C20" s="844"/>
      <c r="D20" s="845"/>
      <c r="E20" s="846"/>
      <c r="F20" s="846"/>
    </row>
    <row r="21" spans="1:6" s="852" customFormat="1" ht="21.75" customHeight="1" thickBot="1">
      <c r="A21" s="847">
        <v>4</v>
      </c>
      <c r="B21" s="848"/>
      <c r="C21" s="849" t="s">
        <v>897</v>
      </c>
      <c r="D21" s="850">
        <f>D22+D25</f>
        <v>849420465</v>
      </c>
      <c r="E21" s="851">
        <f>E22+E25</f>
        <v>4072355</v>
      </c>
      <c r="F21" s="851">
        <f>F22+F25</f>
        <v>853492820</v>
      </c>
    </row>
    <row r="22" spans="1:6" s="818" customFormat="1" ht="21.75" customHeight="1" thickBot="1">
      <c r="A22" s="813" t="s">
        <v>898</v>
      </c>
      <c r="B22" s="814"/>
      <c r="C22" s="815" t="s">
        <v>899</v>
      </c>
      <c r="D22" s="816">
        <f>D23+D24</f>
        <v>578870857</v>
      </c>
      <c r="E22" s="817">
        <f>E23+E24</f>
        <v>4119926</v>
      </c>
      <c r="F22" s="817">
        <f>F23+F24</f>
        <v>582990783</v>
      </c>
    </row>
    <row r="23" spans="1:6" s="858" customFormat="1" ht="21.75" customHeight="1" thickBot="1">
      <c r="A23" s="853" t="s">
        <v>502</v>
      </c>
      <c r="B23" s="854"/>
      <c r="C23" s="855" t="s">
        <v>900</v>
      </c>
      <c r="D23" s="856">
        <v>548412192</v>
      </c>
      <c r="E23" s="857">
        <v>4119926</v>
      </c>
      <c r="F23" s="857">
        <f>D23+E23</f>
        <v>552532118</v>
      </c>
    </row>
    <row r="24" spans="1:6" s="858" customFormat="1" ht="23.25" customHeight="1" thickBot="1">
      <c r="A24" s="853" t="s">
        <v>901</v>
      </c>
      <c r="B24" s="854"/>
      <c r="C24" s="855" t="s">
        <v>902</v>
      </c>
      <c r="D24" s="856">
        <v>30458665</v>
      </c>
      <c r="E24" s="857"/>
      <c r="F24" s="857">
        <f>D24+E24</f>
        <v>30458665</v>
      </c>
    </row>
    <row r="25" spans="1:6" s="818" customFormat="1" ht="21.75" customHeight="1" thickBot="1">
      <c r="A25" s="813" t="s">
        <v>903</v>
      </c>
      <c r="B25" s="814"/>
      <c r="C25" s="815" t="s">
        <v>904</v>
      </c>
      <c r="D25" s="816">
        <v>270549608</v>
      </c>
      <c r="E25" s="817">
        <v>-47571</v>
      </c>
      <c r="F25" s="817">
        <f>D25+E25</f>
        <v>270502037</v>
      </c>
    </row>
    <row r="26" spans="1:6" s="812" customFormat="1" ht="21.75" customHeight="1" thickBot="1">
      <c r="A26" s="807">
        <v>5</v>
      </c>
      <c r="B26" s="808"/>
      <c r="C26" s="809" t="s">
        <v>905</v>
      </c>
      <c r="D26" s="810">
        <f>D27</f>
        <v>36180952</v>
      </c>
      <c r="E26" s="859">
        <f>E27</f>
        <v>0</v>
      </c>
      <c r="F26" s="859">
        <f>F27</f>
        <v>36180952</v>
      </c>
    </row>
    <row r="27" spans="1:6" ht="21.75" customHeight="1" thickBot="1">
      <c r="A27" s="860" t="s">
        <v>539</v>
      </c>
      <c r="B27" s="861">
        <v>992</v>
      </c>
      <c r="C27" s="862" t="s">
        <v>906</v>
      </c>
      <c r="D27" s="863">
        <v>36180952</v>
      </c>
      <c r="E27" s="864">
        <v>0</v>
      </c>
      <c r="F27" s="864">
        <f>D27+E27</f>
        <v>36180952</v>
      </c>
    </row>
    <row r="28" spans="1:6" s="841" customFormat="1" ht="21.75" customHeight="1" thickBot="1">
      <c r="A28" s="836">
        <v>6</v>
      </c>
      <c r="B28" s="837"/>
      <c r="C28" s="838" t="s">
        <v>907</v>
      </c>
      <c r="D28" s="839">
        <f>D21+D26</f>
        <v>885601417</v>
      </c>
      <c r="E28" s="840">
        <f>E21+E26</f>
        <v>4072355</v>
      </c>
      <c r="F28" s="840">
        <f>F21+F26</f>
        <v>889673772</v>
      </c>
    </row>
    <row r="29" spans="1:6" s="841" customFormat="1" ht="15" customHeight="1" thickBot="1">
      <c r="A29" s="865"/>
      <c r="B29" s="837"/>
      <c r="C29" s="838"/>
      <c r="D29" s="839"/>
      <c r="E29" s="840"/>
      <c r="F29" s="840"/>
    </row>
    <row r="30" spans="1:6" s="812" customFormat="1" ht="21.75" customHeight="1" thickBot="1">
      <c r="A30" s="807">
        <v>7</v>
      </c>
      <c r="B30" s="808"/>
      <c r="C30" s="809" t="s">
        <v>908</v>
      </c>
      <c r="D30" s="839">
        <f>D19-D28</f>
        <v>0</v>
      </c>
      <c r="E30" s="840">
        <f>E19-E28</f>
        <v>0</v>
      </c>
      <c r="F30" s="840">
        <f>F19-F28</f>
        <v>0</v>
      </c>
    </row>
    <row r="31" spans="1:6" s="812" customFormat="1" ht="15" customHeight="1" thickBot="1">
      <c r="A31" s="866"/>
      <c r="B31" s="867"/>
      <c r="C31" s="868"/>
      <c r="D31" s="869"/>
      <c r="E31" s="870"/>
      <c r="F31" s="870"/>
    </row>
    <row r="32" spans="1:6" s="812" customFormat="1" ht="21.75" customHeight="1" thickBot="1">
      <c r="A32" s="807">
        <v>8</v>
      </c>
      <c r="B32" s="808"/>
      <c r="C32" s="809" t="s">
        <v>909</v>
      </c>
      <c r="D32" s="810">
        <f>D11-D21</f>
        <v>0</v>
      </c>
      <c r="E32" s="859">
        <f>E11-E21</f>
        <v>0</v>
      </c>
      <c r="F32" s="859">
        <f>F11-F21</f>
        <v>0</v>
      </c>
    </row>
    <row r="33" spans="1:6" s="812" customFormat="1" ht="15" customHeight="1" thickBot="1">
      <c r="A33" s="866"/>
      <c r="B33" s="867"/>
      <c r="C33" s="868"/>
      <c r="D33" s="869"/>
      <c r="E33" s="870"/>
      <c r="F33" s="870"/>
    </row>
    <row r="34" spans="1:6" s="812" customFormat="1" ht="21.75" customHeight="1" thickBot="1">
      <c r="A34" s="807">
        <v>9</v>
      </c>
      <c r="B34" s="808"/>
      <c r="C34" s="809" t="s">
        <v>910</v>
      </c>
      <c r="D34" s="839">
        <f>D35+D36</f>
        <v>0</v>
      </c>
      <c r="E34" s="871">
        <f>E35+E36</f>
        <v>0</v>
      </c>
      <c r="F34" s="871">
        <f>F35+F36</f>
        <v>0</v>
      </c>
    </row>
    <row r="35" spans="1:6" ht="21.75" customHeight="1">
      <c r="A35" s="872" t="s">
        <v>911</v>
      </c>
      <c r="B35" s="873"/>
      <c r="C35" s="874" t="s">
        <v>912</v>
      </c>
      <c r="D35" s="875">
        <f>D17</f>
        <v>0</v>
      </c>
      <c r="E35" s="876">
        <f>E17</f>
        <v>0</v>
      </c>
      <c r="F35" s="876">
        <f>D35+E35</f>
        <v>0</v>
      </c>
    </row>
    <row r="36" spans="1:6" ht="21.75" customHeight="1" thickBot="1">
      <c r="A36" s="877" t="s">
        <v>913</v>
      </c>
      <c r="B36" s="878"/>
      <c r="C36" s="879" t="s">
        <v>895</v>
      </c>
      <c r="D36" s="880">
        <v>0</v>
      </c>
      <c r="E36" s="881">
        <f>E18</f>
        <v>0</v>
      </c>
      <c r="F36" s="881">
        <f>D36+E36</f>
        <v>0</v>
      </c>
    </row>
    <row r="37" spans="1:6" s="812" customFormat="1" ht="21.75" customHeight="1" hidden="1" thickBot="1">
      <c r="A37" s="807">
        <v>9</v>
      </c>
      <c r="B37" s="808"/>
      <c r="C37" s="809" t="s">
        <v>914</v>
      </c>
      <c r="D37" s="839">
        <f>D38+D40</f>
        <v>8100000</v>
      </c>
      <c r="E37" s="871">
        <f>E38+E40</f>
        <v>0</v>
      </c>
      <c r="F37" s="871">
        <f>F38+F40</f>
        <v>8100000</v>
      </c>
    </row>
    <row r="38" spans="1:6" ht="21.75" customHeight="1" hidden="1" thickBot="1">
      <c r="A38" s="882" t="s">
        <v>911</v>
      </c>
      <c r="B38" s="883"/>
      <c r="C38" s="874" t="s">
        <v>915</v>
      </c>
      <c r="D38" s="875">
        <v>8100000</v>
      </c>
      <c r="E38" s="876">
        <v>0</v>
      </c>
      <c r="F38" s="876">
        <f>D38+E38</f>
        <v>8100000</v>
      </c>
    </row>
    <row r="39" spans="1:6" ht="15.75" customHeight="1" thickBot="1">
      <c r="A39" s="884"/>
      <c r="B39" s="885"/>
      <c r="C39" s="886"/>
      <c r="D39" s="887"/>
      <c r="E39" s="888"/>
      <c r="F39" s="888"/>
    </row>
    <row r="40" spans="1:6" ht="5.25" customHeight="1">
      <c r="A40" s="889"/>
      <c r="B40" s="890"/>
      <c r="C40" s="891"/>
      <c r="D40" s="892"/>
      <c r="E40" s="893"/>
      <c r="F40" s="893"/>
    </row>
    <row r="41" spans="1:6" s="841" customFormat="1" ht="14.25" customHeight="1">
      <c r="A41" s="1061" t="s">
        <v>916</v>
      </c>
      <c r="B41" s="1062"/>
      <c r="C41" s="1063"/>
      <c r="D41" s="894"/>
      <c r="E41" s="895"/>
      <c r="F41" s="895"/>
    </row>
    <row r="42" spans="1:6" ht="15" customHeight="1">
      <c r="A42" s="1055" t="s">
        <v>917</v>
      </c>
      <c r="B42" s="1056"/>
      <c r="C42" s="1056"/>
      <c r="D42" s="896">
        <f>D12</f>
        <v>652551439</v>
      </c>
      <c r="E42" s="897">
        <f>E12</f>
        <v>2914766</v>
      </c>
      <c r="F42" s="897">
        <f>F12</f>
        <v>655466205</v>
      </c>
    </row>
    <row r="43" spans="1:6" ht="15" customHeight="1">
      <c r="A43" s="1055" t="s">
        <v>918</v>
      </c>
      <c r="B43" s="1056"/>
      <c r="C43" s="1056"/>
      <c r="D43" s="896">
        <f>D22</f>
        <v>578870857</v>
      </c>
      <c r="E43" s="897">
        <f>E22</f>
        <v>4119926</v>
      </c>
      <c r="F43" s="897">
        <f>F22</f>
        <v>582990783</v>
      </c>
    </row>
    <row r="44" spans="1:6" s="841" customFormat="1" ht="16.5" customHeight="1">
      <c r="A44" s="1064" t="s">
        <v>919</v>
      </c>
      <c r="B44" s="1065"/>
      <c r="C44" s="1065"/>
      <c r="D44" s="894">
        <f>D42-D43</f>
        <v>73680582</v>
      </c>
      <c r="E44" s="895">
        <f>E42-E43</f>
        <v>-1205160</v>
      </c>
      <c r="F44" s="895">
        <f>F42-F43</f>
        <v>72475422</v>
      </c>
    </row>
    <row r="45" spans="1:6" s="841" customFormat="1" ht="9.75" customHeight="1" thickBot="1">
      <c r="A45" s="898"/>
      <c r="B45" s="899"/>
      <c r="C45" s="900"/>
      <c r="D45" s="901"/>
      <c r="E45" s="902"/>
      <c r="F45" s="902"/>
    </row>
    <row r="46" spans="1:6" s="794" customFormat="1" ht="6" customHeight="1">
      <c r="A46" s="903"/>
      <c r="B46" s="904"/>
      <c r="C46" s="905"/>
      <c r="D46" s="906"/>
      <c r="E46" s="907"/>
      <c r="F46" s="907"/>
    </row>
    <row r="47" spans="1:6" s="794" customFormat="1" ht="15" customHeight="1">
      <c r="A47" s="1059" t="s">
        <v>920</v>
      </c>
      <c r="B47" s="1060"/>
      <c r="C47" s="1060"/>
      <c r="D47" s="906">
        <f>D11</f>
        <v>849420465</v>
      </c>
      <c r="E47" s="907">
        <f>E11</f>
        <v>4072355</v>
      </c>
      <c r="F47" s="907">
        <f>F11</f>
        <v>853492820</v>
      </c>
    </row>
    <row r="48" spans="1:6" ht="15" customHeight="1">
      <c r="A48" s="1055" t="s">
        <v>921</v>
      </c>
      <c r="B48" s="1056"/>
      <c r="C48" s="1056"/>
      <c r="D48" s="896">
        <f>D23</f>
        <v>548412192</v>
      </c>
      <c r="E48" s="897">
        <f>E23</f>
        <v>4119926</v>
      </c>
      <c r="F48" s="897">
        <f>F23</f>
        <v>552532118</v>
      </c>
    </row>
    <row r="49" spans="1:6" ht="15" customHeight="1">
      <c r="A49" s="1055" t="s">
        <v>922</v>
      </c>
      <c r="B49" s="1056"/>
      <c r="C49" s="1056"/>
      <c r="D49" s="896">
        <f>D18</f>
        <v>19044422</v>
      </c>
      <c r="E49" s="897">
        <f>E18</f>
        <v>0</v>
      </c>
      <c r="F49" s="897">
        <f>F18</f>
        <v>19044422</v>
      </c>
    </row>
    <row r="50" spans="1:6" ht="18.75" customHeight="1">
      <c r="A50" s="1059" t="s">
        <v>923</v>
      </c>
      <c r="B50" s="1060"/>
      <c r="C50" s="1060"/>
      <c r="D50" s="896">
        <f>D47-D48+D49</f>
        <v>320052695</v>
      </c>
      <c r="E50" s="897">
        <f>E47-E48+E49</f>
        <v>-47571</v>
      </c>
      <c r="F50" s="897">
        <f>F47-F48+F49</f>
        <v>320005124</v>
      </c>
    </row>
    <row r="51" spans="1:6" ht="25.5" customHeight="1">
      <c r="A51" s="1055" t="s">
        <v>924</v>
      </c>
      <c r="B51" s="1056"/>
      <c r="C51" s="1056"/>
      <c r="D51" s="896">
        <f>D24+D27</f>
        <v>66639617</v>
      </c>
      <c r="E51" s="897">
        <f>E24+E27</f>
        <v>0</v>
      </c>
      <c r="F51" s="897">
        <f>F24+F27</f>
        <v>66639617</v>
      </c>
    </row>
    <row r="52" spans="1:6" ht="15" customHeight="1">
      <c r="A52" s="1059" t="s">
        <v>925</v>
      </c>
      <c r="B52" s="1060"/>
      <c r="C52" s="1060"/>
      <c r="D52" s="896">
        <f>D50-D51</f>
        <v>253413078</v>
      </c>
      <c r="E52" s="897">
        <f>E50-E51</f>
        <v>-47571</v>
      </c>
      <c r="F52" s="897">
        <f>F50-F51</f>
        <v>253365507</v>
      </c>
    </row>
    <row r="53" spans="1:6" ht="15" customHeight="1">
      <c r="A53" s="1055" t="s">
        <v>926</v>
      </c>
      <c r="B53" s="1056"/>
      <c r="C53" s="1056"/>
      <c r="D53" s="896">
        <f>D25</f>
        <v>270549608</v>
      </c>
      <c r="E53" s="897">
        <f>E25</f>
        <v>-47571</v>
      </c>
      <c r="F53" s="897">
        <f>F25</f>
        <v>270502037</v>
      </c>
    </row>
    <row r="54" spans="1:6" ht="15" customHeight="1">
      <c r="A54" s="1059" t="s">
        <v>927</v>
      </c>
      <c r="B54" s="1060"/>
      <c r="C54" s="1060"/>
      <c r="D54" s="896">
        <f>D52-D53</f>
        <v>-17136530</v>
      </c>
      <c r="E54" s="897">
        <f>E52-E53</f>
        <v>0</v>
      </c>
      <c r="F54" s="897">
        <f>F52-F53</f>
        <v>-17136530</v>
      </c>
    </row>
    <row r="55" spans="1:6" ht="15" customHeight="1">
      <c r="A55" s="1055" t="s">
        <v>928</v>
      </c>
      <c r="B55" s="1056"/>
      <c r="C55" s="1056"/>
      <c r="D55" s="896">
        <f>D15</f>
        <v>17136530</v>
      </c>
      <c r="E55" s="897">
        <f>E15</f>
        <v>0</v>
      </c>
      <c r="F55" s="897">
        <f>F15</f>
        <v>17136530</v>
      </c>
    </row>
    <row r="56" spans="1:6" ht="14.25" customHeight="1" thickBot="1">
      <c r="A56" s="1057" t="s">
        <v>929</v>
      </c>
      <c r="B56" s="1058"/>
      <c r="C56" s="1058"/>
      <c r="D56" s="908">
        <f>D54+D55</f>
        <v>0</v>
      </c>
      <c r="E56" s="909">
        <f>E54+E55</f>
        <v>0</v>
      </c>
      <c r="F56" s="909">
        <f>F54+F55</f>
        <v>0</v>
      </c>
    </row>
    <row r="57" spans="1:6" ht="6.75" customHeight="1" hidden="1" thickBot="1">
      <c r="A57" s="910"/>
      <c r="B57" s="911"/>
      <c r="C57" s="912"/>
      <c r="D57" s="913"/>
      <c r="E57" s="912"/>
      <c r="F57" s="912"/>
    </row>
  </sheetData>
  <sheetProtection password="C25B" sheet="1"/>
  <mergeCells count="22">
    <mergeCell ref="A5:F5"/>
    <mergeCell ref="A6:C6"/>
    <mergeCell ref="A7:A8"/>
    <mergeCell ref="B7:B8"/>
    <mergeCell ref="C7:C8"/>
    <mergeCell ref="D7:D8"/>
    <mergeCell ref="E7:E8"/>
    <mergeCell ref="F7:F8"/>
    <mergeCell ref="A41:C41"/>
    <mergeCell ref="A42:C42"/>
    <mergeCell ref="A43:C43"/>
    <mergeCell ref="A44:C44"/>
    <mergeCell ref="A47:C47"/>
    <mergeCell ref="A48:C48"/>
    <mergeCell ref="A55:C55"/>
    <mergeCell ref="A56:C56"/>
    <mergeCell ref="A49:C49"/>
    <mergeCell ref="A50:C50"/>
    <mergeCell ref="A51:C51"/>
    <mergeCell ref="A52:C52"/>
    <mergeCell ref="A53:C53"/>
    <mergeCell ref="A54:C54"/>
  </mergeCells>
  <printOptions horizontalCentered="1"/>
  <pageMargins left="0.5118110236220472" right="0.5118110236220472" top="0.984251968503937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96"/>
  <sheetViews>
    <sheetView view="pageBreakPreview" zoomScaleSheetLayoutView="100" zoomScalePageLayoutView="0" workbookViewId="0" topLeftCell="A1">
      <selection activeCell="X1" sqref="A1:X396"/>
    </sheetView>
  </sheetViews>
  <sheetFormatPr defaultColWidth="8.796875" defaultRowHeight="14.25"/>
  <cols>
    <col min="1" max="1" width="5.3984375" style="451" customWidth="1"/>
    <col min="2" max="2" width="8.09765625" style="451" customWidth="1"/>
    <col min="3" max="3" width="9.3984375" style="451" customWidth="1"/>
    <col min="4" max="4" width="43.8984375" style="451" customWidth="1"/>
    <col min="5" max="5" width="10.69921875" style="451" customWidth="1"/>
    <col min="6" max="6" width="10.3984375" style="451" customWidth="1"/>
    <col min="7" max="7" width="11" style="451" customWidth="1"/>
    <col min="8" max="9" width="14.19921875" style="451" customWidth="1"/>
    <col min="10" max="10" width="5.09765625" style="451" customWidth="1"/>
    <col min="11" max="11" width="11.3984375" style="451" customWidth="1"/>
    <col min="12" max="12" width="11.19921875" style="451" customWidth="1"/>
    <col min="13" max="13" width="10.69921875" style="451" customWidth="1"/>
    <col min="14" max="14" width="10.8984375" style="451" customWidth="1"/>
    <col min="15" max="15" width="11.19921875" style="451" customWidth="1"/>
    <col min="16" max="16" width="11.3984375" style="451" customWidth="1"/>
    <col min="17" max="21" width="11.09765625" style="451" customWidth="1"/>
    <col min="22" max="22" width="11.3984375" style="451" customWidth="1"/>
    <col min="23" max="23" width="11.19921875" style="451" customWidth="1"/>
    <col min="24" max="24" width="11.09765625" style="451" customWidth="1"/>
    <col min="25" max="16384" width="9" style="451" customWidth="1"/>
  </cols>
  <sheetData>
    <row r="1" spans="1:23" s="434" customFormat="1" ht="15.75">
      <c r="A1" s="433" t="s">
        <v>403</v>
      </c>
      <c r="V1" s="435" t="s">
        <v>649</v>
      </c>
      <c r="W1" s="435"/>
    </row>
    <row r="2" spans="1:23" s="434" customFormat="1" ht="15.75">
      <c r="A2" s="433"/>
      <c r="V2" s="435" t="s">
        <v>651</v>
      </c>
      <c r="W2" s="435"/>
    </row>
    <row r="3" spans="1:23" s="434" customFormat="1" ht="15.75">
      <c r="A3" s="433"/>
      <c r="V3" s="435" t="s">
        <v>650</v>
      </c>
      <c r="W3" s="435"/>
    </row>
    <row r="4" s="434" customFormat="1" ht="8.25" customHeight="1">
      <c r="A4" s="433"/>
    </row>
    <row r="5" spans="1:24" s="434" customFormat="1" ht="45" customHeight="1">
      <c r="A5" s="1119" t="s">
        <v>444</v>
      </c>
      <c r="B5" s="1119"/>
      <c r="C5" s="1119"/>
      <c r="D5" s="1119"/>
      <c r="E5" s="1119"/>
      <c r="F5" s="1119"/>
      <c r="G5" s="1119"/>
      <c r="H5" s="1119"/>
      <c r="I5" s="1119"/>
      <c r="J5" s="1119"/>
      <c r="K5" s="1119"/>
      <c r="L5" s="1119"/>
      <c r="M5" s="1119"/>
      <c r="N5" s="1119"/>
      <c r="O5" s="1119"/>
      <c r="P5" s="1119"/>
      <c r="Q5" s="1119"/>
      <c r="R5" s="1119"/>
      <c r="S5" s="1119"/>
      <c r="T5" s="1119"/>
      <c r="U5" s="1119"/>
      <c r="V5" s="1119"/>
      <c r="W5" s="1119"/>
      <c r="X5" s="1119"/>
    </row>
    <row r="6" spans="1:22" s="434" customFormat="1" ht="9" customHeight="1">
      <c r="A6" s="436"/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</row>
    <row r="7" spans="1:24" s="434" customFormat="1" ht="19.5" customHeight="1">
      <c r="A7" s="1120" t="s">
        <v>445</v>
      </c>
      <c r="B7" s="1123" t="s">
        <v>446</v>
      </c>
      <c r="C7" s="1123" t="s">
        <v>447</v>
      </c>
      <c r="D7" s="1126" t="s">
        <v>448</v>
      </c>
      <c r="E7" s="1126" t="s">
        <v>449</v>
      </c>
      <c r="F7" s="1123" t="s">
        <v>450</v>
      </c>
      <c r="G7" s="1126" t="s">
        <v>69</v>
      </c>
      <c r="H7" s="1129" t="s">
        <v>451</v>
      </c>
      <c r="I7" s="1130" t="s">
        <v>452</v>
      </c>
      <c r="J7" s="1116" t="s">
        <v>20</v>
      </c>
      <c r="K7" s="1078" t="s">
        <v>453</v>
      </c>
      <c r="L7" s="1078"/>
      <c r="M7" s="1078"/>
      <c r="N7" s="1078"/>
      <c r="O7" s="1078"/>
      <c r="P7" s="1078"/>
      <c r="Q7" s="1078"/>
      <c r="R7" s="1078"/>
      <c r="S7" s="1078"/>
      <c r="T7" s="1078"/>
      <c r="U7" s="1078"/>
      <c r="V7" s="1078"/>
      <c r="W7" s="1078"/>
      <c r="X7" s="1078"/>
    </row>
    <row r="8" spans="1:24" s="437" customFormat="1" ht="18.75" customHeight="1">
      <c r="A8" s="1121"/>
      <c r="B8" s="1124"/>
      <c r="C8" s="1124"/>
      <c r="D8" s="1127"/>
      <c r="E8" s="1127"/>
      <c r="F8" s="1124"/>
      <c r="G8" s="1127"/>
      <c r="H8" s="1129"/>
      <c r="I8" s="1130"/>
      <c r="J8" s="1117"/>
      <c r="K8" s="1078"/>
      <c r="L8" s="1078"/>
      <c r="M8" s="1078"/>
      <c r="N8" s="1078"/>
      <c r="O8" s="1078"/>
      <c r="P8" s="1078"/>
      <c r="Q8" s="1078"/>
      <c r="R8" s="1078"/>
      <c r="S8" s="1078"/>
      <c r="T8" s="1078"/>
      <c r="U8" s="1078"/>
      <c r="V8" s="1078"/>
      <c r="W8" s="1078"/>
      <c r="X8" s="1078"/>
    </row>
    <row r="9" spans="1:24" s="437" customFormat="1" ht="15.75" customHeight="1">
      <c r="A9" s="1121"/>
      <c r="B9" s="1124"/>
      <c r="C9" s="1124"/>
      <c r="D9" s="1127"/>
      <c r="E9" s="1127"/>
      <c r="F9" s="1124"/>
      <c r="G9" s="1127"/>
      <c r="H9" s="438" t="s">
        <v>454</v>
      </c>
      <c r="I9" s="438" t="s">
        <v>454</v>
      </c>
      <c r="J9" s="1116" t="s">
        <v>21</v>
      </c>
      <c r="K9" s="1078" t="s">
        <v>455</v>
      </c>
      <c r="L9" s="1118" t="s">
        <v>456</v>
      </c>
      <c r="M9" s="1118"/>
      <c r="N9" s="1118"/>
      <c r="O9" s="1115" t="s">
        <v>457</v>
      </c>
      <c r="P9" s="1118" t="s">
        <v>458</v>
      </c>
      <c r="Q9" s="1118"/>
      <c r="R9" s="1118"/>
      <c r="S9" s="1118"/>
      <c r="T9" s="1118"/>
      <c r="U9" s="1118"/>
      <c r="V9" s="1118"/>
      <c r="W9" s="1118"/>
      <c r="X9" s="1118"/>
    </row>
    <row r="10" spans="1:24" s="437" customFormat="1" ht="12.75" customHeight="1">
      <c r="A10" s="1121"/>
      <c r="B10" s="1124"/>
      <c r="C10" s="1124"/>
      <c r="D10" s="1127"/>
      <c r="E10" s="1127"/>
      <c r="F10" s="1124"/>
      <c r="G10" s="1127"/>
      <c r="H10" s="438" t="s">
        <v>459</v>
      </c>
      <c r="I10" s="438" t="s">
        <v>459</v>
      </c>
      <c r="J10" s="1117"/>
      <c r="K10" s="1078"/>
      <c r="L10" s="1118"/>
      <c r="M10" s="1118"/>
      <c r="N10" s="1118"/>
      <c r="O10" s="1115"/>
      <c r="P10" s="1114" t="s">
        <v>460</v>
      </c>
      <c r="Q10" s="1114"/>
      <c r="R10" s="1114"/>
      <c r="S10" s="1114" t="s">
        <v>461</v>
      </c>
      <c r="T10" s="1114"/>
      <c r="U10" s="1114"/>
      <c r="V10" s="1115" t="s">
        <v>462</v>
      </c>
      <c r="W10" s="1115"/>
      <c r="X10" s="1115"/>
    </row>
    <row r="11" spans="1:24" s="437" customFormat="1" ht="12.75">
      <c r="A11" s="1121"/>
      <c r="B11" s="1124"/>
      <c r="C11" s="1124"/>
      <c r="D11" s="1127"/>
      <c r="E11" s="1127"/>
      <c r="F11" s="1124"/>
      <c r="G11" s="1127"/>
      <c r="H11" s="438" t="s">
        <v>190</v>
      </c>
      <c r="I11" s="438" t="s">
        <v>190</v>
      </c>
      <c r="J11" s="1116" t="s">
        <v>22</v>
      </c>
      <c r="K11" s="1078"/>
      <c r="L11" s="1114" t="s">
        <v>186</v>
      </c>
      <c r="M11" s="1114" t="s">
        <v>463</v>
      </c>
      <c r="N11" s="1114" t="s">
        <v>464</v>
      </c>
      <c r="O11" s="1115"/>
      <c r="P11" s="1114" t="s">
        <v>186</v>
      </c>
      <c r="Q11" s="1114" t="s">
        <v>465</v>
      </c>
      <c r="R11" s="1113" t="s">
        <v>464</v>
      </c>
      <c r="S11" s="1114" t="s">
        <v>186</v>
      </c>
      <c r="T11" s="1114" t="s">
        <v>465</v>
      </c>
      <c r="U11" s="1110" t="s">
        <v>464</v>
      </c>
      <c r="V11" s="1115" t="s">
        <v>466</v>
      </c>
      <c r="W11" s="1114" t="s">
        <v>465</v>
      </c>
      <c r="X11" s="1110" t="s">
        <v>464</v>
      </c>
    </row>
    <row r="12" spans="1:24" s="437" customFormat="1" ht="12.75">
      <c r="A12" s="1122"/>
      <c r="B12" s="1125"/>
      <c r="C12" s="1125"/>
      <c r="D12" s="1128"/>
      <c r="E12" s="1128"/>
      <c r="F12" s="1125"/>
      <c r="G12" s="1128"/>
      <c r="H12" s="438" t="s">
        <v>462</v>
      </c>
      <c r="I12" s="438" t="s">
        <v>462</v>
      </c>
      <c r="J12" s="1117"/>
      <c r="K12" s="1078"/>
      <c r="L12" s="1114"/>
      <c r="M12" s="1114"/>
      <c r="N12" s="1114"/>
      <c r="O12" s="1115"/>
      <c r="P12" s="1114"/>
      <c r="Q12" s="1114"/>
      <c r="R12" s="1113"/>
      <c r="S12" s="1114"/>
      <c r="T12" s="1114"/>
      <c r="U12" s="1110"/>
      <c r="V12" s="1115"/>
      <c r="W12" s="1114"/>
      <c r="X12" s="1110"/>
    </row>
    <row r="13" spans="1:24" s="440" customFormat="1" ht="11.25">
      <c r="A13" s="439">
        <v>1</v>
      </c>
      <c r="B13" s="439">
        <v>2</v>
      </c>
      <c r="C13" s="439">
        <v>3</v>
      </c>
      <c r="D13" s="439">
        <v>4</v>
      </c>
      <c r="E13" s="439">
        <v>5</v>
      </c>
      <c r="F13" s="439">
        <v>6</v>
      </c>
      <c r="G13" s="439">
        <v>7</v>
      </c>
      <c r="H13" s="439">
        <v>8</v>
      </c>
      <c r="I13" s="439" t="s">
        <v>467</v>
      </c>
      <c r="J13" s="439" t="s">
        <v>468</v>
      </c>
      <c r="K13" s="439" t="s">
        <v>469</v>
      </c>
      <c r="L13" s="439" t="s">
        <v>470</v>
      </c>
      <c r="M13" s="439">
        <v>11</v>
      </c>
      <c r="N13" s="439">
        <v>12</v>
      </c>
      <c r="O13" s="439" t="s">
        <v>471</v>
      </c>
      <c r="P13" s="439" t="s">
        <v>472</v>
      </c>
      <c r="Q13" s="439">
        <v>15</v>
      </c>
      <c r="R13" s="439">
        <v>16</v>
      </c>
      <c r="S13" s="439" t="s">
        <v>473</v>
      </c>
      <c r="T13" s="439">
        <v>18</v>
      </c>
      <c r="U13" s="439">
        <v>19</v>
      </c>
      <c r="V13" s="439" t="s">
        <v>474</v>
      </c>
      <c r="W13" s="439">
        <v>21</v>
      </c>
      <c r="X13" s="439">
        <v>22</v>
      </c>
    </row>
    <row r="14" spans="1:24" s="440" customFormat="1" ht="6.75" customHeight="1">
      <c r="A14" s="1111"/>
      <c r="B14" s="1111"/>
      <c r="C14" s="1111"/>
      <c r="D14" s="1111"/>
      <c r="E14" s="1111"/>
      <c r="F14" s="1111"/>
      <c r="G14" s="1111"/>
      <c r="H14" s="1111"/>
      <c r="I14" s="1111"/>
      <c r="J14" s="1111"/>
      <c r="K14" s="1111"/>
      <c r="L14" s="1111"/>
      <c r="M14" s="1111"/>
      <c r="N14" s="1111"/>
      <c r="O14" s="1111"/>
      <c r="P14" s="1111"/>
      <c r="Q14" s="1111"/>
      <c r="R14" s="1111"/>
      <c r="S14" s="1111"/>
      <c r="T14" s="1111"/>
      <c r="U14" s="1111"/>
      <c r="V14" s="1111"/>
      <c r="W14" s="1111"/>
      <c r="X14" s="1111"/>
    </row>
    <row r="15" spans="1:25" s="440" customFormat="1" ht="18.75" customHeight="1">
      <c r="A15" s="1091" t="s">
        <v>475</v>
      </c>
      <c r="B15" s="1091"/>
      <c r="C15" s="1091"/>
      <c r="D15" s="1091"/>
      <c r="E15" s="1091"/>
      <c r="F15" s="1091"/>
      <c r="G15" s="1091"/>
      <c r="H15" s="1091"/>
      <c r="I15" s="1091"/>
      <c r="J15" s="1091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1"/>
      <c r="Y15" s="441"/>
    </row>
    <row r="16" spans="1:25" s="440" customFormat="1" ht="6.75" customHeight="1">
      <c r="A16" s="1112"/>
      <c r="B16" s="1112"/>
      <c r="C16" s="1112"/>
      <c r="D16" s="1112"/>
      <c r="E16" s="1112"/>
      <c r="F16" s="1112"/>
      <c r="G16" s="1112"/>
      <c r="H16" s="1112"/>
      <c r="I16" s="1112"/>
      <c r="J16" s="1112"/>
      <c r="K16" s="1112"/>
      <c r="L16" s="1112"/>
      <c r="M16" s="1112"/>
      <c r="N16" s="1112"/>
      <c r="O16" s="1112"/>
      <c r="P16" s="1112"/>
      <c r="Q16" s="1112"/>
      <c r="R16" s="1112"/>
      <c r="S16" s="1112"/>
      <c r="T16" s="1112"/>
      <c r="U16" s="1112"/>
      <c r="V16" s="1112"/>
      <c r="W16" s="1112"/>
      <c r="X16" s="1112"/>
      <c r="Y16" s="442"/>
    </row>
    <row r="17" spans="1:24" s="444" customFormat="1" ht="15" customHeight="1" hidden="1">
      <c r="A17" s="1087">
        <v>1</v>
      </c>
      <c r="B17" s="1083" t="s">
        <v>476</v>
      </c>
      <c r="C17" s="1085" t="s">
        <v>477</v>
      </c>
      <c r="D17" s="1106" t="s">
        <v>478</v>
      </c>
      <c r="E17" s="1087" t="s">
        <v>479</v>
      </c>
      <c r="F17" s="1087" t="s">
        <v>480</v>
      </c>
      <c r="G17" s="1083" t="s">
        <v>481</v>
      </c>
      <c r="H17" s="443">
        <f>H18+H19+H20+H21</f>
        <v>8341781</v>
      </c>
      <c r="I17" s="443">
        <f>I18+I19+I20+I21</f>
        <v>479263</v>
      </c>
      <c r="J17" s="1081" t="s">
        <v>20</v>
      </c>
      <c r="K17" s="1079">
        <f>L17+O17</f>
        <v>5084274</v>
      </c>
      <c r="L17" s="1079">
        <f>M17+N17</f>
        <v>4338669</v>
      </c>
      <c r="M17" s="1080">
        <v>4338669</v>
      </c>
      <c r="N17" s="1080">
        <v>0</v>
      </c>
      <c r="O17" s="1079">
        <f>P17+S17+V17</f>
        <v>745605</v>
      </c>
      <c r="P17" s="1079">
        <f>Q17+R17</f>
        <v>0</v>
      </c>
      <c r="Q17" s="1080">
        <v>0</v>
      </c>
      <c r="R17" s="1080">
        <v>0</v>
      </c>
      <c r="S17" s="1079">
        <f>T17+U17</f>
        <v>180279</v>
      </c>
      <c r="T17" s="1080">
        <v>180279</v>
      </c>
      <c r="U17" s="1080">
        <v>0</v>
      </c>
      <c r="V17" s="1079">
        <f>W17+X17</f>
        <v>565326</v>
      </c>
      <c r="W17" s="1080">
        <v>565326</v>
      </c>
      <c r="X17" s="1080">
        <v>0</v>
      </c>
    </row>
    <row r="18" spans="1:24" s="444" customFormat="1" ht="14.25" customHeight="1" hidden="1">
      <c r="A18" s="1087"/>
      <c r="B18" s="1083"/>
      <c r="C18" s="1085"/>
      <c r="D18" s="1106"/>
      <c r="E18" s="1087"/>
      <c r="F18" s="1087"/>
      <c r="G18" s="1083"/>
      <c r="H18" s="443">
        <v>7128687</v>
      </c>
      <c r="I18" s="443">
        <v>407374</v>
      </c>
      <c r="J18" s="1082"/>
      <c r="K18" s="1079"/>
      <c r="L18" s="1079"/>
      <c r="M18" s="1080"/>
      <c r="N18" s="1080"/>
      <c r="O18" s="1079"/>
      <c r="P18" s="1079"/>
      <c r="Q18" s="1080"/>
      <c r="R18" s="1080"/>
      <c r="S18" s="1079"/>
      <c r="T18" s="1080"/>
      <c r="U18" s="1080"/>
      <c r="V18" s="1079"/>
      <c r="W18" s="1080"/>
      <c r="X18" s="1080"/>
    </row>
    <row r="19" spans="1:24" s="444" customFormat="1" ht="14.25" customHeight="1" hidden="1">
      <c r="A19" s="1087"/>
      <c r="B19" s="1083"/>
      <c r="C19" s="1085"/>
      <c r="D19" s="1106"/>
      <c r="E19" s="1087"/>
      <c r="F19" s="1087"/>
      <c r="G19" s="1083"/>
      <c r="H19" s="443">
        <v>0</v>
      </c>
      <c r="I19" s="443">
        <v>0</v>
      </c>
      <c r="J19" s="443" t="s">
        <v>21</v>
      </c>
      <c r="K19" s="445">
        <f>L19+O19</f>
        <v>0</v>
      </c>
      <c r="L19" s="445">
        <f>M19+N19</f>
        <v>0</v>
      </c>
      <c r="M19" s="446">
        <v>0</v>
      </c>
      <c r="N19" s="446">
        <v>0</v>
      </c>
      <c r="O19" s="445">
        <f>P19+S19+V19</f>
        <v>0</v>
      </c>
      <c r="P19" s="445">
        <f>Q19+R19</f>
        <v>0</v>
      </c>
      <c r="Q19" s="446">
        <v>0</v>
      </c>
      <c r="R19" s="446">
        <v>0</v>
      </c>
      <c r="S19" s="445">
        <f>T19+U19</f>
        <v>0</v>
      </c>
      <c r="T19" s="446">
        <v>0</v>
      </c>
      <c r="U19" s="446">
        <v>0</v>
      </c>
      <c r="V19" s="445">
        <f>W19+X19</f>
        <v>0</v>
      </c>
      <c r="W19" s="446">
        <v>0</v>
      </c>
      <c r="X19" s="446">
        <v>0</v>
      </c>
    </row>
    <row r="20" spans="1:24" s="444" customFormat="1" ht="14.25" customHeight="1" hidden="1">
      <c r="A20" s="1087"/>
      <c r="B20" s="1083"/>
      <c r="C20" s="1085"/>
      <c r="D20" s="1106"/>
      <c r="E20" s="1087"/>
      <c r="F20" s="1087"/>
      <c r="G20" s="1083"/>
      <c r="H20" s="443">
        <v>278122</v>
      </c>
      <c r="I20" s="443">
        <v>28398</v>
      </c>
      <c r="J20" s="1081" t="s">
        <v>22</v>
      </c>
      <c r="K20" s="1079">
        <f aca="true" t="shared" si="0" ref="K20:X20">K17+K19</f>
        <v>5084274</v>
      </c>
      <c r="L20" s="1079">
        <f t="shared" si="0"/>
        <v>4338669</v>
      </c>
      <c r="M20" s="1080">
        <f t="shared" si="0"/>
        <v>4338669</v>
      </c>
      <c r="N20" s="1080">
        <f t="shared" si="0"/>
        <v>0</v>
      </c>
      <c r="O20" s="1079">
        <f t="shared" si="0"/>
        <v>745605</v>
      </c>
      <c r="P20" s="1079">
        <f t="shared" si="0"/>
        <v>0</v>
      </c>
      <c r="Q20" s="1080">
        <f t="shared" si="0"/>
        <v>0</v>
      </c>
      <c r="R20" s="1080">
        <f t="shared" si="0"/>
        <v>0</v>
      </c>
      <c r="S20" s="1079">
        <f t="shared" si="0"/>
        <v>180279</v>
      </c>
      <c r="T20" s="1080">
        <f t="shared" si="0"/>
        <v>180279</v>
      </c>
      <c r="U20" s="1080">
        <f t="shared" si="0"/>
        <v>0</v>
      </c>
      <c r="V20" s="1079">
        <f t="shared" si="0"/>
        <v>565326</v>
      </c>
      <c r="W20" s="1080">
        <f t="shared" si="0"/>
        <v>565326</v>
      </c>
      <c r="X20" s="1080">
        <f t="shared" si="0"/>
        <v>0</v>
      </c>
    </row>
    <row r="21" spans="1:24" s="444" customFormat="1" ht="14.25" customHeight="1" hidden="1">
      <c r="A21" s="1087"/>
      <c r="B21" s="1083"/>
      <c r="C21" s="1085"/>
      <c r="D21" s="1106"/>
      <c r="E21" s="1087"/>
      <c r="F21" s="1087"/>
      <c r="G21" s="1083"/>
      <c r="H21" s="443">
        <v>934972</v>
      </c>
      <c r="I21" s="443">
        <v>43491</v>
      </c>
      <c r="J21" s="1082"/>
      <c r="K21" s="1079"/>
      <c r="L21" s="1079"/>
      <c r="M21" s="1080"/>
      <c r="N21" s="1080"/>
      <c r="O21" s="1079"/>
      <c r="P21" s="1079"/>
      <c r="Q21" s="1080"/>
      <c r="R21" s="1080"/>
      <c r="S21" s="1079"/>
      <c r="T21" s="1080"/>
      <c r="U21" s="1080"/>
      <c r="V21" s="1079"/>
      <c r="W21" s="1080"/>
      <c r="X21" s="1080"/>
    </row>
    <row r="22" spans="1:24" s="444" customFormat="1" ht="15" customHeight="1" hidden="1">
      <c r="A22" s="1087">
        <v>2</v>
      </c>
      <c r="B22" s="1083" t="s">
        <v>476</v>
      </c>
      <c r="C22" s="1085" t="s">
        <v>477</v>
      </c>
      <c r="D22" s="1106" t="s">
        <v>482</v>
      </c>
      <c r="E22" s="1087" t="s">
        <v>479</v>
      </c>
      <c r="F22" s="1087" t="s">
        <v>480</v>
      </c>
      <c r="G22" s="1083" t="s">
        <v>481</v>
      </c>
      <c r="H22" s="443">
        <f>H23+H24+H25+H26</f>
        <v>4771912</v>
      </c>
      <c r="I22" s="443">
        <f>I23+I24+I25+I26</f>
        <v>516301</v>
      </c>
      <c r="J22" s="1081" t="s">
        <v>20</v>
      </c>
      <c r="K22" s="1079">
        <f>L22+O22</f>
        <v>3857719</v>
      </c>
      <c r="L22" s="1079">
        <f>M22+N22</f>
        <v>3279816</v>
      </c>
      <c r="M22" s="1080">
        <v>3279816</v>
      </c>
      <c r="N22" s="1080">
        <v>0</v>
      </c>
      <c r="O22" s="1079">
        <f>P22+S22+V22</f>
        <v>577903</v>
      </c>
      <c r="P22" s="1079">
        <f>Q22+R22</f>
        <v>0</v>
      </c>
      <c r="Q22" s="1080">
        <v>0</v>
      </c>
      <c r="R22" s="1080">
        <v>0</v>
      </c>
      <c r="S22" s="1079">
        <f>T22+U22</f>
        <v>71249</v>
      </c>
      <c r="T22" s="1080">
        <v>71249</v>
      </c>
      <c r="U22" s="1080">
        <v>0</v>
      </c>
      <c r="V22" s="1079">
        <f>W22+X22</f>
        <v>506654</v>
      </c>
      <c r="W22" s="1080">
        <v>506654</v>
      </c>
      <c r="X22" s="1080">
        <v>0</v>
      </c>
    </row>
    <row r="23" spans="1:24" s="444" customFormat="1" ht="14.25" customHeight="1" hidden="1">
      <c r="A23" s="1087"/>
      <c r="B23" s="1083"/>
      <c r="C23" s="1085"/>
      <c r="D23" s="1106"/>
      <c r="E23" s="1087"/>
      <c r="F23" s="1087"/>
      <c r="G23" s="1083"/>
      <c r="H23" s="443">
        <v>4057900</v>
      </c>
      <c r="I23" s="443">
        <v>439621</v>
      </c>
      <c r="J23" s="1082"/>
      <c r="K23" s="1079"/>
      <c r="L23" s="1079"/>
      <c r="M23" s="1080"/>
      <c r="N23" s="1080"/>
      <c r="O23" s="1079"/>
      <c r="P23" s="1079"/>
      <c r="Q23" s="1080"/>
      <c r="R23" s="1080"/>
      <c r="S23" s="1079"/>
      <c r="T23" s="1080"/>
      <c r="U23" s="1080"/>
      <c r="V23" s="1079"/>
      <c r="W23" s="1080"/>
      <c r="X23" s="1080"/>
    </row>
    <row r="24" spans="1:24" s="444" customFormat="1" ht="14.25" customHeight="1" hidden="1">
      <c r="A24" s="1087"/>
      <c r="B24" s="1083"/>
      <c r="C24" s="1085"/>
      <c r="D24" s="1106"/>
      <c r="E24" s="1087"/>
      <c r="F24" s="1087"/>
      <c r="G24" s="1083"/>
      <c r="H24" s="443">
        <v>0</v>
      </c>
      <c r="I24" s="443">
        <v>0</v>
      </c>
      <c r="J24" s="443" t="s">
        <v>21</v>
      </c>
      <c r="K24" s="445">
        <f>L24+O24</f>
        <v>0</v>
      </c>
      <c r="L24" s="445">
        <f>M24+N24</f>
        <v>0</v>
      </c>
      <c r="M24" s="446">
        <v>0</v>
      </c>
      <c r="N24" s="446">
        <v>0</v>
      </c>
      <c r="O24" s="445">
        <f>P24+S24+V24</f>
        <v>0</v>
      </c>
      <c r="P24" s="445">
        <f>Q24+R24</f>
        <v>0</v>
      </c>
      <c r="Q24" s="446">
        <v>0</v>
      </c>
      <c r="R24" s="446">
        <v>0</v>
      </c>
      <c r="S24" s="445">
        <f>T24+U24</f>
        <v>0</v>
      </c>
      <c r="T24" s="446">
        <v>0</v>
      </c>
      <c r="U24" s="446">
        <v>0</v>
      </c>
      <c r="V24" s="445">
        <f>W24+X24</f>
        <v>0</v>
      </c>
      <c r="W24" s="446">
        <v>0</v>
      </c>
      <c r="X24" s="446">
        <v>0</v>
      </c>
    </row>
    <row r="25" spans="1:24" s="444" customFormat="1" ht="14.25" customHeight="1" hidden="1">
      <c r="A25" s="1087"/>
      <c r="B25" s="1083"/>
      <c r="C25" s="1085"/>
      <c r="D25" s="1106"/>
      <c r="E25" s="1087"/>
      <c r="F25" s="1087"/>
      <c r="G25" s="1083"/>
      <c r="H25" s="443">
        <v>106835</v>
      </c>
      <c r="I25" s="443">
        <v>18812</v>
      </c>
      <c r="J25" s="1081" t="s">
        <v>22</v>
      </c>
      <c r="K25" s="1079">
        <f aca="true" t="shared" si="1" ref="K25:X25">K22+K24</f>
        <v>3857719</v>
      </c>
      <c r="L25" s="1079">
        <f t="shared" si="1"/>
        <v>3279816</v>
      </c>
      <c r="M25" s="1080">
        <f t="shared" si="1"/>
        <v>3279816</v>
      </c>
      <c r="N25" s="1080">
        <f t="shared" si="1"/>
        <v>0</v>
      </c>
      <c r="O25" s="1079">
        <f t="shared" si="1"/>
        <v>577903</v>
      </c>
      <c r="P25" s="1079">
        <f t="shared" si="1"/>
        <v>0</v>
      </c>
      <c r="Q25" s="1080">
        <f t="shared" si="1"/>
        <v>0</v>
      </c>
      <c r="R25" s="1080">
        <f t="shared" si="1"/>
        <v>0</v>
      </c>
      <c r="S25" s="1079">
        <f t="shared" si="1"/>
        <v>71249</v>
      </c>
      <c r="T25" s="1080">
        <f t="shared" si="1"/>
        <v>71249</v>
      </c>
      <c r="U25" s="1080">
        <f t="shared" si="1"/>
        <v>0</v>
      </c>
      <c r="V25" s="1079">
        <f t="shared" si="1"/>
        <v>506654</v>
      </c>
      <c r="W25" s="1080">
        <f t="shared" si="1"/>
        <v>506654</v>
      </c>
      <c r="X25" s="1080">
        <f t="shared" si="1"/>
        <v>0</v>
      </c>
    </row>
    <row r="26" spans="1:24" s="444" customFormat="1" ht="14.25" customHeight="1" hidden="1">
      <c r="A26" s="1087"/>
      <c r="B26" s="1083"/>
      <c r="C26" s="1085"/>
      <c r="D26" s="1106"/>
      <c r="E26" s="1087"/>
      <c r="F26" s="1087"/>
      <c r="G26" s="1083"/>
      <c r="H26" s="443">
        <v>607177</v>
      </c>
      <c r="I26" s="443">
        <v>57868</v>
      </c>
      <c r="J26" s="1082"/>
      <c r="K26" s="1079"/>
      <c r="L26" s="1079"/>
      <c r="M26" s="1080"/>
      <c r="N26" s="1080"/>
      <c r="O26" s="1079"/>
      <c r="P26" s="1079"/>
      <c r="Q26" s="1080"/>
      <c r="R26" s="1080"/>
      <c r="S26" s="1079"/>
      <c r="T26" s="1080"/>
      <c r="U26" s="1080"/>
      <c r="V26" s="1079"/>
      <c r="W26" s="1080"/>
      <c r="X26" s="1080"/>
    </row>
    <row r="27" spans="1:24" s="444" customFormat="1" ht="15" customHeight="1" hidden="1">
      <c r="A27" s="1087">
        <v>3</v>
      </c>
      <c r="B27" s="1083" t="s">
        <v>476</v>
      </c>
      <c r="C27" s="1085" t="s">
        <v>477</v>
      </c>
      <c r="D27" s="1106" t="s">
        <v>483</v>
      </c>
      <c r="E27" s="1087" t="s">
        <v>479</v>
      </c>
      <c r="F27" s="1087" t="s">
        <v>480</v>
      </c>
      <c r="G27" s="1083" t="s">
        <v>484</v>
      </c>
      <c r="H27" s="443">
        <f>H28+H29+H30+H31</f>
        <v>1800000</v>
      </c>
      <c r="I27" s="443">
        <f>I28+I29+I30+I31</f>
        <v>367813</v>
      </c>
      <c r="J27" s="1081" t="s">
        <v>20</v>
      </c>
      <c r="K27" s="1079">
        <f>L27+O27</f>
        <v>1432187</v>
      </c>
      <c r="L27" s="1079">
        <f>M27+N27</f>
        <v>1217359</v>
      </c>
      <c r="M27" s="1080">
        <v>1217359</v>
      </c>
      <c r="N27" s="1080">
        <v>0</v>
      </c>
      <c r="O27" s="1079">
        <f>P27+S27+V27</f>
        <v>214828</v>
      </c>
      <c r="P27" s="1079">
        <f>Q27+R27</f>
        <v>0</v>
      </c>
      <c r="Q27" s="1080">
        <v>0</v>
      </c>
      <c r="R27" s="1080">
        <v>0</v>
      </c>
      <c r="S27" s="1079">
        <f>T27+U27</f>
        <v>214828</v>
      </c>
      <c r="T27" s="1080">
        <v>214828</v>
      </c>
      <c r="U27" s="1080">
        <v>0</v>
      </c>
      <c r="V27" s="1079">
        <f>W27+X27</f>
        <v>0</v>
      </c>
      <c r="W27" s="1080">
        <v>0</v>
      </c>
      <c r="X27" s="1080">
        <v>0</v>
      </c>
    </row>
    <row r="28" spans="1:24" s="444" customFormat="1" ht="14.25" customHeight="1" hidden="1">
      <c r="A28" s="1087"/>
      <c r="B28" s="1083"/>
      <c r="C28" s="1085"/>
      <c r="D28" s="1106"/>
      <c r="E28" s="1087"/>
      <c r="F28" s="1087"/>
      <c r="G28" s="1083"/>
      <c r="H28" s="443">
        <v>1530000</v>
      </c>
      <c r="I28" s="443">
        <v>312641</v>
      </c>
      <c r="J28" s="1082"/>
      <c r="K28" s="1079"/>
      <c r="L28" s="1079"/>
      <c r="M28" s="1080"/>
      <c r="N28" s="1080"/>
      <c r="O28" s="1079"/>
      <c r="P28" s="1079"/>
      <c r="Q28" s="1080"/>
      <c r="R28" s="1080"/>
      <c r="S28" s="1079"/>
      <c r="T28" s="1080"/>
      <c r="U28" s="1080"/>
      <c r="V28" s="1079"/>
      <c r="W28" s="1080"/>
      <c r="X28" s="1080"/>
    </row>
    <row r="29" spans="1:24" s="444" customFormat="1" ht="14.25" customHeight="1" hidden="1">
      <c r="A29" s="1087"/>
      <c r="B29" s="1083"/>
      <c r="C29" s="1085"/>
      <c r="D29" s="1106"/>
      <c r="E29" s="1087"/>
      <c r="F29" s="1087"/>
      <c r="G29" s="1083"/>
      <c r="H29" s="443">
        <v>0</v>
      </c>
      <c r="I29" s="443">
        <v>0</v>
      </c>
      <c r="J29" s="443" t="s">
        <v>21</v>
      </c>
      <c r="K29" s="445">
        <f>L29+O29</f>
        <v>0</v>
      </c>
      <c r="L29" s="445">
        <f>M29+N29</f>
        <v>0</v>
      </c>
      <c r="M29" s="446">
        <v>0</v>
      </c>
      <c r="N29" s="446">
        <v>0</v>
      </c>
      <c r="O29" s="445">
        <f>P29+S29+V29</f>
        <v>0</v>
      </c>
      <c r="P29" s="445">
        <f>Q29+R29</f>
        <v>0</v>
      </c>
      <c r="Q29" s="446">
        <v>0</v>
      </c>
      <c r="R29" s="446">
        <v>0</v>
      </c>
      <c r="S29" s="445">
        <f>T29+U29</f>
        <v>0</v>
      </c>
      <c r="T29" s="446">
        <v>0</v>
      </c>
      <c r="U29" s="446">
        <v>0</v>
      </c>
      <c r="V29" s="445">
        <f>W29+X29</f>
        <v>0</v>
      </c>
      <c r="W29" s="446">
        <v>0</v>
      </c>
      <c r="X29" s="446">
        <v>0</v>
      </c>
    </row>
    <row r="30" spans="1:24" s="444" customFormat="1" ht="14.25" customHeight="1" hidden="1">
      <c r="A30" s="1087"/>
      <c r="B30" s="1083"/>
      <c r="C30" s="1085"/>
      <c r="D30" s="1106"/>
      <c r="E30" s="1087"/>
      <c r="F30" s="1087"/>
      <c r="G30" s="1083"/>
      <c r="H30" s="443">
        <v>270000</v>
      </c>
      <c r="I30" s="443">
        <v>55172</v>
      </c>
      <c r="J30" s="1081" t="s">
        <v>22</v>
      </c>
      <c r="K30" s="1079">
        <f aca="true" t="shared" si="2" ref="K30:X30">K27+K29</f>
        <v>1432187</v>
      </c>
      <c r="L30" s="1079">
        <f t="shared" si="2"/>
        <v>1217359</v>
      </c>
      <c r="M30" s="1080">
        <f t="shared" si="2"/>
        <v>1217359</v>
      </c>
      <c r="N30" s="1080">
        <f t="shared" si="2"/>
        <v>0</v>
      </c>
      <c r="O30" s="1079">
        <f t="shared" si="2"/>
        <v>214828</v>
      </c>
      <c r="P30" s="1079">
        <f t="shared" si="2"/>
        <v>0</v>
      </c>
      <c r="Q30" s="1080">
        <f t="shared" si="2"/>
        <v>0</v>
      </c>
      <c r="R30" s="1080">
        <f t="shared" si="2"/>
        <v>0</v>
      </c>
      <c r="S30" s="1079">
        <f t="shared" si="2"/>
        <v>214828</v>
      </c>
      <c r="T30" s="1080">
        <f t="shared" si="2"/>
        <v>214828</v>
      </c>
      <c r="U30" s="1080">
        <f t="shared" si="2"/>
        <v>0</v>
      </c>
      <c r="V30" s="1079">
        <f t="shared" si="2"/>
        <v>0</v>
      </c>
      <c r="W30" s="1080">
        <f t="shared" si="2"/>
        <v>0</v>
      </c>
      <c r="X30" s="1080">
        <f t="shared" si="2"/>
        <v>0</v>
      </c>
    </row>
    <row r="31" spans="1:24" s="444" customFormat="1" ht="14.25" customHeight="1" hidden="1">
      <c r="A31" s="1087"/>
      <c r="B31" s="1083"/>
      <c r="C31" s="1085"/>
      <c r="D31" s="1106"/>
      <c r="E31" s="1087"/>
      <c r="F31" s="1087"/>
      <c r="G31" s="1083"/>
      <c r="H31" s="443">
        <v>0</v>
      </c>
      <c r="I31" s="443">
        <v>0</v>
      </c>
      <c r="J31" s="1082"/>
      <c r="K31" s="1079"/>
      <c r="L31" s="1079"/>
      <c r="M31" s="1080"/>
      <c r="N31" s="1080"/>
      <c r="O31" s="1079"/>
      <c r="P31" s="1079"/>
      <c r="Q31" s="1080"/>
      <c r="R31" s="1080"/>
      <c r="S31" s="1079"/>
      <c r="T31" s="1080"/>
      <c r="U31" s="1080"/>
      <c r="V31" s="1079"/>
      <c r="W31" s="1080"/>
      <c r="X31" s="1080"/>
    </row>
    <row r="32" spans="1:24" s="444" customFormat="1" ht="15" customHeight="1" hidden="1">
      <c r="A32" s="1087">
        <v>1</v>
      </c>
      <c r="B32" s="1083" t="s">
        <v>476</v>
      </c>
      <c r="C32" s="1085" t="s">
        <v>477</v>
      </c>
      <c r="D32" s="1106" t="s">
        <v>485</v>
      </c>
      <c r="E32" s="1087" t="s">
        <v>479</v>
      </c>
      <c r="F32" s="1087" t="s">
        <v>480</v>
      </c>
      <c r="G32" s="1083" t="s">
        <v>481</v>
      </c>
      <c r="H32" s="443">
        <f>H33+H34+H35+H36</f>
        <v>6338697</v>
      </c>
      <c r="I32" s="443">
        <f>I33+I34+I35+I36</f>
        <v>1482648</v>
      </c>
      <c r="J32" s="1081" t="s">
        <v>20</v>
      </c>
      <c r="K32" s="1079">
        <f>L32+O32</f>
        <v>3055000</v>
      </c>
      <c r="L32" s="1079">
        <f>M32+N32</f>
        <v>2596750</v>
      </c>
      <c r="M32" s="1080">
        <v>2596750</v>
      </c>
      <c r="N32" s="1080">
        <v>0</v>
      </c>
      <c r="O32" s="1079">
        <f>P32+S32+V32</f>
        <v>458250</v>
      </c>
      <c r="P32" s="1079">
        <f>Q32+R32</f>
        <v>0</v>
      </c>
      <c r="Q32" s="1080">
        <v>0</v>
      </c>
      <c r="R32" s="1080">
        <v>0</v>
      </c>
      <c r="S32" s="1079">
        <f>T32+U32</f>
        <v>458250</v>
      </c>
      <c r="T32" s="1080">
        <v>458250</v>
      </c>
      <c r="U32" s="1080">
        <v>0</v>
      </c>
      <c r="V32" s="1079">
        <f>W32+X32</f>
        <v>0</v>
      </c>
      <c r="W32" s="1080">
        <v>0</v>
      </c>
      <c r="X32" s="1080">
        <v>0</v>
      </c>
    </row>
    <row r="33" spans="1:24" s="444" customFormat="1" ht="14.25" customHeight="1" hidden="1">
      <c r="A33" s="1087"/>
      <c r="B33" s="1083"/>
      <c r="C33" s="1085"/>
      <c r="D33" s="1106"/>
      <c r="E33" s="1087"/>
      <c r="F33" s="1087"/>
      <c r="G33" s="1083"/>
      <c r="H33" s="443">
        <v>5387892</v>
      </c>
      <c r="I33" s="443">
        <v>1260251</v>
      </c>
      <c r="J33" s="1082"/>
      <c r="K33" s="1079"/>
      <c r="L33" s="1079"/>
      <c r="M33" s="1080"/>
      <c r="N33" s="1080"/>
      <c r="O33" s="1079"/>
      <c r="P33" s="1079"/>
      <c r="Q33" s="1080"/>
      <c r="R33" s="1080"/>
      <c r="S33" s="1079"/>
      <c r="T33" s="1080"/>
      <c r="U33" s="1080"/>
      <c r="V33" s="1079"/>
      <c r="W33" s="1080"/>
      <c r="X33" s="1080"/>
    </row>
    <row r="34" spans="1:24" s="444" customFormat="1" ht="14.25" customHeight="1" hidden="1">
      <c r="A34" s="1087"/>
      <c r="B34" s="1083"/>
      <c r="C34" s="1085"/>
      <c r="D34" s="1106"/>
      <c r="E34" s="1087"/>
      <c r="F34" s="1087"/>
      <c r="G34" s="1083"/>
      <c r="H34" s="443">
        <v>0</v>
      </c>
      <c r="I34" s="443">
        <v>0</v>
      </c>
      <c r="J34" s="443" t="s">
        <v>21</v>
      </c>
      <c r="K34" s="445">
        <f>L34+O34</f>
        <v>0</v>
      </c>
      <c r="L34" s="445">
        <f>M34+N34</f>
        <v>0</v>
      </c>
      <c r="M34" s="446">
        <v>0</v>
      </c>
      <c r="N34" s="446">
        <v>0</v>
      </c>
      <c r="O34" s="445">
        <f>P34+S34+V34</f>
        <v>0</v>
      </c>
      <c r="P34" s="445">
        <f>Q34+R34</f>
        <v>0</v>
      </c>
      <c r="Q34" s="446">
        <v>0</v>
      </c>
      <c r="R34" s="446">
        <v>0</v>
      </c>
      <c r="S34" s="445">
        <f>T34+U34</f>
        <v>0</v>
      </c>
      <c r="T34" s="446">
        <v>0</v>
      </c>
      <c r="U34" s="446">
        <v>0</v>
      </c>
      <c r="V34" s="445">
        <f>W34+X34</f>
        <v>0</v>
      </c>
      <c r="W34" s="446">
        <v>0</v>
      </c>
      <c r="X34" s="446">
        <v>0</v>
      </c>
    </row>
    <row r="35" spans="1:24" s="444" customFormat="1" ht="14.25" customHeight="1" hidden="1">
      <c r="A35" s="1087"/>
      <c r="B35" s="1083"/>
      <c r="C35" s="1085"/>
      <c r="D35" s="1106"/>
      <c r="E35" s="1087"/>
      <c r="F35" s="1087"/>
      <c r="G35" s="1083"/>
      <c r="H35" s="443">
        <v>950805</v>
      </c>
      <c r="I35" s="443">
        <v>222397</v>
      </c>
      <c r="J35" s="1081" t="s">
        <v>22</v>
      </c>
      <c r="K35" s="1079">
        <f aca="true" t="shared" si="3" ref="K35:X35">K32+K34</f>
        <v>3055000</v>
      </c>
      <c r="L35" s="1079">
        <f t="shared" si="3"/>
        <v>2596750</v>
      </c>
      <c r="M35" s="1080">
        <f t="shared" si="3"/>
        <v>2596750</v>
      </c>
      <c r="N35" s="1080">
        <f t="shared" si="3"/>
        <v>0</v>
      </c>
      <c r="O35" s="1079">
        <f t="shared" si="3"/>
        <v>458250</v>
      </c>
      <c r="P35" s="1079">
        <f t="shared" si="3"/>
        <v>0</v>
      </c>
      <c r="Q35" s="1080">
        <f t="shared" si="3"/>
        <v>0</v>
      </c>
      <c r="R35" s="1080">
        <f t="shared" si="3"/>
        <v>0</v>
      </c>
      <c r="S35" s="1079">
        <f t="shared" si="3"/>
        <v>458250</v>
      </c>
      <c r="T35" s="1080">
        <f t="shared" si="3"/>
        <v>458250</v>
      </c>
      <c r="U35" s="1080">
        <f t="shared" si="3"/>
        <v>0</v>
      </c>
      <c r="V35" s="1079">
        <f t="shared" si="3"/>
        <v>0</v>
      </c>
      <c r="W35" s="1080">
        <f t="shared" si="3"/>
        <v>0</v>
      </c>
      <c r="X35" s="1080">
        <f t="shared" si="3"/>
        <v>0</v>
      </c>
    </row>
    <row r="36" spans="1:24" s="444" customFormat="1" ht="14.25" customHeight="1" hidden="1">
      <c r="A36" s="1087"/>
      <c r="B36" s="1083"/>
      <c r="C36" s="1085"/>
      <c r="D36" s="1106"/>
      <c r="E36" s="1087"/>
      <c r="F36" s="1087"/>
      <c r="G36" s="1083"/>
      <c r="H36" s="443">
        <v>0</v>
      </c>
      <c r="I36" s="443">
        <v>0</v>
      </c>
      <c r="J36" s="1082"/>
      <c r="K36" s="1079"/>
      <c r="L36" s="1079"/>
      <c r="M36" s="1080"/>
      <c r="N36" s="1080"/>
      <c r="O36" s="1079"/>
      <c r="P36" s="1079"/>
      <c r="Q36" s="1080"/>
      <c r="R36" s="1080"/>
      <c r="S36" s="1079"/>
      <c r="T36" s="1080"/>
      <c r="U36" s="1080"/>
      <c r="V36" s="1079"/>
      <c r="W36" s="1080"/>
      <c r="X36" s="1080"/>
    </row>
    <row r="37" spans="1:24" s="444" customFormat="1" ht="15" customHeight="1" hidden="1">
      <c r="A37" s="1087">
        <v>5</v>
      </c>
      <c r="B37" s="1093" t="s">
        <v>486</v>
      </c>
      <c r="C37" s="1107" t="s">
        <v>487</v>
      </c>
      <c r="D37" s="1103" t="s">
        <v>488</v>
      </c>
      <c r="E37" s="1088" t="s">
        <v>479</v>
      </c>
      <c r="F37" s="1088" t="s">
        <v>489</v>
      </c>
      <c r="G37" s="1093" t="s">
        <v>490</v>
      </c>
      <c r="H37" s="443">
        <f>H38+H39+H40+H41</f>
        <v>114055000</v>
      </c>
      <c r="I37" s="443">
        <f>I38+I39+I40+I41</f>
        <v>300000</v>
      </c>
      <c r="J37" s="1081" t="s">
        <v>20</v>
      </c>
      <c r="K37" s="1079">
        <f>L37+O37</f>
        <v>17065000</v>
      </c>
      <c r="L37" s="1079">
        <f>M37+N37</f>
        <v>16320000</v>
      </c>
      <c r="M37" s="1080">
        <v>1445000</v>
      </c>
      <c r="N37" s="1080">
        <v>14875000</v>
      </c>
      <c r="O37" s="1079">
        <f>P37+S37+V37</f>
        <v>745000</v>
      </c>
      <c r="P37" s="1079">
        <f>Q37+R37</f>
        <v>0</v>
      </c>
      <c r="Q37" s="1080">
        <v>0</v>
      </c>
      <c r="R37" s="1080">
        <v>0</v>
      </c>
      <c r="S37" s="1079">
        <f>T37+U37</f>
        <v>745000</v>
      </c>
      <c r="T37" s="1080">
        <v>105000</v>
      </c>
      <c r="U37" s="1080">
        <v>640000</v>
      </c>
      <c r="V37" s="1079">
        <f>W37+X37</f>
        <v>0</v>
      </c>
      <c r="W37" s="1080">
        <v>0</v>
      </c>
      <c r="X37" s="1080">
        <v>0</v>
      </c>
    </row>
    <row r="38" spans="1:24" s="444" customFormat="1" ht="14.25" customHeight="1" hidden="1">
      <c r="A38" s="1087"/>
      <c r="B38" s="1094"/>
      <c r="C38" s="1108"/>
      <c r="D38" s="1104"/>
      <c r="E38" s="1089"/>
      <c r="F38" s="1089"/>
      <c r="G38" s="1094"/>
      <c r="H38" s="443">
        <v>109055000</v>
      </c>
      <c r="I38" s="443">
        <v>255000</v>
      </c>
      <c r="J38" s="1082"/>
      <c r="K38" s="1079"/>
      <c r="L38" s="1079"/>
      <c r="M38" s="1080"/>
      <c r="N38" s="1080"/>
      <c r="O38" s="1079"/>
      <c r="P38" s="1079"/>
      <c r="Q38" s="1080"/>
      <c r="R38" s="1080"/>
      <c r="S38" s="1079"/>
      <c r="T38" s="1080"/>
      <c r="U38" s="1080"/>
      <c r="V38" s="1079"/>
      <c r="W38" s="1080"/>
      <c r="X38" s="1080"/>
    </row>
    <row r="39" spans="1:24" s="444" customFormat="1" ht="14.25" customHeight="1" hidden="1">
      <c r="A39" s="1087"/>
      <c r="B39" s="1094"/>
      <c r="C39" s="1108"/>
      <c r="D39" s="1104"/>
      <c r="E39" s="1089"/>
      <c r="F39" s="1089"/>
      <c r="G39" s="1094"/>
      <c r="H39" s="443">
        <v>0</v>
      </c>
      <c r="I39" s="443">
        <v>0</v>
      </c>
      <c r="J39" s="443" t="s">
        <v>21</v>
      </c>
      <c r="K39" s="445">
        <f>L39+O39</f>
        <v>0</v>
      </c>
      <c r="L39" s="445">
        <f>M39+N39</f>
        <v>0</v>
      </c>
      <c r="M39" s="446">
        <v>0</v>
      </c>
      <c r="N39" s="446">
        <v>0</v>
      </c>
      <c r="O39" s="445">
        <f>P39+S39+V39</f>
        <v>0</v>
      </c>
      <c r="P39" s="445">
        <f>Q39+R39</f>
        <v>0</v>
      </c>
      <c r="Q39" s="446">
        <v>0</v>
      </c>
      <c r="R39" s="446">
        <v>0</v>
      </c>
      <c r="S39" s="445">
        <f>T39+U39</f>
        <v>0</v>
      </c>
      <c r="T39" s="446">
        <v>0</v>
      </c>
      <c r="U39" s="446">
        <v>0</v>
      </c>
      <c r="V39" s="445">
        <f>W39+X39</f>
        <v>0</v>
      </c>
      <c r="W39" s="446">
        <v>0</v>
      </c>
      <c r="X39" s="446">
        <v>0</v>
      </c>
    </row>
    <row r="40" spans="1:24" s="444" customFormat="1" ht="14.25" customHeight="1" hidden="1">
      <c r="A40" s="1087"/>
      <c r="B40" s="1094"/>
      <c r="C40" s="1108"/>
      <c r="D40" s="1104"/>
      <c r="E40" s="1089"/>
      <c r="F40" s="1089"/>
      <c r="G40" s="1094"/>
      <c r="H40" s="443">
        <v>5000000</v>
      </c>
      <c r="I40" s="443">
        <v>45000</v>
      </c>
      <c r="J40" s="1081" t="s">
        <v>22</v>
      </c>
      <c r="K40" s="1079">
        <f aca="true" t="shared" si="4" ref="K40:X40">K37+K39</f>
        <v>17065000</v>
      </c>
      <c r="L40" s="1079">
        <f t="shared" si="4"/>
        <v>16320000</v>
      </c>
      <c r="M40" s="1080">
        <f t="shared" si="4"/>
        <v>1445000</v>
      </c>
      <c r="N40" s="1080">
        <f t="shared" si="4"/>
        <v>14875000</v>
      </c>
      <c r="O40" s="1079">
        <f t="shared" si="4"/>
        <v>745000</v>
      </c>
      <c r="P40" s="1079">
        <f t="shared" si="4"/>
        <v>0</v>
      </c>
      <c r="Q40" s="1080">
        <f t="shared" si="4"/>
        <v>0</v>
      </c>
      <c r="R40" s="1080">
        <f t="shared" si="4"/>
        <v>0</v>
      </c>
      <c r="S40" s="1079">
        <f t="shared" si="4"/>
        <v>745000</v>
      </c>
      <c r="T40" s="1080">
        <f t="shared" si="4"/>
        <v>105000</v>
      </c>
      <c r="U40" s="1080">
        <f t="shared" si="4"/>
        <v>640000</v>
      </c>
      <c r="V40" s="1079">
        <f t="shared" si="4"/>
        <v>0</v>
      </c>
      <c r="W40" s="1080">
        <f t="shared" si="4"/>
        <v>0</v>
      </c>
      <c r="X40" s="1080">
        <f t="shared" si="4"/>
        <v>0</v>
      </c>
    </row>
    <row r="41" spans="1:24" s="444" customFormat="1" ht="14.25" customHeight="1" hidden="1">
      <c r="A41" s="1087"/>
      <c r="B41" s="1095"/>
      <c r="C41" s="1109"/>
      <c r="D41" s="1105"/>
      <c r="E41" s="1090"/>
      <c r="F41" s="1090"/>
      <c r="G41" s="1095"/>
      <c r="H41" s="443">
        <v>0</v>
      </c>
      <c r="I41" s="443">
        <v>0</v>
      </c>
      <c r="J41" s="1082"/>
      <c r="K41" s="1079"/>
      <c r="L41" s="1079"/>
      <c r="M41" s="1080"/>
      <c r="N41" s="1080"/>
      <c r="O41" s="1079"/>
      <c r="P41" s="1079"/>
      <c r="Q41" s="1080"/>
      <c r="R41" s="1080"/>
      <c r="S41" s="1079"/>
      <c r="T41" s="1080"/>
      <c r="U41" s="1080"/>
      <c r="V41" s="1079"/>
      <c r="W41" s="1080"/>
      <c r="X41" s="1080"/>
    </row>
    <row r="42" spans="1:24" s="444" customFormat="1" ht="15" customHeight="1" hidden="1">
      <c r="A42" s="1087">
        <v>6</v>
      </c>
      <c r="B42" s="1093" t="s">
        <v>486</v>
      </c>
      <c r="C42" s="1107" t="s">
        <v>487</v>
      </c>
      <c r="D42" s="1103" t="s">
        <v>491</v>
      </c>
      <c r="E42" s="1088" t="s">
        <v>479</v>
      </c>
      <c r="F42" s="1088" t="s">
        <v>489</v>
      </c>
      <c r="G42" s="1093" t="s">
        <v>492</v>
      </c>
      <c r="H42" s="443">
        <f>H43+H44+H45+H46</f>
        <v>61844888</v>
      </c>
      <c r="I42" s="443">
        <f>I43+I44+I45+I46</f>
        <v>0</v>
      </c>
      <c r="J42" s="1081" t="s">
        <v>20</v>
      </c>
      <c r="K42" s="1079">
        <f>L42+O42</f>
        <v>807477</v>
      </c>
      <c r="L42" s="1079">
        <f>M42+N42</f>
        <v>686355</v>
      </c>
      <c r="M42" s="1080">
        <v>431355</v>
      </c>
      <c r="N42" s="1080">
        <v>255000</v>
      </c>
      <c r="O42" s="1079">
        <f>P42+S42+V42</f>
        <v>121122</v>
      </c>
      <c r="P42" s="1079">
        <f>Q42+R42</f>
        <v>0</v>
      </c>
      <c r="Q42" s="1080">
        <v>0</v>
      </c>
      <c r="R42" s="1080">
        <v>0</v>
      </c>
      <c r="S42" s="1079">
        <f>T42+U42</f>
        <v>121122</v>
      </c>
      <c r="T42" s="1080">
        <v>76122</v>
      </c>
      <c r="U42" s="1080">
        <v>45000</v>
      </c>
      <c r="V42" s="1079">
        <f>W42+X42</f>
        <v>0</v>
      </c>
      <c r="W42" s="1080">
        <v>0</v>
      </c>
      <c r="X42" s="1080">
        <v>0</v>
      </c>
    </row>
    <row r="43" spans="1:24" s="444" customFormat="1" ht="14.25" customHeight="1" hidden="1">
      <c r="A43" s="1087"/>
      <c r="B43" s="1094"/>
      <c r="C43" s="1108"/>
      <c r="D43" s="1104"/>
      <c r="E43" s="1089"/>
      <c r="F43" s="1089"/>
      <c r="G43" s="1094"/>
      <c r="H43" s="443">
        <v>56981801</v>
      </c>
      <c r="I43" s="443">
        <v>0</v>
      </c>
      <c r="J43" s="1082"/>
      <c r="K43" s="1079"/>
      <c r="L43" s="1079"/>
      <c r="M43" s="1080"/>
      <c r="N43" s="1080"/>
      <c r="O43" s="1079"/>
      <c r="P43" s="1079"/>
      <c r="Q43" s="1080"/>
      <c r="R43" s="1080"/>
      <c r="S43" s="1079"/>
      <c r="T43" s="1080"/>
      <c r="U43" s="1080"/>
      <c r="V43" s="1079"/>
      <c r="W43" s="1080"/>
      <c r="X43" s="1080"/>
    </row>
    <row r="44" spans="1:24" s="444" customFormat="1" ht="14.25" customHeight="1" hidden="1">
      <c r="A44" s="1087"/>
      <c r="B44" s="1094"/>
      <c r="C44" s="1108"/>
      <c r="D44" s="1104"/>
      <c r="E44" s="1089"/>
      <c r="F44" s="1089"/>
      <c r="G44" s="1094"/>
      <c r="H44" s="443">
        <v>0</v>
      </c>
      <c r="I44" s="443">
        <v>0</v>
      </c>
      <c r="J44" s="443" t="s">
        <v>21</v>
      </c>
      <c r="K44" s="445">
        <f>L44+O44</f>
        <v>0</v>
      </c>
      <c r="L44" s="445">
        <f>M44+N44</f>
        <v>0</v>
      </c>
      <c r="M44" s="446">
        <v>0</v>
      </c>
      <c r="N44" s="446">
        <v>0</v>
      </c>
      <c r="O44" s="445">
        <f>P44+S44+V44</f>
        <v>0</v>
      </c>
      <c r="P44" s="445">
        <f>Q44+R44</f>
        <v>0</v>
      </c>
      <c r="Q44" s="446">
        <v>0</v>
      </c>
      <c r="R44" s="446">
        <v>0</v>
      </c>
      <c r="S44" s="445">
        <f>T44+U44</f>
        <v>0</v>
      </c>
      <c r="T44" s="446">
        <v>0</v>
      </c>
      <c r="U44" s="446">
        <v>0</v>
      </c>
      <c r="V44" s="445">
        <f>W44+X44</f>
        <v>0</v>
      </c>
      <c r="W44" s="446">
        <v>0</v>
      </c>
      <c r="X44" s="446">
        <v>0</v>
      </c>
    </row>
    <row r="45" spans="1:24" s="444" customFormat="1" ht="14.25" customHeight="1" hidden="1">
      <c r="A45" s="1087"/>
      <c r="B45" s="1094"/>
      <c r="C45" s="1108"/>
      <c r="D45" s="1104"/>
      <c r="E45" s="1089"/>
      <c r="F45" s="1089"/>
      <c r="G45" s="1094"/>
      <c r="H45" s="443">
        <v>4863087</v>
      </c>
      <c r="I45" s="443">
        <v>0</v>
      </c>
      <c r="J45" s="1081" t="s">
        <v>22</v>
      </c>
      <c r="K45" s="1079">
        <f aca="true" t="shared" si="5" ref="K45:X45">K42+K44</f>
        <v>807477</v>
      </c>
      <c r="L45" s="1079">
        <f t="shared" si="5"/>
        <v>686355</v>
      </c>
      <c r="M45" s="1080">
        <f t="shared" si="5"/>
        <v>431355</v>
      </c>
      <c r="N45" s="1080">
        <f t="shared" si="5"/>
        <v>255000</v>
      </c>
      <c r="O45" s="1079">
        <f t="shared" si="5"/>
        <v>121122</v>
      </c>
      <c r="P45" s="1079">
        <f t="shared" si="5"/>
        <v>0</v>
      </c>
      <c r="Q45" s="1080">
        <f t="shared" si="5"/>
        <v>0</v>
      </c>
      <c r="R45" s="1080">
        <f t="shared" si="5"/>
        <v>0</v>
      </c>
      <c r="S45" s="1079">
        <f t="shared" si="5"/>
        <v>121122</v>
      </c>
      <c r="T45" s="1080">
        <f t="shared" si="5"/>
        <v>76122</v>
      </c>
      <c r="U45" s="1080">
        <f t="shared" si="5"/>
        <v>45000</v>
      </c>
      <c r="V45" s="1079">
        <f t="shared" si="5"/>
        <v>0</v>
      </c>
      <c r="W45" s="1080">
        <f t="shared" si="5"/>
        <v>0</v>
      </c>
      <c r="X45" s="1080">
        <f t="shared" si="5"/>
        <v>0</v>
      </c>
    </row>
    <row r="46" spans="1:24" s="444" customFormat="1" ht="14.25" customHeight="1" hidden="1">
      <c r="A46" s="1087"/>
      <c r="B46" s="1095"/>
      <c r="C46" s="1109"/>
      <c r="D46" s="1105"/>
      <c r="E46" s="1090"/>
      <c r="F46" s="1090"/>
      <c r="G46" s="1095"/>
      <c r="H46" s="443">
        <v>0</v>
      </c>
      <c r="I46" s="443">
        <v>0</v>
      </c>
      <c r="J46" s="1082"/>
      <c r="K46" s="1079"/>
      <c r="L46" s="1079"/>
      <c r="M46" s="1080"/>
      <c r="N46" s="1080"/>
      <c r="O46" s="1079"/>
      <c r="P46" s="1079"/>
      <c r="Q46" s="1080"/>
      <c r="R46" s="1080"/>
      <c r="S46" s="1079"/>
      <c r="T46" s="1080"/>
      <c r="U46" s="1080"/>
      <c r="V46" s="1079"/>
      <c r="W46" s="1080"/>
      <c r="X46" s="1080"/>
    </row>
    <row r="47" spans="1:24" s="444" customFormat="1" ht="15" customHeight="1" hidden="1">
      <c r="A47" s="1087">
        <v>7</v>
      </c>
      <c r="B47" s="1093" t="s">
        <v>493</v>
      </c>
      <c r="C47" s="1107" t="s">
        <v>494</v>
      </c>
      <c r="D47" s="1103" t="s">
        <v>495</v>
      </c>
      <c r="E47" s="1088" t="s">
        <v>479</v>
      </c>
      <c r="F47" s="1088" t="s">
        <v>489</v>
      </c>
      <c r="G47" s="1093" t="s">
        <v>492</v>
      </c>
      <c r="H47" s="443">
        <f>H48+H49+H50+H51</f>
        <v>23002478</v>
      </c>
      <c r="I47" s="443">
        <f>I48+I49+I50+I51</f>
        <v>0</v>
      </c>
      <c r="J47" s="1081" t="s">
        <v>20</v>
      </c>
      <c r="K47" s="1079">
        <f>L47+O47</f>
        <v>433965</v>
      </c>
      <c r="L47" s="1079">
        <f>M47+N47</f>
        <v>368870</v>
      </c>
      <c r="M47" s="1080">
        <v>283870</v>
      </c>
      <c r="N47" s="1080">
        <v>85000</v>
      </c>
      <c r="O47" s="1079">
        <f>P47+S47+V47</f>
        <v>65095</v>
      </c>
      <c r="P47" s="1079">
        <f>Q47+R47</f>
        <v>0</v>
      </c>
      <c r="Q47" s="1080">
        <v>0</v>
      </c>
      <c r="R47" s="1080">
        <v>0</v>
      </c>
      <c r="S47" s="1079">
        <f>T47+U47</f>
        <v>65095</v>
      </c>
      <c r="T47" s="1080">
        <v>50095</v>
      </c>
      <c r="U47" s="1080">
        <v>15000</v>
      </c>
      <c r="V47" s="1079">
        <f>W47+X47</f>
        <v>0</v>
      </c>
      <c r="W47" s="1080">
        <v>0</v>
      </c>
      <c r="X47" s="1080">
        <v>0</v>
      </c>
    </row>
    <row r="48" spans="1:24" s="444" customFormat="1" ht="14.25" customHeight="1" hidden="1">
      <c r="A48" s="1087"/>
      <c r="B48" s="1094"/>
      <c r="C48" s="1108"/>
      <c r="D48" s="1104"/>
      <c r="E48" s="1089"/>
      <c r="F48" s="1089"/>
      <c r="G48" s="1094"/>
      <c r="H48" s="443">
        <v>21818001</v>
      </c>
      <c r="I48" s="443">
        <v>0</v>
      </c>
      <c r="J48" s="1082"/>
      <c r="K48" s="1079"/>
      <c r="L48" s="1079"/>
      <c r="M48" s="1080"/>
      <c r="N48" s="1080"/>
      <c r="O48" s="1079"/>
      <c r="P48" s="1079"/>
      <c r="Q48" s="1080"/>
      <c r="R48" s="1080"/>
      <c r="S48" s="1079"/>
      <c r="T48" s="1080"/>
      <c r="U48" s="1080"/>
      <c r="V48" s="1079"/>
      <c r="W48" s="1080"/>
      <c r="X48" s="1080"/>
    </row>
    <row r="49" spans="1:24" s="444" customFormat="1" ht="14.25" customHeight="1" hidden="1">
      <c r="A49" s="1087"/>
      <c r="B49" s="1094"/>
      <c r="C49" s="1108"/>
      <c r="D49" s="1104"/>
      <c r="E49" s="1089"/>
      <c r="F49" s="1089"/>
      <c r="G49" s="1094"/>
      <c r="H49" s="443">
        <v>0</v>
      </c>
      <c r="I49" s="443">
        <v>0</v>
      </c>
      <c r="J49" s="443" t="s">
        <v>21</v>
      </c>
      <c r="K49" s="445">
        <f>L49+O49</f>
        <v>0</v>
      </c>
      <c r="L49" s="445">
        <f>M49+N49</f>
        <v>0</v>
      </c>
      <c r="M49" s="446">
        <v>0</v>
      </c>
      <c r="N49" s="446">
        <v>0</v>
      </c>
      <c r="O49" s="445">
        <f>P49+S49+V49</f>
        <v>0</v>
      </c>
      <c r="P49" s="445">
        <f>Q49+R49</f>
        <v>0</v>
      </c>
      <c r="Q49" s="446">
        <v>0</v>
      </c>
      <c r="R49" s="446">
        <v>0</v>
      </c>
      <c r="S49" s="445">
        <f>T49+U49</f>
        <v>0</v>
      </c>
      <c r="T49" s="446">
        <v>0</v>
      </c>
      <c r="U49" s="446">
        <v>0</v>
      </c>
      <c r="V49" s="445">
        <f>W49+X49</f>
        <v>0</v>
      </c>
      <c r="W49" s="446">
        <v>0</v>
      </c>
      <c r="X49" s="446">
        <v>0</v>
      </c>
    </row>
    <row r="50" spans="1:24" s="444" customFormat="1" ht="14.25" customHeight="1" hidden="1">
      <c r="A50" s="1087"/>
      <c r="B50" s="1094"/>
      <c r="C50" s="1108"/>
      <c r="D50" s="1104"/>
      <c r="E50" s="1089"/>
      <c r="F50" s="1089"/>
      <c r="G50" s="1094"/>
      <c r="H50" s="443">
        <v>1184477</v>
      </c>
      <c r="I50" s="443">
        <v>0</v>
      </c>
      <c r="J50" s="1081" t="s">
        <v>22</v>
      </c>
      <c r="K50" s="1079">
        <f aca="true" t="shared" si="6" ref="K50:X50">K47+K49</f>
        <v>433965</v>
      </c>
      <c r="L50" s="1079">
        <f t="shared" si="6"/>
        <v>368870</v>
      </c>
      <c r="M50" s="1080">
        <f t="shared" si="6"/>
        <v>283870</v>
      </c>
      <c r="N50" s="1080">
        <f t="shared" si="6"/>
        <v>85000</v>
      </c>
      <c r="O50" s="1079">
        <f t="shared" si="6"/>
        <v>65095</v>
      </c>
      <c r="P50" s="1079">
        <f t="shared" si="6"/>
        <v>0</v>
      </c>
      <c r="Q50" s="1080">
        <f t="shared" si="6"/>
        <v>0</v>
      </c>
      <c r="R50" s="1080">
        <f t="shared" si="6"/>
        <v>0</v>
      </c>
      <c r="S50" s="1079">
        <f t="shared" si="6"/>
        <v>65095</v>
      </c>
      <c r="T50" s="1080">
        <f t="shared" si="6"/>
        <v>50095</v>
      </c>
      <c r="U50" s="1080">
        <f t="shared" si="6"/>
        <v>15000</v>
      </c>
      <c r="V50" s="1079">
        <f t="shared" si="6"/>
        <v>0</v>
      </c>
      <c r="W50" s="1080">
        <f t="shared" si="6"/>
        <v>0</v>
      </c>
      <c r="X50" s="1080">
        <f t="shared" si="6"/>
        <v>0</v>
      </c>
    </row>
    <row r="51" spans="1:24" s="444" customFormat="1" ht="14.25" customHeight="1" hidden="1">
      <c r="A51" s="1087"/>
      <c r="B51" s="1095"/>
      <c r="C51" s="1109"/>
      <c r="D51" s="1105"/>
      <c r="E51" s="1090"/>
      <c r="F51" s="1090"/>
      <c r="G51" s="1095"/>
      <c r="H51" s="443">
        <v>0</v>
      </c>
      <c r="I51" s="443">
        <v>0</v>
      </c>
      <c r="J51" s="1082"/>
      <c r="K51" s="1079"/>
      <c r="L51" s="1079"/>
      <c r="M51" s="1080"/>
      <c r="N51" s="1080"/>
      <c r="O51" s="1079"/>
      <c r="P51" s="1079"/>
      <c r="Q51" s="1080"/>
      <c r="R51" s="1080"/>
      <c r="S51" s="1079"/>
      <c r="T51" s="1080"/>
      <c r="U51" s="1080"/>
      <c r="V51" s="1079"/>
      <c r="W51" s="1080"/>
      <c r="X51" s="1080"/>
    </row>
    <row r="52" spans="1:24" s="444" customFormat="1" ht="15" customHeight="1" hidden="1">
      <c r="A52" s="1087">
        <v>8</v>
      </c>
      <c r="B52" s="1093" t="s">
        <v>496</v>
      </c>
      <c r="C52" s="1107" t="s">
        <v>497</v>
      </c>
      <c r="D52" s="1103" t="s">
        <v>498</v>
      </c>
      <c r="E52" s="1088" t="s">
        <v>479</v>
      </c>
      <c r="F52" s="1088" t="s">
        <v>499</v>
      </c>
      <c r="G52" s="1093" t="s">
        <v>492</v>
      </c>
      <c r="H52" s="443">
        <f>H53+H54+H55+H56</f>
        <v>523648</v>
      </c>
      <c r="I52" s="443">
        <f>I53+I54+I55+I56</f>
        <v>0</v>
      </c>
      <c r="J52" s="1081" t="s">
        <v>20</v>
      </c>
      <c r="K52" s="1079">
        <f>L52+O52</f>
        <v>17796</v>
      </c>
      <c r="L52" s="1079">
        <f>M52+N52</f>
        <v>0</v>
      </c>
      <c r="M52" s="1080">
        <v>0</v>
      </c>
      <c r="N52" s="1080">
        <v>0</v>
      </c>
      <c r="O52" s="1079">
        <f>P52+S52+V52</f>
        <v>17796</v>
      </c>
      <c r="P52" s="1079">
        <f>Q52+R52</f>
        <v>0</v>
      </c>
      <c r="Q52" s="1080">
        <v>0</v>
      </c>
      <c r="R52" s="1080">
        <v>0</v>
      </c>
      <c r="S52" s="1079">
        <f>T52+U52</f>
        <v>17796</v>
      </c>
      <c r="T52" s="1080">
        <v>0</v>
      </c>
      <c r="U52" s="1080">
        <v>17796</v>
      </c>
      <c r="V52" s="1079">
        <f>W52+X52</f>
        <v>0</v>
      </c>
      <c r="W52" s="1080">
        <v>0</v>
      </c>
      <c r="X52" s="1080">
        <v>0</v>
      </c>
    </row>
    <row r="53" spans="1:24" s="444" customFormat="1" ht="14.25" customHeight="1" hidden="1">
      <c r="A53" s="1087"/>
      <c r="B53" s="1094"/>
      <c r="C53" s="1108"/>
      <c r="D53" s="1104"/>
      <c r="E53" s="1089"/>
      <c r="F53" s="1089"/>
      <c r="G53" s="1094"/>
      <c r="H53" s="443">
        <v>0</v>
      </c>
      <c r="I53" s="443">
        <v>0</v>
      </c>
      <c r="J53" s="1082"/>
      <c r="K53" s="1079"/>
      <c r="L53" s="1079"/>
      <c r="M53" s="1080"/>
      <c r="N53" s="1080"/>
      <c r="O53" s="1079"/>
      <c r="P53" s="1079"/>
      <c r="Q53" s="1080"/>
      <c r="R53" s="1080"/>
      <c r="S53" s="1079"/>
      <c r="T53" s="1080"/>
      <c r="U53" s="1080"/>
      <c r="V53" s="1079"/>
      <c r="W53" s="1080"/>
      <c r="X53" s="1080"/>
    </row>
    <row r="54" spans="1:24" s="444" customFormat="1" ht="14.25" customHeight="1" hidden="1">
      <c r="A54" s="1087"/>
      <c r="B54" s="1094"/>
      <c r="C54" s="1108"/>
      <c r="D54" s="1104"/>
      <c r="E54" s="1089"/>
      <c r="F54" s="1089"/>
      <c r="G54" s="1094"/>
      <c r="H54" s="443">
        <v>0</v>
      </c>
      <c r="I54" s="443">
        <v>0</v>
      </c>
      <c r="J54" s="443" t="s">
        <v>21</v>
      </c>
      <c r="K54" s="445">
        <f>L54+O54</f>
        <v>0</v>
      </c>
      <c r="L54" s="445">
        <f>M54+N54</f>
        <v>0</v>
      </c>
      <c r="M54" s="446">
        <v>0</v>
      </c>
      <c r="N54" s="446">
        <v>0</v>
      </c>
      <c r="O54" s="445">
        <f>P54+S54+V54</f>
        <v>0</v>
      </c>
      <c r="P54" s="445">
        <f>Q54+R54</f>
        <v>0</v>
      </c>
      <c r="Q54" s="446">
        <v>0</v>
      </c>
      <c r="R54" s="446">
        <v>0</v>
      </c>
      <c r="S54" s="445">
        <f>T54+U54</f>
        <v>0</v>
      </c>
      <c r="T54" s="446">
        <v>0</v>
      </c>
      <c r="U54" s="446">
        <v>0</v>
      </c>
      <c r="V54" s="445">
        <f>W54+X54</f>
        <v>0</v>
      </c>
      <c r="W54" s="446">
        <v>0</v>
      </c>
      <c r="X54" s="446">
        <v>0</v>
      </c>
    </row>
    <row r="55" spans="1:24" s="444" customFormat="1" ht="14.25" customHeight="1" hidden="1">
      <c r="A55" s="1087"/>
      <c r="B55" s="1094"/>
      <c r="C55" s="1108"/>
      <c r="D55" s="1104"/>
      <c r="E55" s="1089"/>
      <c r="F55" s="1089"/>
      <c r="G55" s="1094"/>
      <c r="H55" s="443">
        <v>523648</v>
      </c>
      <c r="I55" s="443">
        <v>0</v>
      </c>
      <c r="J55" s="1081" t="s">
        <v>22</v>
      </c>
      <c r="K55" s="1079">
        <f aca="true" t="shared" si="7" ref="K55:X55">K52+K54</f>
        <v>17796</v>
      </c>
      <c r="L55" s="1079">
        <f t="shared" si="7"/>
        <v>0</v>
      </c>
      <c r="M55" s="1080">
        <f t="shared" si="7"/>
        <v>0</v>
      </c>
      <c r="N55" s="1080">
        <f t="shared" si="7"/>
        <v>0</v>
      </c>
      <c r="O55" s="1079">
        <f t="shared" si="7"/>
        <v>17796</v>
      </c>
      <c r="P55" s="1079">
        <f t="shared" si="7"/>
        <v>0</v>
      </c>
      <c r="Q55" s="1080">
        <f t="shared" si="7"/>
        <v>0</v>
      </c>
      <c r="R55" s="1080">
        <f t="shared" si="7"/>
        <v>0</v>
      </c>
      <c r="S55" s="1079">
        <f t="shared" si="7"/>
        <v>17796</v>
      </c>
      <c r="T55" s="1080">
        <f t="shared" si="7"/>
        <v>0</v>
      </c>
      <c r="U55" s="1080">
        <f t="shared" si="7"/>
        <v>17796</v>
      </c>
      <c r="V55" s="1079">
        <f t="shared" si="7"/>
        <v>0</v>
      </c>
      <c r="W55" s="1080">
        <f t="shared" si="7"/>
        <v>0</v>
      </c>
      <c r="X55" s="1080">
        <f t="shared" si="7"/>
        <v>0</v>
      </c>
    </row>
    <row r="56" spans="1:24" s="444" customFormat="1" ht="14.25" customHeight="1" hidden="1">
      <c r="A56" s="1087"/>
      <c r="B56" s="1095"/>
      <c r="C56" s="1109"/>
      <c r="D56" s="1105"/>
      <c r="E56" s="1090"/>
      <c r="F56" s="1090"/>
      <c r="G56" s="1095"/>
      <c r="H56" s="443">
        <v>0</v>
      </c>
      <c r="I56" s="443">
        <v>0</v>
      </c>
      <c r="J56" s="1082"/>
      <c r="K56" s="1079"/>
      <c r="L56" s="1079"/>
      <c r="M56" s="1080"/>
      <c r="N56" s="1080"/>
      <c r="O56" s="1079"/>
      <c r="P56" s="1079"/>
      <c r="Q56" s="1080"/>
      <c r="R56" s="1080"/>
      <c r="S56" s="1079"/>
      <c r="T56" s="1080"/>
      <c r="U56" s="1080"/>
      <c r="V56" s="1079"/>
      <c r="W56" s="1080"/>
      <c r="X56" s="1080"/>
    </row>
    <row r="57" spans="1:24" s="444" customFormat="1" ht="15" customHeight="1">
      <c r="A57" s="1087">
        <v>1</v>
      </c>
      <c r="B57" s="1093" t="s">
        <v>496</v>
      </c>
      <c r="C57" s="1107" t="s">
        <v>497</v>
      </c>
      <c r="D57" s="1103" t="s">
        <v>500</v>
      </c>
      <c r="E57" s="1088" t="s">
        <v>501</v>
      </c>
      <c r="F57" s="1088" t="s">
        <v>499</v>
      </c>
      <c r="G57" s="1093" t="s">
        <v>492</v>
      </c>
      <c r="H57" s="443">
        <f>H58+H59+H60+H61</f>
        <v>8828864</v>
      </c>
      <c r="I57" s="443">
        <f>I58+I59+I60+I61</f>
        <v>0</v>
      </c>
      <c r="J57" s="1081" t="s">
        <v>20</v>
      </c>
      <c r="K57" s="1079">
        <f>L57+O57</f>
        <v>48006</v>
      </c>
      <c r="L57" s="1079">
        <f>M57+N57</f>
        <v>0</v>
      </c>
      <c r="M57" s="1080">
        <v>0</v>
      </c>
      <c r="N57" s="1080">
        <v>0</v>
      </c>
      <c r="O57" s="1079">
        <f>P57+S57+V57</f>
        <v>48006</v>
      </c>
      <c r="P57" s="1079">
        <f>Q57+R57</f>
        <v>0</v>
      </c>
      <c r="Q57" s="1080">
        <v>0</v>
      </c>
      <c r="R57" s="1080">
        <v>0</v>
      </c>
      <c r="S57" s="1079">
        <f>T57+U57</f>
        <v>48006</v>
      </c>
      <c r="T57" s="1080">
        <v>0</v>
      </c>
      <c r="U57" s="1080">
        <v>48006</v>
      </c>
      <c r="V57" s="1079">
        <f>W57+X57</f>
        <v>0</v>
      </c>
      <c r="W57" s="1080">
        <v>0</v>
      </c>
      <c r="X57" s="1080">
        <v>0</v>
      </c>
    </row>
    <row r="58" spans="1:24" s="444" customFormat="1" ht="14.25" customHeight="1">
      <c r="A58" s="1087"/>
      <c r="B58" s="1094"/>
      <c r="C58" s="1108"/>
      <c r="D58" s="1104"/>
      <c r="E58" s="1089"/>
      <c r="F58" s="1089"/>
      <c r="G58" s="1094"/>
      <c r="H58" s="443">
        <v>5297318</v>
      </c>
      <c r="I58" s="443">
        <v>0</v>
      </c>
      <c r="J58" s="1082"/>
      <c r="K58" s="1079"/>
      <c r="L58" s="1079"/>
      <c r="M58" s="1080"/>
      <c r="N58" s="1080"/>
      <c r="O58" s="1079"/>
      <c r="P58" s="1079"/>
      <c r="Q58" s="1080"/>
      <c r="R58" s="1080"/>
      <c r="S58" s="1079"/>
      <c r="T58" s="1080"/>
      <c r="U58" s="1080"/>
      <c r="V58" s="1079"/>
      <c r="W58" s="1080"/>
      <c r="X58" s="1080"/>
    </row>
    <row r="59" spans="1:24" s="444" customFormat="1" ht="14.25" customHeight="1">
      <c r="A59" s="1087"/>
      <c r="B59" s="1094"/>
      <c r="C59" s="1108"/>
      <c r="D59" s="1104"/>
      <c r="E59" s="1089"/>
      <c r="F59" s="1089"/>
      <c r="G59" s="1094"/>
      <c r="H59" s="443">
        <v>0</v>
      </c>
      <c r="I59" s="443">
        <v>0</v>
      </c>
      <c r="J59" s="443" t="s">
        <v>21</v>
      </c>
      <c r="K59" s="445">
        <f>L59+O59</f>
        <v>465046</v>
      </c>
      <c r="L59" s="445">
        <f>M59+N59</f>
        <v>307831</v>
      </c>
      <c r="M59" s="446">
        <v>0</v>
      </c>
      <c r="N59" s="446">
        <v>307831</v>
      </c>
      <c r="O59" s="445">
        <f>P59+S59+V59</f>
        <v>157215</v>
      </c>
      <c r="P59" s="445">
        <f>Q59+R59</f>
        <v>0</v>
      </c>
      <c r="Q59" s="446">
        <v>0</v>
      </c>
      <c r="R59" s="446">
        <v>0</v>
      </c>
      <c r="S59" s="445">
        <f>T59+U59</f>
        <v>34083</v>
      </c>
      <c r="T59" s="446">
        <v>0</v>
      </c>
      <c r="U59" s="446">
        <v>34083</v>
      </c>
      <c r="V59" s="445">
        <f>W59+X59</f>
        <v>123132</v>
      </c>
      <c r="W59" s="446">
        <v>0</v>
      </c>
      <c r="X59" s="446">
        <v>123132</v>
      </c>
    </row>
    <row r="60" spans="1:24" s="444" customFormat="1" ht="14.25" customHeight="1">
      <c r="A60" s="1087"/>
      <c r="B60" s="1094"/>
      <c r="C60" s="1108"/>
      <c r="D60" s="1104"/>
      <c r="E60" s="1089"/>
      <c r="F60" s="1089"/>
      <c r="G60" s="1094"/>
      <c r="H60" s="443">
        <v>1412619</v>
      </c>
      <c r="I60" s="443">
        <v>0</v>
      </c>
      <c r="J60" s="1081" t="s">
        <v>22</v>
      </c>
      <c r="K60" s="1079">
        <f aca="true" t="shared" si="8" ref="K60:X60">K57+K59</f>
        <v>513052</v>
      </c>
      <c r="L60" s="1079">
        <f t="shared" si="8"/>
        <v>307831</v>
      </c>
      <c r="M60" s="1080">
        <f t="shared" si="8"/>
        <v>0</v>
      </c>
      <c r="N60" s="1080">
        <f t="shared" si="8"/>
        <v>307831</v>
      </c>
      <c r="O60" s="1079">
        <f t="shared" si="8"/>
        <v>205221</v>
      </c>
      <c r="P60" s="1079">
        <f t="shared" si="8"/>
        <v>0</v>
      </c>
      <c r="Q60" s="1080">
        <f t="shared" si="8"/>
        <v>0</v>
      </c>
      <c r="R60" s="1080">
        <f t="shared" si="8"/>
        <v>0</v>
      </c>
      <c r="S60" s="1079">
        <f t="shared" si="8"/>
        <v>82089</v>
      </c>
      <c r="T60" s="1080">
        <f t="shared" si="8"/>
        <v>0</v>
      </c>
      <c r="U60" s="1080">
        <f t="shared" si="8"/>
        <v>82089</v>
      </c>
      <c r="V60" s="1079">
        <f t="shared" si="8"/>
        <v>123132</v>
      </c>
      <c r="W60" s="1080">
        <f t="shared" si="8"/>
        <v>0</v>
      </c>
      <c r="X60" s="1080">
        <f t="shared" si="8"/>
        <v>123132</v>
      </c>
    </row>
    <row r="61" spans="1:24" s="444" customFormat="1" ht="14.25" customHeight="1">
      <c r="A61" s="1087"/>
      <c r="B61" s="1095"/>
      <c r="C61" s="1109"/>
      <c r="D61" s="1105"/>
      <c r="E61" s="1090"/>
      <c r="F61" s="1090"/>
      <c r="G61" s="1095"/>
      <c r="H61" s="443">
        <v>2118927</v>
      </c>
      <c r="I61" s="443">
        <v>0</v>
      </c>
      <c r="J61" s="1082"/>
      <c r="K61" s="1079"/>
      <c r="L61" s="1079"/>
      <c r="M61" s="1080"/>
      <c r="N61" s="1080"/>
      <c r="O61" s="1079"/>
      <c r="P61" s="1079"/>
      <c r="Q61" s="1080"/>
      <c r="R61" s="1080"/>
      <c r="S61" s="1079"/>
      <c r="T61" s="1080"/>
      <c r="U61" s="1080"/>
      <c r="V61" s="1079"/>
      <c r="W61" s="1080"/>
      <c r="X61" s="1080"/>
    </row>
    <row r="62" spans="1:24" s="444" customFormat="1" ht="15" customHeight="1" hidden="1">
      <c r="A62" s="1087">
        <v>10</v>
      </c>
      <c r="B62" s="1093" t="s">
        <v>502</v>
      </c>
      <c r="C62" s="1107" t="s">
        <v>503</v>
      </c>
      <c r="D62" s="1103" t="s">
        <v>504</v>
      </c>
      <c r="E62" s="1088" t="s">
        <v>505</v>
      </c>
      <c r="F62" s="1088" t="s">
        <v>506</v>
      </c>
      <c r="G62" s="1093" t="s">
        <v>481</v>
      </c>
      <c r="H62" s="443">
        <f>H63+H64+H65+H66</f>
        <v>5725128</v>
      </c>
      <c r="I62" s="443">
        <f>I63+I64+I65+I66</f>
        <v>0</v>
      </c>
      <c r="J62" s="1081" t="s">
        <v>20</v>
      </c>
      <c r="K62" s="1079">
        <f>L62+O62</f>
        <v>3063164</v>
      </c>
      <c r="L62" s="1079">
        <f>M62+N62</f>
        <v>2603688</v>
      </c>
      <c r="M62" s="1080">
        <v>13738</v>
      </c>
      <c r="N62" s="1080">
        <v>2589950</v>
      </c>
      <c r="O62" s="1079">
        <f>P62+S62+V62</f>
        <v>459476</v>
      </c>
      <c r="P62" s="1079">
        <f>Q62+R62</f>
        <v>0</v>
      </c>
      <c r="Q62" s="1080">
        <v>0</v>
      </c>
      <c r="R62" s="1080">
        <v>0</v>
      </c>
      <c r="S62" s="1079">
        <f>T62+U62</f>
        <v>30633</v>
      </c>
      <c r="T62" s="1080">
        <v>2425</v>
      </c>
      <c r="U62" s="1080">
        <v>28208</v>
      </c>
      <c r="V62" s="1079">
        <f>W62+X62</f>
        <v>428843</v>
      </c>
      <c r="W62" s="1080">
        <v>0</v>
      </c>
      <c r="X62" s="1080">
        <v>428843</v>
      </c>
    </row>
    <row r="63" spans="1:24" s="444" customFormat="1" ht="14.25" customHeight="1" hidden="1">
      <c r="A63" s="1087"/>
      <c r="B63" s="1094"/>
      <c r="C63" s="1108"/>
      <c r="D63" s="1104"/>
      <c r="E63" s="1089"/>
      <c r="F63" s="1089"/>
      <c r="G63" s="1094"/>
      <c r="H63" s="443">
        <v>4872944</v>
      </c>
      <c r="I63" s="443">
        <v>0</v>
      </c>
      <c r="J63" s="1082"/>
      <c r="K63" s="1079"/>
      <c r="L63" s="1079"/>
      <c r="M63" s="1080"/>
      <c r="N63" s="1080"/>
      <c r="O63" s="1079"/>
      <c r="P63" s="1079"/>
      <c r="Q63" s="1080"/>
      <c r="R63" s="1080"/>
      <c r="S63" s="1079"/>
      <c r="T63" s="1080"/>
      <c r="U63" s="1080"/>
      <c r="V63" s="1079"/>
      <c r="W63" s="1080"/>
      <c r="X63" s="1080"/>
    </row>
    <row r="64" spans="1:24" s="444" customFormat="1" ht="14.25" customHeight="1" hidden="1">
      <c r="A64" s="1087"/>
      <c r="B64" s="1094"/>
      <c r="C64" s="1108"/>
      <c r="D64" s="1104"/>
      <c r="E64" s="1089"/>
      <c r="F64" s="1089"/>
      <c r="G64" s="1094"/>
      <c r="H64" s="443">
        <v>0</v>
      </c>
      <c r="I64" s="443">
        <v>0</v>
      </c>
      <c r="J64" s="443" t="s">
        <v>21</v>
      </c>
      <c r="K64" s="445">
        <f>L64+O64</f>
        <v>0</v>
      </c>
      <c r="L64" s="445">
        <f>M64+N64</f>
        <v>0</v>
      </c>
      <c r="M64" s="446">
        <v>0</v>
      </c>
      <c r="N64" s="446">
        <v>0</v>
      </c>
      <c r="O64" s="445">
        <f>P64+S64+V64</f>
        <v>0</v>
      </c>
      <c r="P64" s="445">
        <f>Q64+R64</f>
        <v>0</v>
      </c>
      <c r="Q64" s="446">
        <v>0</v>
      </c>
      <c r="R64" s="446">
        <v>0</v>
      </c>
      <c r="S64" s="445">
        <f>T64+U64</f>
        <v>0</v>
      </c>
      <c r="T64" s="446">
        <v>0</v>
      </c>
      <c r="U64" s="446">
        <v>0</v>
      </c>
      <c r="V64" s="445">
        <f>W64+X64</f>
        <v>0</v>
      </c>
      <c r="W64" s="446">
        <v>0</v>
      </c>
      <c r="X64" s="446">
        <v>0</v>
      </c>
    </row>
    <row r="65" spans="1:24" s="444" customFormat="1" ht="14.25" customHeight="1" hidden="1">
      <c r="A65" s="1087"/>
      <c r="B65" s="1094"/>
      <c r="C65" s="1108"/>
      <c r="D65" s="1104"/>
      <c r="E65" s="1089"/>
      <c r="F65" s="1089"/>
      <c r="G65" s="1094"/>
      <c r="H65" s="443">
        <v>57330</v>
      </c>
      <c r="I65" s="443">
        <v>0</v>
      </c>
      <c r="J65" s="1081" t="s">
        <v>22</v>
      </c>
      <c r="K65" s="1079">
        <f aca="true" t="shared" si="9" ref="K65:X65">K62+K64</f>
        <v>3063164</v>
      </c>
      <c r="L65" s="1079">
        <f t="shared" si="9"/>
        <v>2603688</v>
      </c>
      <c r="M65" s="1080">
        <f t="shared" si="9"/>
        <v>13738</v>
      </c>
      <c r="N65" s="1080">
        <f t="shared" si="9"/>
        <v>2589950</v>
      </c>
      <c r="O65" s="1079">
        <f t="shared" si="9"/>
        <v>459476</v>
      </c>
      <c r="P65" s="1079">
        <f t="shared" si="9"/>
        <v>0</v>
      </c>
      <c r="Q65" s="1080">
        <f t="shared" si="9"/>
        <v>0</v>
      </c>
      <c r="R65" s="1080">
        <f t="shared" si="9"/>
        <v>0</v>
      </c>
      <c r="S65" s="1079">
        <f t="shared" si="9"/>
        <v>30633</v>
      </c>
      <c r="T65" s="1080">
        <f t="shared" si="9"/>
        <v>2425</v>
      </c>
      <c r="U65" s="1080">
        <f t="shared" si="9"/>
        <v>28208</v>
      </c>
      <c r="V65" s="1079">
        <f t="shared" si="9"/>
        <v>428843</v>
      </c>
      <c r="W65" s="1080">
        <f t="shared" si="9"/>
        <v>0</v>
      </c>
      <c r="X65" s="1080">
        <f t="shared" si="9"/>
        <v>428843</v>
      </c>
    </row>
    <row r="66" spans="1:24" s="444" customFormat="1" ht="14.25" customHeight="1" hidden="1">
      <c r="A66" s="1087"/>
      <c r="B66" s="1095"/>
      <c r="C66" s="1109"/>
      <c r="D66" s="1105"/>
      <c r="E66" s="1090"/>
      <c r="F66" s="1090"/>
      <c r="G66" s="1095"/>
      <c r="H66" s="443">
        <v>794854</v>
      </c>
      <c r="I66" s="443">
        <v>0</v>
      </c>
      <c r="J66" s="1082"/>
      <c r="K66" s="1079"/>
      <c r="L66" s="1079"/>
      <c r="M66" s="1080"/>
      <c r="N66" s="1080"/>
      <c r="O66" s="1079"/>
      <c r="P66" s="1079"/>
      <c r="Q66" s="1080"/>
      <c r="R66" s="1080"/>
      <c r="S66" s="1079"/>
      <c r="T66" s="1080"/>
      <c r="U66" s="1080"/>
      <c r="V66" s="1079"/>
      <c r="W66" s="1080"/>
      <c r="X66" s="1080"/>
    </row>
    <row r="67" spans="1:24" s="444" customFormat="1" ht="15" customHeight="1" hidden="1">
      <c r="A67" s="1087">
        <v>11</v>
      </c>
      <c r="B67" s="1083" t="s">
        <v>502</v>
      </c>
      <c r="C67" s="1085" t="s">
        <v>503</v>
      </c>
      <c r="D67" s="1106" t="s">
        <v>507</v>
      </c>
      <c r="E67" s="1087" t="s">
        <v>505</v>
      </c>
      <c r="F67" s="1087" t="s">
        <v>506</v>
      </c>
      <c r="G67" s="1083" t="s">
        <v>481</v>
      </c>
      <c r="H67" s="443">
        <f>H68+H69+H70+H71</f>
        <v>1544957</v>
      </c>
      <c r="I67" s="443">
        <f>I68+I69+I70+I71</f>
        <v>0</v>
      </c>
      <c r="J67" s="1081" t="s">
        <v>20</v>
      </c>
      <c r="K67" s="1079">
        <f>L67+O67</f>
        <v>1347423</v>
      </c>
      <c r="L67" s="1079">
        <f>M67+N67</f>
        <v>1145308</v>
      </c>
      <c r="M67" s="1080">
        <v>13738</v>
      </c>
      <c r="N67" s="1080">
        <v>1131570</v>
      </c>
      <c r="O67" s="1079">
        <f>P67+S67+V67</f>
        <v>202115</v>
      </c>
      <c r="P67" s="1079">
        <f>Q67+R67</f>
        <v>0</v>
      </c>
      <c r="Q67" s="1080">
        <v>0</v>
      </c>
      <c r="R67" s="1080">
        <v>0</v>
      </c>
      <c r="S67" s="1079">
        <f>T67+U67</f>
        <v>13511</v>
      </c>
      <c r="T67" s="1080">
        <v>2425</v>
      </c>
      <c r="U67" s="1080">
        <v>11086</v>
      </c>
      <c r="V67" s="1079">
        <f>W67+X67</f>
        <v>188604</v>
      </c>
      <c r="W67" s="1080">
        <v>0</v>
      </c>
      <c r="X67" s="1080">
        <v>188604</v>
      </c>
    </row>
    <row r="68" spans="1:24" s="444" customFormat="1" ht="14.25" customHeight="1" hidden="1">
      <c r="A68" s="1087"/>
      <c r="B68" s="1083"/>
      <c r="C68" s="1085"/>
      <c r="D68" s="1106"/>
      <c r="E68" s="1087"/>
      <c r="F68" s="1087"/>
      <c r="G68" s="1083"/>
      <c r="H68" s="443">
        <v>1327744</v>
      </c>
      <c r="I68" s="443">
        <v>0</v>
      </c>
      <c r="J68" s="1082"/>
      <c r="K68" s="1079"/>
      <c r="L68" s="1079"/>
      <c r="M68" s="1080"/>
      <c r="N68" s="1080"/>
      <c r="O68" s="1079"/>
      <c r="P68" s="1079"/>
      <c r="Q68" s="1080"/>
      <c r="R68" s="1080"/>
      <c r="S68" s="1079"/>
      <c r="T68" s="1080"/>
      <c r="U68" s="1080"/>
      <c r="V68" s="1079"/>
      <c r="W68" s="1080"/>
      <c r="X68" s="1080"/>
    </row>
    <row r="69" spans="1:24" s="444" customFormat="1" ht="14.25" customHeight="1" hidden="1">
      <c r="A69" s="1087"/>
      <c r="B69" s="1083"/>
      <c r="C69" s="1085"/>
      <c r="D69" s="1106"/>
      <c r="E69" s="1087"/>
      <c r="F69" s="1087"/>
      <c r="G69" s="1083"/>
      <c r="H69" s="443">
        <v>0</v>
      </c>
      <c r="I69" s="443">
        <v>0</v>
      </c>
      <c r="J69" s="443" t="s">
        <v>21</v>
      </c>
      <c r="K69" s="445">
        <f>L69+O69</f>
        <v>0</v>
      </c>
      <c r="L69" s="445">
        <f>M69+N69</f>
        <v>0</v>
      </c>
      <c r="M69" s="446">
        <v>0</v>
      </c>
      <c r="N69" s="446">
        <v>0</v>
      </c>
      <c r="O69" s="445">
        <f>P69+S69+V69</f>
        <v>0</v>
      </c>
      <c r="P69" s="445">
        <f>Q69+R69</f>
        <v>0</v>
      </c>
      <c r="Q69" s="446">
        <v>0</v>
      </c>
      <c r="R69" s="446">
        <v>0</v>
      </c>
      <c r="S69" s="445">
        <f>T69+U69</f>
        <v>0</v>
      </c>
      <c r="T69" s="446">
        <v>0</v>
      </c>
      <c r="U69" s="446">
        <v>0</v>
      </c>
      <c r="V69" s="445">
        <f>W69+X69</f>
        <v>0</v>
      </c>
      <c r="W69" s="446">
        <v>0</v>
      </c>
      <c r="X69" s="446">
        <v>0</v>
      </c>
    </row>
    <row r="70" spans="1:24" s="444" customFormat="1" ht="14.25" customHeight="1" hidden="1">
      <c r="A70" s="1087"/>
      <c r="B70" s="1083"/>
      <c r="C70" s="1085"/>
      <c r="D70" s="1106"/>
      <c r="E70" s="1087"/>
      <c r="F70" s="1087"/>
      <c r="G70" s="1083"/>
      <c r="H70" s="443">
        <v>15621</v>
      </c>
      <c r="I70" s="443">
        <v>0</v>
      </c>
      <c r="J70" s="1081" t="s">
        <v>22</v>
      </c>
      <c r="K70" s="1079">
        <f aca="true" t="shared" si="10" ref="K70:X70">K67+K69</f>
        <v>1347423</v>
      </c>
      <c r="L70" s="1079">
        <f t="shared" si="10"/>
        <v>1145308</v>
      </c>
      <c r="M70" s="1080">
        <f t="shared" si="10"/>
        <v>13738</v>
      </c>
      <c r="N70" s="1080">
        <f t="shared" si="10"/>
        <v>1131570</v>
      </c>
      <c r="O70" s="1079">
        <f t="shared" si="10"/>
        <v>202115</v>
      </c>
      <c r="P70" s="1079">
        <f t="shared" si="10"/>
        <v>0</v>
      </c>
      <c r="Q70" s="1080">
        <f t="shared" si="10"/>
        <v>0</v>
      </c>
      <c r="R70" s="1080">
        <f t="shared" si="10"/>
        <v>0</v>
      </c>
      <c r="S70" s="1079">
        <f t="shared" si="10"/>
        <v>13511</v>
      </c>
      <c r="T70" s="1080">
        <f t="shared" si="10"/>
        <v>2425</v>
      </c>
      <c r="U70" s="1080">
        <f t="shared" si="10"/>
        <v>11086</v>
      </c>
      <c r="V70" s="1079">
        <f t="shared" si="10"/>
        <v>188604</v>
      </c>
      <c r="W70" s="1080">
        <f t="shared" si="10"/>
        <v>0</v>
      </c>
      <c r="X70" s="1080">
        <f t="shared" si="10"/>
        <v>188604</v>
      </c>
    </row>
    <row r="71" spans="1:24" s="444" customFormat="1" ht="14.25" customHeight="1" hidden="1">
      <c r="A71" s="1087"/>
      <c r="B71" s="1083"/>
      <c r="C71" s="1085"/>
      <c r="D71" s="1106"/>
      <c r="E71" s="1087"/>
      <c r="F71" s="1087"/>
      <c r="G71" s="1083"/>
      <c r="H71" s="443">
        <v>201592</v>
      </c>
      <c r="I71" s="443">
        <v>0</v>
      </c>
      <c r="J71" s="1082"/>
      <c r="K71" s="1079"/>
      <c r="L71" s="1079"/>
      <c r="M71" s="1080"/>
      <c r="N71" s="1080"/>
      <c r="O71" s="1079"/>
      <c r="P71" s="1079"/>
      <c r="Q71" s="1080"/>
      <c r="R71" s="1080"/>
      <c r="S71" s="1079"/>
      <c r="T71" s="1080"/>
      <c r="U71" s="1080"/>
      <c r="V71" s="1079"/>
      <c r="W71" s="1080"/>
      <c r="X71" s="1080"/>
    </row>
    <row r="72" spans="1:24" s="444" customFormat="1" ht="15" customHeight="1" hidden="1">
      <c r="A72" s="1087">
        <v>12</v>
      </c>
      <c r="B72" s="1083" t="s">
        <v>502</v>
      </c>
      <c r="C72" s="1085" t="s">
        <v>503</v>
      </c>
      <c r="D72" s="1106" t="s">
        <v>508</v>
      </c>
      <c r="E72" s="1087" t="s">
        <v>505</v>
      </c>
      <c r="F72" s="1087" t="s">
        <v>506</v>
      </c>
      <c r="G72" s="1083" t="s">
        <v>481</v>
      </c>
      <c r="H72" s="443">
        <f>H73+H74+H75+H76</f>
        <v>8960490</v>
      </c>
      <c r="I72" s="443">
        <f>I73+I74+I75+I76</f>
        <v>0</v>
      </c>
      <c r="J72" s="1081" t="s">
        <v>20</v>
      </c>
      <c r="K72" s="1079">
        <f>L72+O72</f>
        <v>5080163</v>
      </c>
      <c r="L72" s="1079">
        <f>M72+N72</f>
        <v>4318138</v>
      </c>
      <c r="M72" s="1080">
        <v>13738</v>
      </c>
      <c r="N72" s="1080">
        <v>4304400</v>
      </c>
      <c r="O72" s="1079">
        <f>P72+S72+V72</f>
        <v>762025</v>
      </c>
      <c r="P72" s="1079">
        <f>Q72+R72</f>
        <v>0</v>
      </c>
      <c r="Q72" s="1080">
        <v>0</v>
      </c>
      <c r="R72" s="1080">
        <v>0</v>
      </c>
      <c r="S72" s="1079">
        <f>T72+U72</f>
        <v>59058</v>
      </c>
      <c r="T72" s="1080">
        <v>2425</v>
      </c>
      <c r="U72" s="1080">
        <v>56633</v>
      </c>
      <c r="V72" s="1079">
        <f>W72+X72</f>
        <v>702967</v>
      </c>
      <c r="W72" s="1080">
        <v>0</v>
      </c>
      <c r="X72" s="1080">
        <v>702967</v>
      </c>
    </row>
    <row r="73" spans="1:24" s="444" customFormat="1" ht="14.25" customHeight="1" hidden="1">
      <c r="A73" s="1087"/>
      <c r="B73" s="1083"/>
      <c r="C73" s="1085"/>
      <c r="D73" s="1106"/>
      <c r="E73" s="1087"/>
      <c r="F73" s="1087"/>
      <c r="G73" s="1083"/>
      <c r="H73" s="443">
        <v>7738007</v>
      </c>
      <c r="I73" s="443">
        <v>0</v>
      </c>
      <c r="J73" s="1082"/>
      <c r="K73" s="1079"/>
      <c r="L73" s="1079"/>
      <c r="M73" s="1080"/>
      <c r="N73" s="1080"/>
      <c r="O73" s="1079"/>
      <c r="P73" s="1079"/>
      <c r="Q73" s="1080"/>
      <c r="R73" s="1080"/>
      <c r="S73" s="1079"/>
      <c r="T73" s="1080"/>
      <c r="U73" s="1080"/>
      <c r="V73" s="1079"/>
      <c r="W73" s="1080"/>
      <c r="X73" s="1080"/>
    </row>
    <row r="74" spans="1:24" s="444" customFormat="1" ht="14.25" customHeight="1" hidden="1">
      <c r="A74" s="1087"/>
      <c r="B74" s="1083"/>
      <c r="C74" s="1085"/>
      <c r="D74" s="1106"/>
      <c r="E74" s="1087"/>
      <c r="F74" s="1087"/>
      <c r="G74" s="1083"/>
      <c r="H74" s="443">
        <v>0</v>
      </c>
      <c r="I74" s="443">
        <v>0</v>
      </c>
      <c r="J74" s="443" t="s">
        <v>21</v>
      </c>
      <c r="K74" s="445">
        <f>L74+O74</f>
        <v>0</v>
      </c>
      <c r="L74" s="445">
        <f>M74+N74</f>
        <v>0</v>
      </c>
      <c r="M74" s="446">
        <v>0</v>
      </c>
      <c r="N74" s="446">
        <v>0</v>
      </c>
      <c r="O74" s="445">
        <f>P74+S74+V74</f>
        <v>0</v>
      </c>
      <c r="P74" s="445">
        <f>Q74+R74</f>
        <v>0</v>
      </c>
      <c r="Q74" s="446">
        <v>0</v>
      </c>
      <c r="R74" s="446">
        <v>0</v>
      </c>
      <c r="S74" s="445">
        <f>T74+U74</f>
        <v>0</v>
      </c>
      <c r="T74" s="446">
        <v>0</v>
      </c>
      <c r="U74" s="446">
        <v>0</v>
      </c>
      <c r="V74" s="445">
        <f>W74+X74</f>
        <v>0</v>
      </c>
      <c r="W74" s="446">
        <v>0</v>
      </c>
      <c r="X74" s="446">
        <v>0</v>
      </c>
    </row>
    <row r="75" spans="1:24" s="444" customFormat="1" ht="14.25" customHeight="1" hidden="1">
      <c r="A75" s="1087"/>
      <c r="B75" s="1083"/>
      <c r="C75" s="1085"/>
      <c r="D75" s="1106"/>
      <c r="E75" s="1087"/>
      <c r="F75" s="1087"/>
      <c r="G75" s="1083"/>
      <c r="H75" s="443">
        <v>91036</v>
      </c>
      <c r="I75" s="443">
        <v>0</v>
      </c>
      <c r="J75" s="1081" t="s">
        <v>22</v>
      </c>
      <c r="K75" s="1079">
        <f aca="true" t="shared" si="11" ref="K75:X75">K72+K74</f>
        <v>5080163</v>
      </c>
      <c r="L75" s="1079">
        <f t="shared" si="11"/>
        <v>4318138</v>
      </c>
      <c r="M75" s="1080">
        <f t="shared" si="11"/>
        <v>13738</v>
      </c>
      <c r="N75" s="1080">
        <f t="shared" si="11"/>
        <v>4304400</v>
      </c>
      <c r="O75" s="1079">
        <f t="shared" si="11"/>
        <v>762025</v>
      </c>
      <c r="P75" s="1079">
        <f t="shared" si="11"/>
        <v>0</v>
      </c>
      <c r="Q75" s="1080">
        <f t="shared" si="11"/>
        <v>0</v>
      </c>
      <c r="R75" s="1080">
        <f t="shared" si="11"/>
        <v>0</v>
      </c>
      <c r="S75" s="1079">
        <f t="shared" si="11"/>
        <v>59058</v>
      </c>
      <c r="T75" s="1080">
        <f t="shared" si="11"/>
        <v>2425</v>
      </c>
      <c r="U75" s="1080">
        <f t="shared" si="11"/>
        <v>56633</v>
      </c>
      <c r="V75" s="1079">
        <f t="shared" si="11"/>
        <v>702967</v>
      </c>
      <c r="W75" s="1080">
        <f t="shared" si="11"/>
        <v>0</v>
      </c>
      <c r="X75" s="1080">
        <f t="shared" si="11"/>
        <v>702967</v>
      </c>
    </row>
    <row r="76" spans="1:24" s="444" customFormat="1" ht="14.25" customHeight="1" hidden="1">
      <c r="A76" s="1087"/>
      <c r="B76" s="1083"/>
      <c r="C76" s="1085"/>
      <c r="D76" s="1106"/>
      <c r="E76" s="1087"/>
      <c r="F76" s="1087"/>
      <c r="G76" s="1083"/>
      <c r="H76" s="443">
        <v>1131447</v>
      </c>
      <c r="I76" s="443">
        <v>0</v>
      </c>
      <c r="J76" s="1082"/>
      <c r="K76" s="1079"/>
      <c r="L76" s="1079"/>
      <c r="M76" s="1080"/>
      <c r="N76" s="1080"/>
      <c r="O76" s="1079"/>
      <c r="P76" s="1079"/>
      <c r="Q76" s="1080"/>
      <c r="R76" s="1080"/>
      <c r="S76" s="1079"/>
      <c r="T76" s="1080"/>
      <c r="U76" s="1080"/>
      <c r="V76" s="1079"/>
      <c r="W76" s="1080"/>
      <c r="X76" s="1080"/>
    </row>
    <row r="77" spans="1:24" s="444" customFormat="1" ht="15" customHeight="1" hidden="1">
      <c r="A77" s="1087">
        <v>13</v>
      </c>
      <c r="B77" s="1083" t="s">
        <v>502</v>
      </c>
      <c r="C77" s="1085" t="s">
        <v>503</v>
      </c>
      <c r="D77" s="1106" t="s">
        <v>509</v>
      </c>
      <c r="E77" s="1087" t="s">
        <v>505</v>
      </c>
      <c r="F77" s="1087" t="s">
        <v>506</v>
      </c>
      <c r="G77" s="1083" t="s">
        <v>481</v>
      </c>
      <c r="H77" s="443">
        <f>H78+H79+H80+H81</f>
        <v>18129109</v>
      </c>
      <c r="I77" s="443">
        <f>I78+I79+I80+I81</f>
        <v>0</v>
      </c>
      <c r="J77" s="1081" t="s">
        <v>20</v>
      </c>
      <c r="K77" s="1079">
        <f>L77+O77</f>
        <v>9342584</v>
      </c>
      <c r="L77" s="1079">
        <f>M77+N77</f>
        <v>7941195</v>
      </c>
      <c r="M77" s="1080">
        <v>502845</v>
      </c>
      <c r="N77" s="1080">
        <v>7438350</v>
      </c>
      <c r="O77" s="1079">
        <f>P77+S77+V77</f>
        <v>1401389</v>
      </c>
      <c r="P77" s="1079">
        <f>Q77+R77</f>
        <v>0</v>
      </c>
      <c r="Q77" s="1080">
        <v>0</v>
      </c>
      <c r="R77" s="1080">
        <v>0</v>
      </c>
      <c r="S77" s="1079">
        <f>T77+U77</f>
        <v>135206</v>
      </c>
      <c r="T77" s="1080">
        <v>88738</v>
      </c>
      <c r="U77" s="1080">
        <v>46468</v>
      </c>
      <c r="V77" s="1079">
        <f>W77+X77</f>
        <v>1266183</v>
      </c>
      <c r="W77" s="1080">
        <v>0</v>
      </c>
      <c r="X77" s="1080">
        <v>1266183</v>
      </c>
    </row>
    <row r="78" spans="1:24" s="444" customFormat="1" ht="14.25" customHeight="1" hidden="1">
      <c r="A78" s="1087"/>
      <c r="B78" s="1083"/>
      <c r="C78" s="1085"/>
      <c r="D78" s="1106"/>
      <c r="E78" s="1087"/>
      <c r="F78" s="1087"/>
      <c r="G78" s="1083"/>
      <c r="H78" s="443">
        <v>15416327</v>
      </c>
      <c r="I78" s="443">
        <v>0</v>
      </c>
      <c r="J78" s="1082"/>
      <c r="K78" s="1079"/>
      <c r="L78" s="1079"/>
      <c r="M78" s="1080"/>
      <c r="N78" s="1080"/>
      <c r="O78" s="1079"/>
      <c r="P78" s="1079"/>
      <c r="Q78" s="1080"/>
      <c r="R78" s="1080"/>
      <c r="S78" s="1079"/>
      <c r="T78" s="1080"/>
      <c r="U78" s="1080"/>
      <c r="V78" s="1079"/>
      <c r="W78" s="1080"/>
      <c r="X78" s="1080"/>
    </row>
    <row r="79" spans="1:24" s="444" customFormat="1" ht="14.25" customHeight="1" hidden="1">
      <c r="A79" s="1087"/>
      <c r="B79" s="1083"/>
      <c r="C79" s="1085"/>
      <c r="D79" s="1106"/>
      <c r="E79" s="1087"/>
      <c r="F79" s="1087"/>
      <c r="G79" s="1083"/>
      <c r="H79" s="443">
        <v>0</v>
      </c>
      <c r="I79" s="443">
        <v>0</v>
      </c>
      <c r="J79" s="443" t="s">
        <v>21</v>
      </c>
      <c r="K79" s="445">
        <f>L79+O79</f>
        <v>0</v>
      </c>
      <c r="L79" s="445">
        <f>M79+N79</f>
        <v>0</v>
      </c>
      <c r="M79" s="446">
        <v>0</v>
      </c>
      <c r="N79" s="446">
        <v>0</v>
      </c>
      <c r="O79" s="445">
        <f>P79+S79+V79</f>
        <v>0</v>
      </c>
      <c r="P79" s="445">
        <f>Q79+R79</f>
        <v>0</v>
      </c>
      <c r="Q79" s="446">
        <v>0</v>
      </c>
      <c r="R79" s="446">
        <v>0</v>
      </c>
      <c r="S79" s="445">
        <f>T79+U79</f>
        <v>0</v>
      </c>
      <c r="T79" s="446">
        <v>0</v>
      </c>
      <c r="U79" s="446">
        <v>0</v>
      </c>
      <c r="V79" s="445">
        <f>W79+X79</f>
        <v>0</v>
      </c>
      <c r="W79" s="446">
        <v>0</v>
      </c>
      <c r="X79" s="446">
        <v>0</v>
      </c>
    </row>
    <row r="80" spans="1:24" s="444" customFormat="1" ht="14.25" customHeight="1" hidden="1">
      <c r="A80" s="1087"/>
      <c r="B80" s="1083"/>
      <c r="C80" s="1085"/>
      <c r="D80" s="1106"/>
      <c r="E80" s="1087"/>
      <c r="F80" s="1087"/>
      <c r="G80" s="1083"/>
      <c r="H80" s="443">
        <v>232891</v>
      </c>
      <c r="I80" s="443">
        <v>0</v>
      </c>
      <c r="J80" s="1081" t="s">
        <v>22</v>
      </c>
      <c r="K80" s="1079">
        <f aca="true" t="shared" si="12" ref="K80:X80">K77+K79</f>
        <v>9342584</v>
      </c>
      <c r="L80" s="1079">
        <f t="shared" si="12"/>
        <v>7941195</v>
      </c>
      <c r="M80" s="1080">
        <f t="shared" si="12"/>
        <v>502845</v>
      </c>
      <c r="N80" s="1080">
        <f t="shared" si="12"/>
        <v>7438350</v>
      </c>
      <c r="O80" s="1079">
        <f t="shared" si="12"/>
        <v>1401389</v>
      </c>
      <c r="P80" s="1079">
        <f t="shared" si="12"/>
        <v>0</v>
      </c>
      <c r="Q80" s="1080">
        <f t="shared" si="12"/>
        <v>0</v>
      </c>
      <c r="R80" s="1080">
        <f t="shared" si="12"/>
        <v>0</v>
      </c>
      <c r="S80" s="1079">
        <f t="shared" si="12"/>
        <v>135206</v>
      </c>
      <c r="T80" s="1080">
        <f t="shared" si="12"/>
        <v>88738</v>
      </c>
      <c r="U80" s="1080">
        <f t="shared" si="12"/>
        <v>46468</v>
      </c>
      <c r="V80" s="1079">
        <f t="shared" si="12"/>
        <v>1266183</v>
      </c>
      <c r="W80" s="1080">
        <f t="shared" si="12"/>
        <v>0</v>
      </c>
      <c r="X80" s="1080">
        <f t="shared" si="12"/>
        <v>1266183</v>
      </c>
    </row>
    <row r="81" spans="1:24" s="444" customFormat="1" ht="14.25" customHeight="1" hidden="1">
      <c r="A81" s="1087"/>
      <c r="B81" s="1083"/>
      <c r="C81" s="1085"/>
      <c r="D81" s="1106"/>
      <c r="E81" s="1087"/>
      <c r="F81" s="1087"/>
      <c r="G81" s="1083"/>
      <c r="H81" s="443">
        <v>2479891</v>
      </c>
      <c r="I81" s="443">
        <v>0</v>
      </c>
      <c r="J81" s="1082"/>
      <c r="K81" s="1079"/>
      <c r="L81" s="1079"/>
      <c r="M81" s="1080"/>
      <c r="N81" s="1080"/>
      <c r="O81" s="1079"/>
      <c r="P81" s="1079"/>
      <c r="Q81" s="1080"/>
      <c r="R81" s="1080"/>
      <c r="S81" s="1079"/>
      <c r="T81" s="1080"/>
      <c r="U81" s="1080"/>
      <c r="V81" s="1079"/>
      <c r="W81" s="1080"/>
      <c r="X81" s="1080"/>
    </row>
    <row r="82" spans="1:24" s="444" customFormat="1" ht="15" customHeight="1">
      <c r="A82" s="1087">
        <v>2</v>
      </c>
      <c r="B82" s="1083" t="s">
        <v>510</v>
      </c>
      <c r="C82" s="1085" t="s">
        <v>511</v>
      </c>
      <c r="D82" s="1106" t="s">
        <v>512</v>
      </c>
      <c r="E82" s="1087" t="s">
        <v>479</v>
      </c>
      <c r="F82" s="1087" t="s">
        <v>513</v>
      </c>
      <c r="G82" s="1083" t="s">
        <v>484</v>
      </c>
      <c r="H82" s="443">
        <f>H83+H84+H85+H86</f>
        <v>6299797</v>
      </c>
      <c r="I82" s="443">
        <f>I83+I84+I85+I86</f>
        <v>3548933</v>
      </c>
      <c r="J82" s="1081" t="s">
        <v>20</v>
      </c>
      <c r="K82" s="1079">
        <f>L82+O82</f>
        <v>69991</v>
      </c>
      <c r="L82" s="1079">
        <f>M82+N82</f>
        <v>59494</v>
      </c>
      <c r="M82" s="1080">
        <v>59494</v>
      </c>
      <c r="N82" s="1080">
        <v>0</v>
      </c>
      <c r="O82" s="1079">
        <f>P82+S82+V82</f>
        <v>10497</v>
      </c>
      <c r="P82" s="1079">
        <f>Q82+R82</f>
        <v>0</v>
      </c>
      <c r="Q82" s="1080">
        <v>0</v>
      </c>
      <c r="R82" s="1080">
        <v>0</v>
      </c>
      <c r="S82" s="1079">
        <f>T82+U82</f>
        <v>10497</v>
      </c>
      <c r="T82" s="1080">
        <v>10497</v>
      </c>
      <c r="U82" s="1080">
        <v>0</v>
      </c>
      <c r="V82" s="1079">
        <f>W82+X82</f>
        <v>0</v>
      </c>
      <c r="W82" s="1080">
        <v>0</v>
      </c>
      <c r="X82" s="1080">
        <v>0</v>
      </c>
    </row>
    <row r="83" spans="1:24" s="444" customFormat="1" ht="14.25" customHeight="1">
      <c r="A83" s="1087"/>
      <c r="B83" s="1083"/>
      <c r="C83" s="1085"/>
      <c r="D83" s="1106"/>
      <c r="E83" s="1087"/>
      <c r="F83" s="1087"/>
      <c r="G83" s="1083"/>
      <c r="H83" s="443">
        <v>6187387</v>
      </c>
      <c r="I83" s="443">
        <v>3447020</v>
      </c>
      <c r="J83" s="1082"/>
      <c r="K83" s="1079"/>
      <c r="L83" s="1079"/>
      <c r="M83" s="1080"/>
      <c r="N83" s="1080"/>
      <c r="O83" s="1079"/>
      <c r="P83" s="1079"/>
      <c r="Q83" s="1080"/>
      <c r="R83" s="1080"/>
      <c r="S83" s="1079"/>
      <c r="T83" s="1080"/>
      <c r="U83" s="1080"/>
      <c r="V83" s="1079"/>
      <c r="W83" s="1080"/>
      <c r="X83" s="1080"/>
    </row>
    <row r="84" spans="1:24" s="444" customFormat="1" ht="14.25" customHeight="1">
      <c r="A84" s="1087"/>
      <c r="B84" s="1083"/>
      <c r="C84" s="1085"/>
      <c r="D84" s="1106"/>
      <c r="E84" s="1087"/>
      <c r="F84" s="1087"/>
      <c r="G84" s="1083"/>
      <c r="H84" s="443">
        <v>0</v>
      </c>
      <c r="I84" s="443">
        <v>0</v>
      </c>
      <c r="J84" s="443" t="s">
        <v>21</v>
      </c>
      <c r="K84" s="445">
        <f>L84+O84</f>
        <v>2680873</v>
      </c>
      <c r="L84" s="445">
        <f>M84+N84</f>
        <v>2680873</v>
      </c>
      <c r="M84" s="446">
        <v>2680873</v>
      </c>
      <c r="N84" s="446">
        <v>0</v>
      </c>
      <c r="O84" s="445">
        <f>P84+S84+V84</f>
        <v>0</v>
      </c>
      <c r="P84" s="445">
        <f>Q84+R84</f>
        <v>0</v>
      </c>
      <c r="Q84" s="446">
        <v>0</v>
      </c>
      <c r="R84" s="446">
        <v>0</v>
      </c>
      <c r="S84" s="445">
        <f>T84+U84</f>
        <v>0</v>
      </c>
      <c r="T84" s="446">
        <v>0</v>
      </c>
      <c r="U84" s="446">
        <v>0</v>
      </c>
      <c r="V84" s="445">
        <f>W84+X84</f>
        <v>0</v>
      </c>
      <c r="W84" s="446">
        <v>0</v>
      </c>
      <c r="X84" s="446">
        <v>0</v>
      </c>
    </row>
    <row r="85" spans="1:24" s="444" customFormat="1" ht="14.25" customHeight="1">
      <c r="A85" s="1087"/>
      <c r="B85" s="1083"/>
      <c r="C85" s="1085"/>
      <c r="D85" s="1106"/>
      <c r="E85" s="1087"/>
      <c r="F85" s="1087"/>
      <c r="G85" s="1083"/>
      <c r="H85" s="443">
        <v>112410</v>
      </c>
      <c r="I85" s="443">
        <v>101913</v>
      </c>
      <c r="J85" s="1081" t="s">
        <v>22</v>
      </c>
      <c r="K85" s="1079">
        <f aca="true" t="shared" si="13" ref="K85:X85">K82+K84</f>
        <v>2750864</v>
      </c>
      <c r="L85" s="1079">
        <f t="shared" si="13"/>
        <v>2740367</v>
      </c>
      <c r="M85" s="1080">
        <f t="shared" si="13"/>
        <v>2740367</v>
      </c>
      <c r="N85" s="1080">
        <f t="shared" si="13"/>
        <v>0</v>
      </c>
      <c r="O85" s="1079">
        <f t="shared" si="13"/>
        <v>10497</v>
      </c>
      <c r="P85" s="1079">
        <f t="shared" si="13"/>
        <v>0</v>
      </c>
      <c r="Q85" s="1080">
        <f t="shared" si="13"/>
        <v>0</v>
      </c>
      <c r="R85" s="1080">
        <f t="shared" si="13"/>
        <v>0</v>
      </c>
      <c r="S85" s="1079">
        <f t="shared" si="13"/>
        <v>10497</v>
      </c>
      <c r="T85" s="1080">
        <f t="shared" si="13"/>
        <v>10497</v>
      </c>
      <c r="U85" s="1080">
        <f t="shared" si="13"/>
        <v>0</v>
      </c>
      <c r="V85" s="1079">
        <f t="shared" si="13"/>
        <v>0</v>
      </c>
      <c r="W85" s="1080">
        <f t="shared" si="13"/>
        <v>0</v>
      </c>
      <c r="X85" s="1080">
        <f t="shared" si="13"/>
        <v>0</v>
      </c>
    </row>
    <row r="86" spans="1:24" s="444" customFormat="1" ht="14.25" customHeight="1">
      <c r="A86" s="1087"/>
      <c r="B86" s="1083"/>
      <c r="C86" s="1085"/>
      <c r="D86" s="1106"/>
      <c r="E86" s="1087"/>
      <c r="F86" s="1087"/>
      <c r="G86" s="1083"/>
      <c r="H86" s="443">
        <v>0</v>
      </c>
      <c r="I86" s="443">
        <v>0</v>
      </c>
      <c r="J86" s="1082"/>
      <c r="K86" s="1079"/>
      <c r="L86" s="1079"/>
      <c r="M86" s="1080"/>
      <c r="N86" s="1080"/>
      <c r="O86" s="1079"/>
      <c r="P86" s="1079"/>
      <c r="Q86" s="1080"/>
      <c r="R86" s="1080"/>
      <c r="S86" s="1079"/>
      <c r="T86" s="1080"/>
      <c r="U86" s="1080"/>
      <c r="V86" s="1079"/>
      <c r="W86" s="1080"/>
      <c r="X86" s="1080"/>
    </row>
    <row r="87" spans="1:24" s="444" customFormat="1" ht="15" customHeight="1">
      <c r="A87" s="1087">
        <v>3</v>
      </c>
      <c r="B87" s="1083" t="s">
        <v>510</v>
      </c>
      <c r="C87" s="1085" t="s">
        <v>514</v>
      </c>
      <c r="D87" s="1106" t="s">
        <v>515</v>
      </c>
      <c r="E87" s="1087" t="s">
        <v>479</v>
      </c>
      <c r="F87" s="1087" t="s">
        <v>516</v>
      </c>
      <c r="G87" s="1083" t="s">
        <v>484</v>
      </c>
      <c r="H87" s="443">
        <f>H88+H89+H90+H91</f>
        <v>3396493</v>
      </c>
      <c r="I87" s="443">
        <f>I88+I89+I90+I91</f>
        <v>0</v>
      </c>
      <c r="J87" s="1081" t="s">
        <v>20</v>
      </c>
      <c r="K87" s="1079">
        <f>L87+O87</f>
        <v>4594057</v>
      </c>
      <c r="L87" s="1079">
        <f>M87+N87</f>
        <v>4551067</v>
      </c>
      <c r="M87" s="1080">
        <v>4551067</v>
      </c>
      <c r="N87" s="1080">
        <v>0</v>
      </c>
      <c r="O87" s="1079">
        <f>P87+S87+V87</f>
        <v>42990</v>
      </c>
      <c r="P87" s="1079">
        <f>Q87+R87</f>
        <v>0</v>
      </c>
      <c r="Q87" s="1080">
        <v>0</v>
      </c>
      <c r="R87" s="1080">
        <v>0</v>
      </c>
      <c r="S87" s="1079">
        <f>T87+U87</f>
        <v>42990</v>
      </c>
      <c r="T87" s="1080">
        <v>42990</v>
      </c>
      <c r="U87" s="1080">
        <v>0</v>
      </c>
      <c r="V87" s="1079">
        <f>W87+X87</f>
        <v>0</v>
      </c>
      <c r="W87" s="1080">
        <v>0</v>
      </c>
      <c r="X87" s="1080">
        <v>0</v>
      </c>
    </row>
    <row r="88" spans="1:24" s="444" customFormat="1" ht="14.25" customHeight="1">
      <c r="A88" s="1087"/>
      <c r="B88" s="1083"/>
      <c r="C88" s="1085"/>
      <c r="D88" s="1106"/>
      <c r="E88" s="1087"/>
      <c r="F88" s="1087"/>
      <c r="G88" s="1083"/>
      <c r="H88" s="443">
        <v>3354578</v>
      </c>
      <c r="I88" s="443">
        <v>0</v>
      </c>
      <c r="J88" s="1082"/>
      <c r="K88" s="1079"/>
      <c r="L88" s="1079"/>
      <c r="M88" s="1080"/>
      <c r="N88" s="1080"/>
      <c r="O88" s="1079"/>
      <c r="P88" s="1079"/>
      <c r="Q88" s="1080"/>
      <c r="R88" s="1080"/>
      <c r="S88" s="1079"/>
      <c r="T88" s="1080"/>
      <c r="U88" s="1080"/>
      <c r="V88" s="1079"/>
      <c r="W88" s="1080"/>
      <c r="X88" s="1080"/>
    </row>
    <row r="89" spans="1:24" s="444" customFormat="1" ht="14.25" customHeight="1">
      <c r="A89" s="1087"/>
      <c r="B89" s="1083"/>
      <c r="C89" s="1085"/>
      <c r="D89" s="1106"/>
      <c r="E89" s="1087"/>
      <c r="F89" s="1087"/>
      <c r="G89" s="1083"/>
      <c r="H89" s="443">
        <v>0</v>
      </c>
      <c r="I89" s="443">
        <v>0</v>
      </c>
      <c r="J89" s="443" t="s">
        <v>21</v>
      </c>
      <c r="K89" s="445">
        <f>L89+O89</f>
        <v>-1197564</v>
      </c>
      <c r="L89" s="445">
        <f>M89+N89</f>
        <v>-1196489</v>
      </c>
      <c r="M89" s="446">
        <v>-1196489</v>
      </c>
      <c r="N89" s="446">
        <v>0</v>
      </c>
      <c r="O89" s="445">
        <f>P89+S89+V89</f>
        <v>-1075</v>
      </c>
      <c r="P89" s="445">
        <f>Q89+R89</f>
        <v>0</v>
      </c>
      <c r="Q89" s="446">
        <v>0</v>
      </c>
      <c r="R89" s="446">
        <v>0</v>
      </c>
      <c r="S89" s="445">
        <f>T89+U89</f>
        <v>-1075</v>
      </c>
      <c r="T89" s="446">
        <v>-1075</v>
      </c>
      <c r="U89" s="446">
        <v>0</v>
      </c>
      <c r="V89" s="445">
        <f>W89+X89</f>
        <v>0</v>
      </c>
      <c r="W89" s="446">
        <v>0</v>
      </c>
      <c r="X89" s="446">
        <v>0</v>
      </c>
    </row>
    <row r="90" spans="1:24" s="444" customFormat="1" ht="14.25" customHeight="1">
      <c r="A90" s="1087"/>
      <c r="B90" s="1083"/>
      <c r="C90" s="1085"/>
      <c r="D90" s="1106"/>
      <c r="E90" s="1087"/>
      <c r="F90" s="1087"/>
      <c r="G90" s="1083"/>
      <c r="H90" s="443">
        <v>41915</v>
      </c>
      <c r="I90" s="443">
        <v>0</v>
      </c>
      <c r="J90" s="1081" t="s">
        <v>22</v>
      </c>
      <c r="K90" s="1079">
        <f aca="true" t="shared" si="14" ref="K90:X90">K87+K89</f>
        <v>3396493</v>
      </c>
      <c r="L90" s="1079">
        <f t="shared" si="14"/>
        <v>3354578</v>
      </c>
      <c r="M90" s="1080">
        <f t="shared" si="14"/>
        <v>3354578</v>
      </c>
      <c r="N90" s="1080">
        <f t="shared" si="14"/>
        <v>0</v>
      </c>
      <c r="O90" s="1079">
        <f t="shared" si="14"/>
        <v>41915</v>
      </c>
      <c r="P90" s="1079">
        <f t="shared" si="14"/>
        <v>0</v>
      </c>
      <c r="Q90" s="1080">
        <f t="shared" si="14"/>
        <v>0</v>
      </c>
      <c r="R90" s="1080">
        <f t="shared" si="14"/>
        <v>0</v>
      </c>
      <c r="S90" s="1079">
        <f t="shared" si="14"/>
        <v>41915</v>
      </c>
      <c r="T90" s="1080">
        <f t="shared" si="14"/>
        <v>41915</v>
      </c>
      <c r="U90" s="1080">
        <f t="shared" si="14"/>
        <v>0</v>
      </c>
      <c r="V90" s="1079">
        <f t="shared" si="14"/>
        <v>0</v>
      </c>
      <c r="W90" s="1080">
        <f t="shared" si="14"/>
        <v>0</v>
      </c>
      <c r="X90" s="1080">
        <f t="shared" si="14"/>
        <v>0</v>
      </c>
    </row>
    <row r="91" spans="1:24" s="444" customFormat="1" ht="14.25" customHeight="1">
      <c r="A91" s="1087"/>
      <c r="B91" s="1083"/>
      <c r="C91" s="1085"/>
      <c r="D91" s="1106"/>
      <c r="E91" s="1087"/>
      <c r="F91" s="1087"/>
      <c r="G91" s="1083"/>
      <c r="H91" s="443">
        <v>0</v>
      </c>
      <c r="I91" s="443">
        <v>0</v>
      </c>
      <c r="J91" s="1082"/>
      <c r="K91" s="1079"/>
      <c r="L91" s="1079"/>
      <c r="M91" s="1080"/>
      <c r="N91" s="1080"/>
      <c r="O91" s="1079"/>
      <c r="P91" s="1079"/>
      <c r="Q91" s="1080"/>
      <c r="R91" s="1080"/>
      <c r="S91" s="1079"/>
      <c r="T91" s="1080"/>
      <c r="U91" s="1080"/>
      <c r="V91" s="1079"/>
      <c r="W91" s="1080"/>
      <c r="X91" s="1080"/>
    </row>
    <row r="92" spans="1:24" s="444" customFormat="1" ht="15" customHeight="1" hidden="1">
      <c r="A92" s="1087">
        <v>16</v>
      </c>
      <c r="B92" s="1083" t="s">
        <v>517</v>
      </c>
      <c r="C92" s="1085" t="s">
        <v>518</v>
      </c>
      <c r="D92" s="1106" t="s">
        <v>519</v>
      </c>
      <c r="E92" s="1087" t="s">
        <v>520</v>
      </c>
      <c r="F92" s="1087" t="s">
        <v>521</v>
      </c>
      <c r="G92" s="1083" t="s">
        <v>492</v>
      </c>
      <c r="H92" s="443">
        <f>H93+H94+H95+H96</f>
        <v>1445000</v>
      </c>
      <c r="I92" s="443">
        <f>I93+I94+I95+I96</f>
        <v>0</v>
      </c>
      <c r="J92" s="1081" t="s">
        <v>20</v>
      </c>
      <c r="K92" s="1079">
        <f>L92+O92</f>
        <v>1102100</v>
      </c>
      <c r="L92" s="1079">
        <f>M92+N92</f>
        <v>716365</v>
      </c>
      <c r="M92" s="1080">
        <v>330265</v>
      </c>
      <c r="N92" s="1080">
        <v>386100</v>
      </c>
      <c r="O92" s="1079">
        <f>P92+S92+V92</f>
        <v>385735</v>
      </c>
      <c r="P92" s="1079">
        <f>Q92+R92</f>
        <v>0</v>
      </c>
      <c r="Q92" s="1080">
        <v>0</v>
      </c>
      <c r="R92" s="1080">
        <v>0</v>
      </c>
      <c r="S92" s="1079">
        <f>T92+U92</f>
        <v>165315</v>
      </c>
      <c r="T92" s="1080">
        <v>76215</v>
      </c>
      <c r="U92" s="1080">
        <v>89100</v>
      </c>
      <c r="V92" s="1079">
        <f>W92+X92</f>
        <v>220420</v>
      </c>
      <c r="W92" s="1080">
        <v>101620</v>
      </c>
      <c r="X92" s="1080">
        <v>118800</v>
      </c>
    </row>
    <row r="93" spans="1:24" s="444" customFormat="1" ht="14.25" customHeight="1" hidden="1">
      <c r="A93" s="1087"/>
      <c r="B93" s="1083"/>
      <c r="C93" s="1085"/>
      <c r="D93" s="1106"/>
      <c r="E93" s="1087"/>
      <c r="F93" s="1087"/>
      <c r="G93" s="1083"/>
      <c r="H93" s="443">
        <v>939250</v>
      </c>
      <c r="I93" s="443">
        <v>0</v>
      </c>
      <c r="J93" s="1082"/>
      <c r="K93" s="1079"/>
      <c r="L93" s="1079"/>
      <c r="M93" s="1080"/>
      <c r="N93" s="1080"/>
      <c r="O93" s="1079"/>
      <c r="P93" s="1079"/>
      <c r="Q93" s="1080"/>
      <c r="R93" s="1080"/>
      <c r="S93" s="1079"/>
      <c r="T93" s="1080"/>
      <c r="U93" s="1080"/>
      <c r="V93" s="1079"/>
      <c r="W93" s="1080"/>
      <c r="X93" s="1080"/>
    </row>
    <row r="94" spans="1:24" s="444" customFormat="1" ht="14.25" customHeight="1" hidden="1">
      <c r="A94" s="1087"/>
      <c r="B94" s="1083"/>
      <c r="C94" s="1085"/>
      <c r="D94" s="1106"/>
      <c r="E94" s="1087"/>
      <c r="F94" s="1087"/>
      <c r="G94" s="1083"/>
      <c r="H94" s="443">
        <v>0</v>
      </c>
      <c r="I94" s="443">
        <v>0</v>
      </c>
      <c r="J94" s="443" t="s">
        <v>21</v>
      </c>
      <c r="K94" s="445">
        <f>L94+O94</f>
        <v>0</v>
      </c>
      <c r="L94" s="445">
        <f>M94+N94</f>
        <v>0</v>
      </c>
      <c r="M94" s="446">
        <v>0</v>
      </c>
      <c r="N94" s="446">
        <v>0</v>
      </c>
      <c r="O94" s="445">
        <f>P94+S94+V94</f>
        <v>0</v>
      </c>
      <c r="P94" s="445">
        <f>Q94+R94</f>
        <v>0</v>
      </c>
      <c r="Q94" s="446">
        <v>0</v>
      </c>
      <c r="R94" s="446">
        <v>0</v>
      </c>
      <c r="S94" s="445">
        <f>T94+U94</f>
        <v>0</v>
      </c>
      <c r="T94" s="446">
        <v>0</v>
      </c>
      <c r="U94" s="446">
        <v>0</v>
      </c>
      <c r="V94" s="445">
        <f>W94+X94</f>
        <v>0</v>
      </c>
      <c r="W94" s="446">
        <v>0</v>
      </c>
      <c r="X94" s="446">
        <v>0</v>
      </c>
    </row>
    <row r="95" spans="1:24" s="444" customFormat="1" ht="14.25" customHeight="1" hidden="1">
      <c r="A95" s="1087"/>
      <c r="B95" s="1083"/>
      <c r="C95" s="1085"/>
      <c r="D95" s="1106"/>
      <c r="E95" s="1087"/>
      <c r="F95" s="1087"/>
      <c r="G95" s="1083"/>
      <c r="H95" s="443">
        <v>216750</v>
      </c>
      <c r="I95" s="443">
        <v>0</v>
      </c>
      <c r="J95" s="1081" t="s">
        <v>22</v>
      </c>
      <c r="K95" s="1079">
        <f aca="true" t="shared" si="15" ref="K95:X95">K92+K94</f>
        <v>1102100</v>
      </c>
      <c r="L95" s="1079">
        <f t="shared" si="15"/>
        <v>716365</v>
      </c>
      <c r="M95" s="1080">
        <f t="shared" si="15"/>
        <v>330265</v>
      </c>
      <c r="N95" s="1080">
        <f t="shared" si="15"/>
        <v>386100</v>
      </c>
      <c r="O95" s="1079">
        <f t="shared" si="15"/>
        <v>385735</v>
      </c>
      <c r="P95" s="1079">
        <f t="shared" si="15"/>
        <v>0</v>
      </c>
      <c r="Q95" s="1080">
        <f t="shared" si="15"/>
        <v>0</v>
      </c>
      <c r="R95" s="1080">
        <f t="shared" si="15"/>
        <v>0</v>
      </c>
      <c r="S95" s="1079">
        <f t="shared" si="15"/>
        <v>165315</v>
      </c>
      <c r="T95" s="1080">
        <f t="shared" si="15"/>
        <v>76215</v>
      </c>
      <c r="U95" s="1080">
        <f t="shared" si="15"/>
        <v>89100</v>
      </c>
      <c r="V95" s="1079">
        <f t="shared" si="15"/>
        <v>220420</v>
      </c>
      <c r="W95" s="1080">
        <f t="shared" si="15"/>
        <v>101620</v>
      </c>
      <c r="X95" s="1080">
        <f t="shared" si="15"/>
        <v>118800</v>
      </c>
    </row>
    <row r="96" spans="1:24" s="444" customFormat="1" ht="14.25" customHeight="1" hidden="1">
      <c r="A96" s="1087"/>
      <c r="B96" s="1083"/>
      <c r="C96" s="1085"/>
      <c r="D96" s="1106"/>
      <c r="E96" s="1087"/>
      <c r="F96" s="1087"/>
      <c r="G96" s="1083"/>
      <c r="H96" s="443">
        <v>289000</v>
      </c>
      <c r="I96" s="443">
        <v>0</v>
      </c>
      <c r="J96" s="1082"/>
      <c r="K96" s="1079"/>
      <c r="L96" s="1079"/>
      <c r="M96" s="1080"/>
      <c r="N96" s="1080"/>
      <c r="O96" s="1079"/>
      <c r="P96" s="1079"/>
      <c r="Q96" s="1080"/>
      <c r="R96" s="1080"/>
      <c r="S96" s="1079"/>
      <c r="T96" s="1080"/>
      <c r="U96" s="1080"/>
      <c r="V96" s="1079"/>
      <c r="W96" s="1080"/>
      <c r="X96" s="1080"/>
    </row>
    <row r="97" spans="1:24" s="444" customFormat="1" ht="15" customHeight="1" hidden="1">
      <c r="A97" s="1087">
        <v>17</v>
      </c>
      <c r="B97" s="1083" t="s">
        <v>517</v>
      </c>
      <c r="C97" s="1085" t="s">
        <v>518</v>
      </c>
      <c r="D97" s="1106" t="s">
        <v>522</v>
      </c>
      <c r="E97" s="1087" t="s">
        <v>523</v>
      </c>
      <c r="F97" s="1087" t="s">
        <v>521</v>
      </c>
      <c r="G97" s="1083" t="s">
        <v>524</v>
      </c>
      <c r="H97" s="443">
        <f>H98+H99+H100+H101</f>
        <v>1422600</v>
      </c>
      <c r="I97" s="443">
        <f>I98+I99+I100+I101</f>
        <v>0</v>
      </c>
      <c r="J97" s="1081" t="s">
        <v>20</v>
      </c>
      <c r="K97" s="1079">
        <f>L97+O97</f>
        <v>190500</v>
      </c>
      <c r="L97" s="1079">
        <f>M97+N97</f>
        <v>123825</v>
      </c>
      <c r="M97" s="1080">
        <v>39325</v>
      </c>
      <c r="N97" s="1080">
        <v>84500</v>
      </c>
      <c r="O97" s="1079">
        <f>P97+S97+V97</f>
        <v>66675</v>
      </c>
      <c r="P97" s="1079">
        <f>Q97+R97</f>
        <v>0</v>
      </c>
      <c r="Q97" s="1080">
        <v>0</v>
      </c>
      <c r="R97" s="1080">
        <v>0</v>
      </c>
      <c r="S97" s="1079">
        <f>T97+U97</f>
        <v>28575</v>
      </c>
      <c r="T97" s="1080">
        <v>9075</v>
      </c>
      <c r="U97" s="1080">
        <v>19500</v>
      </c>
      <c r="V97" s="1079">
        <f>W97+X97</f>
        <v>38100</v>
      </c>
      <c r="W97" s="1080">
        <v>12100</v>
      </c>
      <c r="X97" s="1080">
        <v>26000</v>
      </c>
    </row>
    <row r="98" spans="1:24" s="444" customFormat="1" ht="14.25" customHeight="1" hidden="1">
      <c r="A98" s="1087"/>
      <c r="B98" s="1083"/>
      <c r="C98" s="1085"/>
      <c r="D98" s="1106"/>
      <c r="E98" s="1087"/>
      <c r="F98" s="1087"/>
      <c r="G98" s="1083"/>
      <c r="H98" s="443">
        <v>924690</v>
      </c>
      <c r="I98" s="443">
        <v>0</v>
      </c>
      <c r="J98" s="1082"/>
      <c r="K98" s="1079"/>
      <c r="L98" s="1079"/>
      <c r="M98" s="1080"/>
      <c r="N98" s="1080"/>
      <c r="O98" s="1079"/>
      <c r="P98" s="1079"/>
      <c r="Q98" s="1080"/>
      <c r="R98" s="1080"/>
      <c r="S98" s="1079"/>
      <c r="T98" s="1080"/>
      <c r="U98" s="1080"/>
      <c r="V98" s="1079"/>
      <c r="W98" s="1080"/>
      <c r="X98" s="1080"/>
    </row>
    <row r="99" spans="1:24" s="444" customFormat="1" ht="14.25" customHeight="1" hidden="1">
      <c r="A99" s="1087"/>
      <c r="B99" s="1083"/>
      <c r="C99" s="1085"/>
      <c r="D99" s="1106"/>
      <c r="E99" s="1087"/>
      <c r="F99" s="1087"/>
      <c r="G99" s="1083"/>
      <c r="H99" s="443">
        <v>0</v>
      </c>
      <c r="I99" s="443">
        <v>0</v>
      </c>
      <c r="J99" s="443" t="s">
        <v>21</v>
      </c>
      <c r="K99" s="445">
        <f>L99+O99</f>
        <v>0</v>
      </c>
      <c r="L99" s="445">
        <f>M99+N99</f>
        <v>0</v>
      </c>
      <c r="M99" s="446">
        <v>0</v>
      </c>
      <c r="N99" s="446">
        <v>0</v>
      </c>
      <c r="O99" s="445">
        <f>P99+S99+V99</f>
        <v>0</v>
      </c>
      <c r="P99" s="445">
        <f>Q99+R99</f>
        <v>0</v>
      </c>
      <c r="Q99" s="446">
        <v>0</v>
      </c>
      <c r="R99" s="446">
        <v>0</v>
      </c>
      <c r="S99" s="445">
        <f>T99+U99</f>
        <v>0</v>
      </c>
      <c r="T99" s="446">
        <v>0</v>
      </c>
      <c r="U99" s="446">
        <v>0</v>
      </c>
      <c r="V99" s="445">
        <f>W99+X99</f>
        <v>0</v>
      </c>
      <c r="W99" s="446">
        <v>0</v>
      </c>
      <c r="X99" s="446">
        <v>0</v>
      </c>
    </row>
    <row r="100" spans="1:24" s="444" customFormat="1" ht="14.25" customHeight="1" hidden="1">
      <c r="A100" s="1087"/>
      <c r="B100" s="1083"/>
      <c r="C100" s="1085"/>
      <c r="D100" s="1106"/>
      <c r="E100" s="1087"/>
      <c r="F100" s="1087"/>
      <c r="G100" s="1083"/>
      <c r="H100" s="443">
        <v>213390</v>
      </c>
      <c r="I100" s="443">
        <v>0</v>
      </c>
      <c r="J100" s="1081" t="s">
        <v>22</v>
      </c>
      <c r="K100" s="1079">
        <f aca="true" t="shared" si="16" ref="K100:X100">K97+K99</f>
        <v>190500</v>
      </c>
      <c r="L100" s="1079">
        <f t="shared" si="16"/>
        <v>123825</v>
      </c>
      <c r="M100" s="1080">
        <f t="shared" si="16"/>
        <v>39325</v>
      </c>
      <c r="N100" s="1080">
        <f t="shared" si="16"/>
        <v>84500</v>
      </c>
      <c r="O100" s="1079">
        <f t="shared" si="16"/>
        <v>66675</v>
      </c>
      <c r="P100" s="1079">
        <f t="shared" si="16"/>
        <v>0</v>
      </c>
      <c r="Q100" s="1080">
        <f t="shared" si="16"/>
        <v>0</v>
      </c>
      <c r="R100" s="1080">
        <f t="shared" si="16"/>
        <v>0</v>
      </c>
      <c r="S100" s="1079">
        <f t="shared" si="16"/>
        <v>28575</v>
      </c>
      <c r="T100" s="1080">
        <f t="shared" si="16"/>
        <v>9075</v>
      </c>
      <c r="U100" s="1080">
        <f t="shared" si="16"/>
        <v>19500</v>
      </c>
      <c r="V100" s="1079">
        <f t="shared" si="16"/>
        <v>38100</v>
      </c>
      <c r="W100" s="1080">
        <f t="shared" si="16"/>
        <v>12100</v>
      </c>
      <c r="X100" s="1080">
        <f t="shared" si="16"/>
        <v>26000</v>
      </c>
    </row>
    <row r="101" spans="1:24" s="444" customFormat="1" ht="14.25" customHeight="1" hidden="1">
      <c r="A101" s="1087"/>
      <c r="B101" s="1083"/>
      <c r="C101" s="1085"/>
      <c r="D101" s="1106"/>
      <c r="E101" s="1087"/>
      <c r="F101" s="1087"/>
      <c r="G101" s="1083"/>
      <c r="H101" s="443">
        <v>284520</v>
      </c>
      <c r="I101" s="443">
        <v>0</v>
      </c>
      <c r="J101" s="1082"/>
      <c r="K101" s="1079"/>
      <c r="L101" s="1079"/>
      <c r="M101" s="1080"/>
      <c r="N101" s="1080"/>
      <c r="O101" s="1079"/>
      <c r="P101" s="1079"/>
      <c r="Q101" s="1080"/>
      <c r="R101" s="1080"/>
      <c r="S101" s="1079"/>
      <c r="T101" s="1080"/>
      <c r="U101" s="1080"/>
      <c r="V101" s="1079"/>
      <c r="W101" s="1080"/>
      <c r="X101" s="1080"/>
    </row>
    <row r="102" spans="1:24" s="444" customFormat="1" ht="15.75" customHeight="1">
      <c r="A102" s="1087">
        <v>4</v>
      </c>
      <c r="B102" s="1083" t="s">
        <v>517</v>
      </c>
      <c r="C102" s="1085" t="s">
        <v>518</v>
      </c>
      <c r="D102" s="1106" t="s">
        <v>525</v>
      </c>
      <c r="E102" s="1087" t="s">
        <v>526</v>
      </c>
      <c r="F102" s="1087" t="s">
        <v>521</v>
      </c>
      <c r="G102" s="1083" t="s">
        <v>492</v>
      </c>
      <c r="H102" s="443">
        <f>H103+H104+H105+H106</f>
        <v>2500000</v>
      </c>
      <c r="I102" s="443">
        <f>I103+I104+I105+I106</f>
        <v>0</v>
      </c>
      <c r="J102" s="1081" t="s">
        <v>20</v>
      </c>
      <c r="K102" s="1079">
        <f>L102+O102</f>
        <v>60000</v>
      </c>
      <c r="L102" s="1079">
        <f>M102+N102</f>
        <v>39000</v>
      </c>
      <c r="M102" s="1080">
        <v>39000</v>
      </c>
      <c r="N102" s="1080">
        <v>0</v>
      </c>
      <c r="O102" s="1079">
        <f>P102+S102+V102</f>
        <v>21000</v>
      </c>
      <c r="P102" s="1079">
        <f>Q102+R102</f>
        <v>0</v>
      </c>
      <c r="Q102" s="1080">
        <v>0</v>
      </c>
      <c r="R102" s="1080">
        <v>0</v>
      </c>
      <c r="S102" s="1079">
        <f>T102+U102</f>
        <v>9000</v>
      </c>
      <c r="T102" s="1080">
        <v>9000</v>
      </c>
      <c r="U102" s="1080">
        <v>0</v>
      </c>
      <c r="V102" s="1079">
        <f>W102+X102</f>
        <v>12000</v>
      </c>
      <c r="W102" s="1080">
        <v>12000</v>
      </c>
      <c r="X102" s="1080">
        <v>0</v>
      </c>
    </row>
    <row r="103" spans="1:24" s="444" customFormat="1" ht="15.75" customHeight="1">
      <c r="A103" s="1087"/>
      <c r="B103" s="1083"/>
      <c r="C103" s="1085"/>
      <c r="D103" s="1106"/>
      <c r="E103" s="1087"/>
      <c r="F103" s="1087"/>
      <c r="G103" s="1083"/>
      <c r="H103" s="443">
        <v>1579500</v>
      </c>
      <c r="I103" s="443">
        <v>0</v>
      </c>
      <c r="J103" s="1082"/>
      <c r="K103" s="1079"/>
      <c r="L103" s="1079"/>
      <c r="M103" s="1080"/>
      <c r="N103" s="1080"/>
      <c r="O103" s="1079"/>
      <c r="P103" s="1079"/>
      <c r="Q103" s="1080"/>
      <c r="R103" s="1080"/>
      <c r="S103" s="1079"/>
      <c r="T103" s="1080"/>
      <c r="U103" s="1080"/>
      <c r="V103" s="1079"/>
      <c r="W103" s="1080"/>
      <c r="X103" s="1080"/>
    </row>
    <row r="104" spans="1:24" s="444" customFormat="1" ht="15.75" customHeight="1">
      <c r="A104" s="1087"/>
      <c r="B104" s="1083"/>
      <c r="C104" s="1085"/>
      <c r="D104" s="1106"/>
      <c r="E104" s="1087"/>
      <c r="F104" s="1087"/>
      <c r="G104" s="1083"/>
      <c r="H104" s="443">
        <v>0</v>
      </c>
      <c r="I104" s="443">
        <v>0</v>
      </c>
      <c r="J104" s="443" t="s">
        <v>21</v>
      </c>
      <c r="K104" s="445">
        <f>L104+O104</f>
        <v>0</v>
      </c>
      <c r="L104" s="445">
        <f>M104+N104</f>
        <v>0</v>
      </c>
      <c r="M104" s="446">
        <v>0</v>
      </c>
      <c r="N104" s="446">
        <v>0</v>
      </c>
      <c r="O104" s="445">
        <f>P104+S104+V104</f>
        <v>0</v>
      </c>
      <c r="P104" s="445">
        <f>Q104+R104</f>
        <v>0</v>
      </c>
      <c r="Q104" s="446">
        <v>0</v>
      </c>
      <c r="R104" s="446">
        <v>0</v>
      </c>
      <c r="S104" s="445">
        <f>T104+U104</f>
        <v>0</v>
      </c>
      <c r="T104" s="446">
        <v>0</v>
      </c>
      <c r="U104" s="446">
        <v>0</v>
      </c>
      <c r="V104" s="445">
        <f>W104+X104</f>
        <v>0</v>
      </c>
      <c r="W104" s="446">
        <v>0</v>
      </c>
      <c r="X104" s="446">
        <v>0</v>
      </c>
    </row>
    <row r="105" spans="1:24" s="444" customFormat="1" ht="15.75" customHeight="1">
      <c r="A105" s="1087"/>
      <c r="B105" s="1083"/>
      <c r="C105" s="1085"/>
      <c r="D105" s="1106"/>
      <c r="E105" s="1087"/>
      <c r="F105" s="1087"/>
      <c r="G105" s="1083"/>
      <c r="H105" s="443">
        <v>434500</v>
      </c>
      <c r="I105" s="443">
        <v>0</v>
      </c>
      <c r="J105" s="1081" t="s">
        <v>22</v>
      </c>
      <c r="K105" s="1079">
        <f aca="true" t="shared" si="17" ref="K105:X105">K102+K104</f>
        <v>60000</v>
      </c>
      <c r="L105" s="1079">
        <f t="shared" si="17"/>
        <v>39000</v>
      </c>
      <c r="M105" s="1080">
        <f t="shared" si="17"/>
        <v>39000</v>
      </c>
      <c r="N105" s="1080">
        <f t="shared" si="17"/>
        <v>0</v>
      </c>
      <c r="O105" s="1079">
        <f t="shared" si="17"/>
        <v>21000</v>
      </c>
      <c r="P105" s="1079">
        <f t="shared" si="17"/>
        <v>0</v>
      </c>
      <c r="Q105" s="1080">
        <f t="shared" si="17"/>
        <v>0</v>
      </c>
      <c r="R105" s="1080">
        <f t="shared" si="17"/>
        <v>0</v>
      </c>
      <c r="S105" s="1079">
        <f t="shared" si="17"/>
        <v>9000</v>
      </c>
      <c r="T105" s="1080">
        <f t="shared" si="17"/>
        <v>9000</v>
      </c>
      <c r="U105" s="1080">
        <f t="shared" si="17"/>
        <v>0</v>
      </c>
      <c r="V105" s="1079">
        <f t="shared" si="17"/>
        <v>12000</v>
      </c>
      <c r="W105" s="1080">
        <f t="shared" si="17"/>
        <v>12000</v>
      </c>
      <c r="X105" s="1080">
        <f t="shared" si="17"/>
        <v>0</v>
      </c>
    </row>
    <row r="106" spans="1:24" s="444" customFormat="1" ht="15.75" customHeight="1">
      <c r="A106" s="1087"/>
      <c r="B106" s="1083"/>
      <c r="C106" s="1085"/>
      <c r="D106" s="1106"/>
      <c r="E106" s="1087"/>
      <c r="F106" s="1087"/>
      <c r="G106" s="1083"/>
      <c r="H106" s="443">
        <v>486000</v>
      </c>
      <c r="I106" s="443">
        <v>0</v>
      </c>
      <c r="J106" s="1082"/>
      <c r="K106" s="1079"/>
      <c r="L106" s="1079"/>
      <c r="M106" s="1080"/>
      <c r="N106" s="1080"/>
      <c r="O106" s="1079"/>
      <c r="P106" s="1079"/>
      <c r="Q106" s="1080"/>
      <c r="R106" s="1080"/>
      <c r="S106" s="1079"/>
      <c r="T106" s="1080"/>
      <c r="U106" s="1080"/>
      <c r="V106" s="1079"/>
      <c r="W106" s="1080"/>
      <c r="X106" s="1080"/>
    </row>
    <row r="107" spans="1:24" s="444" customFormat="1" ht="15.75" customHeight="1">
      <c r="A107" s="1087">
        <v>5</v>
      </c>
      <c r="B107" s="1083" t="s">
        <v>517</v>
      </c>
      <c r="C107" s="1085" t="s">
        <v>518</v>
      </c>
      <c r="D107" s="1106" t="s">
        <v>527</v>
      </c>
      <c r="E107" s="1087" t="s">
        <v>528</v>
      </c>
      <c r="F107" s="1087" t="s">
        <v>521</v>
      </c>
      <c r="G107" s="1083" t="s">
        <v>529</v>
      </c>
      <c r="H107" s="443">
        <f>H108+H109+H110+H111</f>
        <v>0</v>
      </c>
      <c r="I107" s="443">
        <f>I108+I109+I110+I111</f>
        <v>0</v>
      </c>
      <c r="J107" s="1081" t="s">
        <v>20</v>
      </c>
      <c r="K107" s="1079">
        <f>L107+O107</f>
        <v>609881</v>
      </c>
      <c r="L107" s="1079">
        <f>M107+N107</f>
        <v>396422</v>
      </c>
      <c r="M107" s="1080">
        <v>41269</v>
      </c>
      <c r="N107" s="1080">
        <v>355153</v>
      </c>
      <c r="O107" s="1079">
        <f>P107+S107+V107</f>
        <v>213459</v>
      </c>
      <c r="P107" s="1079">
        <f>Q107+R107</f>
        <v>0</v>
      </c>
      <c r="Q107" s="1080">
        <v>0</v>
      </c>
      <c r="R107" s="1080">
        <v>0</v>
      </c>
      <c r="S107" s="1079">
        <f>T107+U107</f>
        <v>91483</v>
      </c>
      <c r="T107" s="1080">
        <v>9524</v>
      </c>
      <c r="U107" s="1080">
        <v>81959</v>
      </c>
      <c r="V107" s="1079">
        <f>W107+X107</f>
        <v>121976</v>
      </c>
      <c r="W107" s="1080">
        <v>12698</v>
      </c>
      <c r="X107" s="1080">
        <v>109278</v>
      </c>
    </row>
    <row r="108" spans="1:24" s="444" customFormat="1" ht="15.75" customHeight="1">
      <c r="A108" s="1087"/>
      <c r="B108" s="1083"/>
      <c r="C108" s="1085"/>
      <c r="D108" s="1106"/>
      <c r="E108" s="1087"/>
      <c r="F108" s="1087"/>
      <c r="G108" s="1083"/>
      <c r="H108" s="443">
        <v>0</v>
      </c>
      <c r="I108" s="443">
        <v>0</v>
      </c>
      <c r="J108" s="1082"/>
      <c r="K108" s="1079"/>
      <c r="L108" s="1079"/>
      <c r="M108" s="1080"/>
      <c r="N108" s="1080"/>
      <c r="O108" s="1079"/>
      <c r="P108" s="1079"/>
      <c r="Q108" s="1080"/>
      <c r="R108" s="1080"/>
      <c r="S108" s="1079"/>
      <c r="T108" s="1080"/>
      <c r="U108" s="1080"/>
      <c r="V108" s="1079"/>
      <c r="W108" s="1080"/>
      <c r="X108" s="1080"/>
    </row>
    <row r="109" spans="1:24" s="444" customFormat="1" ht="15.75" customHeight="1">
      <c r="A109" s="1087"/>
      <c r="B109" s="1083"/>
      <c r="C109" s="1085"/>
      <c r="D109" s="1106"/>
      <c r="E109" s="1087"/>
      <c r="F109" s="1087"/>
      <c r="G109" s="1083"/>
      <c r="H109" s="443">
        <v>0</v>
      </c>
      <c r="I109" s="443">
        <v>0</v>
      </c>
      <c r="J109" s="443" t="s">
        <v>21</v>
      </c>
      <c r="K109" s="445">
        <f>L109+O109</f>
        <v>-609881</v>
      </c>
      <c r="L109" s="445">
        <f>M109+N109</f>
        <v>-396422</v>
      </c>
      <c r="M109" s="446">
        <v>-41269</v>
      </c>
      <c r="N109" s="446">
        <v>-355153</v>
      </c>
      <c r="O109" s="445">
        <f>P109+S109+V109</f>
        <v>-213459</v>
      </c>
      <c r="P109" s="445">
        <f>Q109+R109</f>
        <v>0</v>
      </c>
      <c r="Q109" s="446">
        <v>0</v>
      </c>
      <c r="R109" s="446">
        <v>0</v>
      </c>
      <c r="S109" s="445">
        <f>T109+U109</f>
        <v>-91483</v>
      </c>
      <c r="T109" s="446">
        <v>-9524</v>
      </c>
      <c r="U109" s="446">
        <v>-81959</v>
      </c>
      <c r="V109" s="445">
        <f>W109+X109</f>
        <v>-121976</v>
      </c>
      <c r="W109" s="446">
        <v>-12698</v>
      </c>
      <c r="X109" s="446">
        <v>-109278</v>
      </c>
    </row>
    <row r="110" spans="1:24" s="444" customFormat="1" ht="15.75" customHeight="1">
      <c r="A110" s="1087"/>
      <c r="B110" s="1083"/>
      <c r="C110" s="1085"/>
      <c r="D110" s="1106"/>
      <c r="E110" s="1087"/>
      <c r="F110" s="1087"/>
      <c r="G110" s="1083"/>
      <c r="H110" s="443">
        <v>0</v>
      </c>
      <c r="I110" s="443">
        <v>0</v>
      </c>
      <c r="J110" s="1081" t="s">
        <v>22</v>
      </c>
      <c r="K110" s="1079">
        <f aca="true" t="shared" si="18" ref="K110:X110">K107+K109</f>
        <v>0</v>
      </c>
      <c r="L110" s="1079">
        <f t="shared" si="18"/>
        <v>0</v>
      </c>
      <c r="M110" s="1080">
        <f t="shared" si="18"/>
        <v>0</v>
      </c>
      <c r="N110" s="1080">
        <f t="shared" si="18"/>
        <v>0</v>
      </c>
      <c r="O110" s="1079">
        <f t="shared" si="18"/>
        <v>0</v>
      </c>
      <c r="P110" s="1079">
        <f t="shared" si="18"/>
        <v>0</v>
      </c>
      <c r="Q110" s="1080">
        <f t="shared" si="18"/>
        <v>0</v>
      </c>
      <c r="R110" s="1080">
        <f t="shared" si="18"/>
        <v>0</v>
      </c>
      <c r="S110" s="1079">
        <f t="shared" si="18"/>
        <v>0</v>
      </c>
      <c r="T110" s="1080">
        <f t="shared" si="18"/>
        <v>0</v>
      </c>
      <c r="U110" s="1080">
        <f t="shared" si="18"/>
        <v>0</v>
      </c>
      <c r="V110" s="1079">
        <f t="shared" si="18"/>
        <v>0</v>
      </c>
      <c r="W110" s="1080">
        <f t="shared" si="18"/>
        <v>0</v>
      </c>
      <c r="X110" s="1080">
        <f t="shared" si="18"/>
        <v>0</v>
      </c>
    </row>
    <row r="111" spans="1:24" s="444" customFormat="1" ht="15.75" customHeight="1">
      <c r="A111" s="1087"/>
      <c r="B111" s="1083"/>
      <c r="C111" s="1085"/>
      <c r="D111" s="1106"/>
      <c r="E111" s="1087"/>
      <c r="F111" s="1087"/>
      <c r="G111" s="1083"/>
      <c r="H111" s="443">
        <v>0</v>
      </c>
      <c r="I111" s="443">
        <v>0</v>
      </c>
      <c r="J111" s="1082"/>
      <c r="K111" s="1079"/>
      <c r="L111" s="1079"/>
      <c r="M111" s="1080"/>
      <c r="N111" s="1080"/>
      <c r="O111" s="1079"/>
      <c r="P111" s="1079"/>
      <c r="Q111" s="1080"/>
      <c r="R111" s="1080"/>
      <c r="S111" s="1079"/>
      <c r="T111" s="1080"/>
      <c r="U111" s="1080"/>
      <c r="V111" s="1079"/>
      <c r="W111" s="1080"/>
      <c r="X111" s="1080"/>
    </row>
    <row r="112" spans="1:24" s="444" customFormat="1" ht="15.75" customHeight="1">
      <c r="A112" s="1087">
        <v>6</v>
      </c>
      <c r="B112" s="1083" t="s">
        <v>517</v>
      </c>
      <c r="C112" s="1085" t="s">
        <v>518</v>
      </c>
      <c r="D112" s="1106" t="s">
        <v>530</v>
      </c>
      <c r="E112" s="1087" t="s">
        <v>528</v>
      </c>
      <c r="F112" s="1087" t="s">
        <v>521</v>
      </c>
      <c r="G112" s="1083" t="s">
        <v>524</v>
      </c>
      <c r="H112" s="443">
        <f>H113+H114+H115+H116</f>
        <v>850000</v>
      </c>
      <c r="I112" s="443">
        <f>I113+I114+I115+I116</f>
        <v>0</v>
      </c>
      <c r="J112" s="1081" t="s">
        <v>20</v>
      </c>
      <c r="K112" s="1079">
        <f>L112+O112</f>
        <v>0</v>
      </c>
      <c r="L112" s="1079">
        <f>M112+N112</f>
        <v>0</v>
      </c>
      <c r="M112" s="1080">
        <v>0</v>
      </c>
      <c r="N112" s="1080">
        <v>0</v>
      </c>
      <c r="O112" s="1079">
        <f>P112+S112+V112</f>
        <v>0</v>
      </c>
      <c r="P112" s="1079">
        <f>Q112+R112</f>
        <v>0</v>
      </c>
      <c r="Q112" s="1080">
        <v>0</v>
      </c>
      <c r="R112" s="1080">
        <v>0</v>
      </c>
      <c r="S112" s="1079">
        <f>T112+U112</f>
        <v>0</v>
      </c>
      <c r="T112" s="1080">
        <v>0</v>
      </c>
      <c r="U112" s="1080">
        <v>0</v>
      </c>
      <c r="V112" s="1079">
        <f>W112+X112</f>
        <v>0</v>
      </c>
      <c r="W112" s="1080">
        <v>0</v>
      </c>
      <c r="X112" s="1080">
        <v>0</v>
      </c>
    </row>
    <row r="113" spans="1:24" s="444" customFormat="1" ht="15.75" customHeight="1">
      <c r="A113" s="1087"/>
      <c r="B113" s="1083"/>
      <c r="C113" s="1085"/>
      <c r="D113" s="1106"/>
      <c r="E113" s="1087"/>
      <c r="F113" s="1087"/>
      <c r="G113" s="1083"/>
      <c r="H113" s="443">
        <v>552500</v>
      </c>
      <c r="I113" s="443">
        <v>0</v>
      </c>
      <c r="J113" s="1082"/>
      <c r="K113" s="1079"/>
      <c r="L113" s="1079"/>
      <c r="M113" s="1080"/>
      <c r="N113" s="1080"/>
      <c r="O113" s="1079"/>
      <c r="P113" s="1079"/>
      <c r="Q113" s="1080"/>
      <c r="R113" s="1080"/>
      <c r="S113" s="1079"/>
      <c r="T113" s="1080"/>
      <c r="U113" s="1080"/>
      <c r="V113" s="1079"/>
      <c r="W113" s="1080"/>
      <c r="X113" s="1080"/>
    </row>
    <row r="114" spans="1:24" s="444" customFormat="1" ht="15.75" customHeight="1">
      <c r="A114" s="1087"/>
      <c r="B114" s="1083"/>
      <c r="C114" s="1085"/>
      <c r="D114" s="1106"/>
      <c r="E114" s="1087"/>
      <c r="F114" s="1087"/>
      <c r="G114" s="1083"/>
      <c r="H114" s="443">
        <v>0</v>
      </c>
      <c r="I114" s="443">
        <v>0</v>
      </c>
      <c r="J114" s="443" t="s">
        <v>21</v>
      </c>
      <c r="K114" s="445">
        <f>L114+O114</f>
        <v>84000</v>
      </c>
      <c r="L114" s="445">
        <f>M114+N114</f>
        <v>54600</v>
      </c>
      <c r="M114" s="446">
        <v>13975</v>
      </c>
      <c r="N114" s="446">
        <v>40625</v>
      </c>
      <c r="O114" s="445">
        <f>P114+S114+V114</f>
        <v>29400</v>
      </c>
      <c r="P114" s="445">
        <f>Q114+R114</f>
        <v>0</v>
      </c>
      <c r="Q114" s="446">
        <v>0</v>
      </c>
      <c r="R114" s="446">
        <v>0</v>
      </c>
      <c r="S114" s="445">
        <f>T114+U114</f>
        <v>12600</v>
      </c>
      <c r="T114" s="446">
        <v>3225</v>
      </c>
      <c r="U114" s="446">
        <v>9375</v>
      </c>
      <c r="V114" s="445">
        <f>W114+X114</f>
        <v>16800</v>
      </c>
      <c r="W114" s="446">
        <v>4300</v>
      </c>
      <c r="X114" s="446">
        <v>12500</v>
      </c>
    </row>
    <row r="115" spans="1:24" s="444" customFormat="1" ht="15.75" customHeight="1">
      <c r="A115" s="1087"/>
      <c r="B115" s="1083"/>
      <c r="C115" s="1085"/>
      <c r="D115" s="1106"/>
      <c r="E115" s="1087"/>
      <c r="F115" s="1087"/>
      <c r="G115" s="1083"/>
      <c r="H115" s="443">
        <v>127500</v>
      </c>
      <c r="I115" s="443">
        <v>0</v>
      </c>
      <c r="J115" s="1081" t="s">
        <v>22</v>
      </c>
      <c r="K115" s="1079">
        <f aca="true" t="shared" si="19" ref="K115:X115">K112+K114</f>
        <v>84000</v>
      </c>
      <c r="L115" s="1079">
        <f t="shared" si="19"/>
        <v>54600</v>
      </c>
      <c r="M115" s="1080">
        <f t="shared" si="19"/>
        <v>13975</v>
      </c>
      <c r="N115" s="1080">
        <f t="shared" si="19"/>
        <v>40625</v>
      </c>
      <c r="O115" s="1079">
        <f t="shared" si="19"/>
        <v>29400</v>
      </c>
      <c r="P115" s="1079">
        <f t="shared" si="19"/>
        <v>0</v>
      </c>
      <c r="Q115" s="1080">
        <f t="shared" si="19"/>
        <v>0</v>
      </c>
      <c r="R115" s="1080">
        <f t="shared" si="19"/>
        <v>0</v>
      </c>
      <c r="S115" s="1079">
        <f t="shared" si="19"/>
        <v>12600</v>
      </c>
      <c r="T115" s="1080">
        <f t="shared" si="19"/>
        <v>3225</v>
      </c>
      <c r="U115" s="1080">
        <f t="shared" si="19"/>
        <v>9375</v>
      </c>
      <c r="V115" s="1079">
        <f t="shared" si="19"/>
        <v>16800</v>
      </c>
      <c r="W115" s="1080">
        <f t="shared" si="19"/>
        <v>4300</v>
      </c>
      <c r="X115" s="1080">
        <f t="shared" si="19"/>
        <v>12500</v>
      </c>
    </row>
    <row r="116" spans="1:24" s="444" customFormat="1" ht="15.75" customHeight="1">
      <c r="A116" s="1087"/>
      <c r="B116" s="1083"/>
      <c r="C116" s="1085"/>
      <c r="D116" s="1106"/>
      <c r="E116" s="1087"/>
      <c r="F116" s="1087"/>
      <c r="G116" s="1083"/>
      <c r="H116" s="443">
        <v>170000</v>
      </c>
      <c r="I116" s="443">
        <v>0</v>
      </c>
      <c r="J116" s="1082"/>
      <c r="K116" s="1079"/>
      <c r="L116" s="1079"/>
      <c r="M116" s="1080"/>
      <c r="N116" s="1080"/>
      <c r="O116" s="1079"/>
      <c r="P116" s="1079"/>
      <c r="Q116" s="1080"/>
      <c r="R116" s="1080"/>
      <c r="S116" s="1079"/>
      <c r="T116" s="1080"/>
      <c r="U116" s="1080"/>
      <c r="V116" s="1079"/>
      <c r="W116" s="1080"/>
      <c r="X116" s="1080"/>
    </row>
    <row r="117" spans="1:24" s="444" customFormat="1" ht="15.75" customHeight="1" hidden="1">
      <c r="A117" s="1087">
        <v>20</v>
      </c>
      <c r="B117" s="1083" t="s">
        <v>517</v>
      </c>
      <c r="C117" s="1085" t="s">
        <v>518</v>
      </c>
      <c r="D117" s="1106" t="s">
        <v>531</v>
      </c>
      <c r="E117" s="1087" t="s">
        <v>532</v>
      </c>
      <c r="F117" s="1087" t="s">
        <v>521</v>
      </c>
      <c r="G117" s="1083" t="s">
        <v>524</v>
      </c>
      <c r="H117" s="443">
        <f>H118+H119+H120+H121</f>
        <v>2377000</v>
      </c>
      <c r="I117" s="443">
        <f>I118+I119+I120+I121</f>
        <v>0</v>
      </c>
      <c r="J117" s="1081" t="s">
        <v>20</v>
      </c>
      <c r="K117" s="1079">
        <f>L117+O117</f>
        <v>223500</v>
      </c>
      <c r="L117" s="1079">
        <f>M117+N117</f>
        <v>145275</v>
      </c>
      <c r="M117" s="1080">
        <v>47775</v>
      </c>
      <c r="N117" s="1080">
        <v>97500</v>
      </c>
      <c r="O117" s="1079">
        <f>P117+S117+V117</f>
        <v>78225</v>
      </c>
      <c r="P117" s="1079">
        <f>Q117+R117</f>
        <v>0</v>
      </c>
      <c r="Q117" s="1080">
        <v>0</v>
      </c>
      <c r="R117" s="1080">
        <v>0</v>
      </c>
      <c r="S117" s="1079">
        <f>T117+U117</f>
        <v>33525</v>
      </c>
      <c r="T117" s="1080">
        <v>11025</v>
      </c>
      <c r="U117" s="1080">
        <v>22500</v>
      </c>
      <c r="V117" s="1079">
        <f>W117+X117</f>
        <v>44700</v>
      </c>
      <c r="W117" s="1080">
        <v>14700</v>
      </c>
      <c r="X117" s="1080">
        <v>30000</v>
      </c>
    </row>
    <row r="118" spans="1:24" s="444" customFormat="1" ht="15.75" customHeight="1" hidden="1">
      <c r="A118" s="1087"/>
      <c r="B118" s="1083"/>
      <c r="C118" s="1085"/>
      <c r="D118" s="1106"/>
      <c r="E118" s="1087"/>
      <c r="F118" s="1087"/>
      <c r="G118" s="1083"/>
      <c r="H118" s="443">
        <v>1545050</v>
      </c>
      <c r="I118" s="443">
        <v>0</v>
      </c>
      <c r="J118" s="1082"/>
      <c r="K118" s="1079"/>
      <c r="L118" s="1079"/>
      <c r="M118" s="1080"/>
      <c r="N118" s="1080"/>
      <c r="O118" s="1079"/>
      <c r="P118" s="1079"/>
      <c r="Q118" s="1080"/>
      <c r="R118" s="1080"/>
      <c r="S118" s="1079"/>
      <c r="T118" s="1080"/>
      <c r="U118" s="1080"/>
      <c r="V118" s="1079"/>
      <c r="W118" s="1080"/>
      <c r="X118" s="1080"/>
    </row>
    <row r="119" spans="1:24" s="444" customFormat="1" ht="15.75" customHeight="1" hidden="1">
      <c r="A119" s="1087"/>
      <c r="B119" s="1083"/>
      <c r="C119" s="1085"/>
      <c r="D119" s="1106"/>
      <c r="E119" s="1087"/>
      <c r="F119" s="1087"/>
      <c r="G119" s="1083"/>
      <c r="H119" s="443">
        <v>0</v>
      </c>
      <c r="I119" s="443">
        <v>0</v>
      </c>
      <c r="J119" s="443" t="s">
        <v>21</v>
      </c>
      <c r="K119" s="445">
        <f>L119+O119</f>
        <v>0</v>
      </c>
      <c r="L119" s="445">
        <f>M119+N119</f>
        <v>0</v>
      </c>
      <c r="M119" s="446">
        <v>0</v>
      </c>
      <c r="N119" s="446">
        <v>0</v>
      </c>
      <c r="O119" s="445">
        <f>P119+S119+V119</f>
        <v>0</v>
      </c>
      <c r="P119" s="445">
        <f>Q119+R119</f>
        <v>0</v>
      </c>
      <c r="Q119" s="446">
        <v>0</v>
      </c>
      <c r="R119" s="446">
        <v>0</v>
      </c>
      <c r="S119" s="445">
        <f>T119+U119</f>
        <v>0</v>
      </c>
      <c r="T119" s="446">
        <v>0</v>
      </c>
      <c r="U119" s="446">
        <v>0</v>
      </c>
      <c r="V119" s="445">
        <f>W119+X119</f>
        <v>0</v>
      </c>
      <c r="W119" s="446">
        <v>0</v>
      </c>
      <c r="X119" s="446">
        <v>0</v>
      </c>
    </row>
    <row r="120" spans="1:24" s="444" customFormat="1" ht="15.75" customHeight="1" hidden="1">
      <c r="A120" s="1087"/>
      <c r="B120" s="1083"/>
      <c r="C120" s="1085"/>
      <c r="D120" s="1106"/>
      <c r="E120" s="1087"/>
      <c r="F120" s="1087"/>
      <c r="G120" s="1083"/>
      <c r="H120" s="443">
        <v>356550</v>
      </c>
      <c r="I120" s="443">
        <v>0</v>
      </c>
      <c r="J120" s="1081" t="s">
        <v>22</v>
      </c>
      <c r="K120" s="1079">
        <f aca="true" t="shared" si="20" ref="K120:X120">K117+K119</f>
        <v>223500</v>
      </c>
      <c r="L120" s="1079">
        <f t="shared" si="20"/>
        <v>145275</v>
      </c>
      <c r="M120" s="1080">
        <f t="shared" si="20"/>
        <v>47775</v>
      </c>
      <c r="N120" s="1080">
        <f t="shared" si="20"/>
        <v>97500</v>
      </c>
      <c r="O120" s="1079">
        <f t="shared" si="20"/>
        <v>78225</v>
      </c>
      <c r="P120" s="1079">
        <f t="shared" si="20"/>
        <v>0</v>
      </c>
      <c r="Q120" s="1080">
        <f t="shared" si="20"/>
        <v>0</v>
      </c>
      <c r="R120" s="1080">
        <f t="shared" si="20"/>
        <v>0</v>
      </c>
      <c r="S120" s="1079">
        <f t="shared" si="20"/>
        <v>33525</v>
      </c>
      <c r="T120" s="1080">
        <f t="shared" si="20"/>
        <v>11025</v>
      </c>
      <c r="U120" s="1080">
        <f t="shared" si="20"/>
        <v>22500</v>
      </c>
      <c r="V120" s="1079">
        <f t="shared" si="20"/>
        <v>44700</v>
      </c>
      <c r="W120" s="1080">
        <f t="shared" si="20"/>
        <v>14700</v>
      </c>
      <c r="X120" s="1080">
        <f t="shared" si="20"/>
        <v>30000</v>
      </c>
    </row>
    <row r="121" spans="1:24" s="444" customFormat="1" ht="15.75" customHeight="1" hidden="1">
      <c r="A121" s="1087"/>
      <c r="B121" s="1083"/>
      <c r="C121" s="1085"/>
      <c r="D121" s="1106"/>
      <c r="E121" s="1087"/>
      <c r="F121" s="1087"/>
      <c r="G121" s="1083"/>
      <c r="H121" s="443">
        <v>475400</v>
      </c>
      <c r="I121" s="443">
        <v>0</v>
      </c>
      <c r="J121" s="1082"/>
      <c r="K121" s="1079"/>
      <c r="L121" s="1079"/>
      <c r="M121" s="1080"/>
      <c r="N121" s="1080"/>
      <c r="O121" s="1079"/>
      <c r="P121" s="1079"/>
      <c r="Q121" s="1080"/>
      <c r="R121" s="1080"/>
      <c r="S121" s="1079"/>
      <c r="T121" s="1080"/>
      <c r="U121" s="1080"/>
      <c r="V121" s="1079"/>
      <c r="W121" s="1080"/>
      <c r="X121" s="1080"/>
    </row>
    <row r="122" spans="1:24" s="444" customFormat="1" ht="15.75" customHeight="1" hidden="1">
      <c r="A122" s="1087">
        <v>21</v>
      </c>
      <c r="B122" s="1083" t="s">
        <v>517</v>
      </c>
      <c r="C122" s="1085" t="s">
        <v>518</v>
      </c>
      <c r="D122" s="1106" t="s">
        <v>533</v>
      </c>
      <c r="E122" s="1087" t="s">
        <v>534</v>
      </c>
      <c r="F122" s="1087" t="s">
        <v>521</v>
      </c>
      <c r="G122" s="1083" t="s">
        <v>535</v>
      </c>
      <c r="H122" s="443">
        <f>H123+H124+H125+H126</f>
        <v>531000</v>
      </c>
      <c r="I122" s="443">
        <f>I123+I124+I125+I126</f>
        <v>11000</v>
      </c>
      <c r="J122" s="1081" t="s">
        <v>20</v>
      </c>
      <c r="K122" s="1079">
        <f>L122+O122</f>
        <v>11000</v>
      </c>
      <c r="L122" s="1079">
        <f>M122+N122</f>
        <v>7150</v>
      </c>
      <c r="M122" s="1080">
        <v>7150</v>
      </c>
      <c r="N122" s="1080">
        <v>0</v>
      </c>
      <c r="O122" s="1079">
        <f>P122+S122+V122</f>
        <v>3850</v>
      </c>
      <c r="P122" s="1079">
        <f>Q122+R122</f>
        <v>0</v>
      </c>
      <c r="Q122" s="1080">
        <v>0</v>
      </c>
      <c r="R122" s="1080">
        <v>0</v>
      </c>
      <c r="S122" s="1079">
        <f>T122+U122</f>
        <v>1650</v>
      </c>
      <c r="T122" s="1080">
        <v>1650</v>
      </c>
      <c r="U122" s="1080">
        <v>0</v>
      </c>
      <c r="V122" s="1079">
        <f>W122+X122</f>
        <v>2200</v>
      </c>
      <c r="W122" s="1080">
        <v>2200</v>
      </c>
      <c r="X122" s="1080">
        <v>0</v>
      </c>
    </row>
    <row r="123" spans="1:24" s="444" customFormat="1" ht="15.75" customHeight="1" hidden="1">
      <c r="A123" s="1087"/>
      <c r="B123" s="1083"/>
      <c r="C123" s="1085"/>
      <c r="D123" s="1106"/>
      <c r="E123" s="1087"/>
      <c r="F123" s="1087"/>
      <c r="G123" s="1083"/>
      <c r="H123" s="443">
        <v>302250</v>
      </c>
      <c r="I123" s="443">
        <v>0</v>
      </c>
      <c r="J123" s="1082"/>
      <c r="K123" s="1079"/>
      <c r="L123" s="1079"/>
      <c r="M123" s="1080"/>
      <c r="N123" s="1080"/>
      <c r="O123" s="1079"/>
      <c r="P123" s="1079"/>
      <c r="Q123" s="1080"/>
      <c r="R123" s="1080"/>
      <c r="S123" s="1079"/>
      <c r="T123" s="1080"/>
      <c r="U123" s="1080"/>
      <c r="V123" s="1079"/>
      <c r="W123" s="1080"/>
      <c r="X123" s="1080"/>
    </row>
    <row r="124" spans="1:24" s="444" customFormat="1" ht="15.75" customHeight="1" hidden="1">
      <c r="A124" s="1087"/>
      <c r="B124" s="1083"/>
      <c r="C124" s="1085"/>
      <c r="D124" s="1106"/>
      <c r="E124" s="1087"/>
      <c r="F124" s="1087"/>
      <c r="G124" s="1083"/>
      <c r="H124" s="443">
        <v>0</v>
      </c>
      <c r="I124" s="443">
        <v>0</v>
      </c>
      <c r="J124" s="443" t="s">
        <v>21</v>
      </c>
      <c r="K124" s="445">
        <f>L124+O124</f>
        <v>0</v>
      </c>
      <c r="L124" s="445">
        <f>M124+N124</f>
        <v>0</v>
      </c>
      <c r="M124" s="446">
        <v>0</v>
      </c>
      <c r="N124" s="446">
        <v>0</v>
      </c>
      <c r="O124" s="445">
        <f>P124+S124+V124</f>
        <v>0</v>
      </c>
      <c r="P124" s="445">
        <f>Q124+R124</f>
        <v>0</v>
      </c>
      <c r="Q124" s="446">
        <v>0</v>
      </c>
      <c r="R124" s="446">
        <v>0</v>
      </c>
      <c r="S124" s="445">
        <f>T124+U124</f>
        <v>0</v>
      </c>
      <c r="T124" s="446">
        <v>0</v>
      </c>
      <c r="U124" s="446">
        <v>0</v>
      </c>
      <c r="V124" s="445">
        <f>W124+X124</f>
        <v>0</v>
      </c>
      <c r="W124" s="446">
        <v>0</v>
      </c>
      <c r="X124" s="446">
        <v>0</v>
      </c>
    </row>
    <row r="125" spans="1:24" s="444" customFormat="1" ht="15.75" customHeight="1" hidden="1">
      <c r="A125" s="1087"/>
      <c r="B125" s="1083"/>
      <c r="C125" s="1085"/>
      <c r="D125" s="1106"/>
      <c r="E125" s="1087"/>
      <c r="F125" s="1087"/>
      <c r="G125" s="1083"/>
      <c r="H125" s="443">
        <v>135750</v>
      </c>
      <c r="I125" s="443">
        <v>11000</v>
      </c>
      <c r="J125" s="1081" t="s">
        <v>22</v>
      </c>
      <c r="K125" s="1079">
        <f aca="true" t="shared" si="21" ref="K125:X125">K122+K124</f>
        <v>11000</v>
      </c>
      <c r="L125" s="1079">
        <f t="shared" si="21"/>
        <v>7150</v>
      </c>
      <c r="M125" s="1080">
        <f t="shared" si="21"/>
        <v>7150</v>
      </c>
      <c r="N125" s="1080">
        <f t="shared" si="21"/>
        <v>0</v>
      </c>
      <c r="O125" s="1079">
        <f t="shared" si="21"/>
        <v>3850</v>
      </c>
      <c r="P125" s="1079">
        <f t="shared" si="21"/>
        <v>0</v>
      </c>
      <c r="Q125" s="1080">
        <f t="shared" si="21"/>
        <v>0</v>
      </c>
      <c r="R125" s="1080">
        <f t="shared" si="21"/>
        <v>0</v>
      </c>
      <c r="S125" s="1079">
        <f t="shared" si="21"/>
        <v>1650</v>
      </c>
      <c r="T125" s="1080">
        <f t="shared" si="21"/>
        <v>1650</v>
      </c>
      <c r="U125" s="1080">
        <f t="shared" si="21"/>
        <v>0</v>
      </c>
      <c r="V125" s="1079">
        <f t="shared" si="21"/>
        <v>2200</v>
      </c>
      <c r="W125" s="1080">
        <f t="shared" si="21"/>
        <v>2200</v>
      </c>
      <c r="X125" s="1080">
        <f t="shared" si="21"/>
        <v>0</v>
      </c>
    </row>
    <row r="126" spans="1:24" s="444" customFormat="1" ht="15.75" customHeight="1" hidden="1">
      <c r="A126" s="1087"/>
      <c r="B126" s="1083"/>
      <c r="C126" s="1085"/>
      <c r="D126" s="1106"/>
      <c r="E126" s="1087"/>
      <c r="F126" s="1087"/>
      <c r="G126" s="1083"/>
      <c r="H126" s="443">
        <v>93000</v>
      </c>
      <c r="I126" s="443">
        <v>0</v>
      </c>
      <c r="J126" s="1082"/>
      <c r="K126" s="1079"/>
      <c r="L126" s="1079"/>
      <c r="M126" s="1080"/>
      <c r="N126" s="1080"/>
      <c r="O126" s="1079"/>
      <c r="P126" s="1079"/>
      <c r="Q126" s="1080"/>
      <c r="R126" s="1080"/>
      <c r="S126" s="1079"/>
      <c r="T126" s="1080"/>
      <c r="U126" s="1080"/>
      <c r="V126" s="1079"/>
      <c r="W126" s="1080"/>
      <c r="X126" s="1080"/>
    </row>
    <row r="127" spans="1:24" s="444" customFormat="1" ht="15.75" customHeight="1" hidden="1">
      <c r="A127" s="1087">
        <v>22</v>
      </c>
      <c r="B127" s="1083" t="s">
        <v>517</v>
      </c>
      <c r="C127" s="1085" t="s">
        <v>518</v>
      </c>
      <c r="D127" s="1106" t="s">
        <v>536</v>
      </c>
      <c r="E127" s="1087" t="s">
        <v>537</v>
      </c>
      <c r="F127" s="1087" t="s">
        <v>521</v>
      </c>
      <c r="G127" s="1083" t="s">
        <v>524</v>
      </c>
      <c r="H127" s="443">
        <f>H128+H129+H130+H131</f>
        <v>2241400</v>
      </c>
      <c r="I127" s="443">
        <f>I128+I129+I130+I131</f>
        <v>0</v>
      </c>
      <c r="J127" s="1081" t="s">
        <v>20</v>
      </c>
      <c r="K127" s="1079">
        <f>L127+O127</f>
        <v>96666</v>
      </c>
      <c r="L127" s="1079">
        <f>M127+N127</f>
        <v>62833</v>
      </c>
      <c r="M127" s="1080">
        <v>10833</v>
      </c>
      <c r="N127" s="1080">
        <v>52000</v>
      </c>
      <c r="O127" s="1079">
        <f>P127+S127+V127</f>
        <v>33833</v>
      </c>
      <c r="P127" s="1079">
        <f>Q127+R127</f>
        <v>0</v>
      </c>
      <c r="Q127" s="1080">
        <v>0</v>
      </c>
      <c r="R127" s="1080">
        <v>0</v>
      </c>
      <c r="S127" s="1079">
        <f>T127+U127</f>
        <v>14500</v>
      </c>
      <c r="T127" s="1080">
        <v>2500</v>
      </c>
      <c r="U127" s="1080">
        <v>12000</v>
      </c>
      <c r="V127" s="1079">
        <f>W127+X127</f>
        <v>19333</v>
      </c>
      <c r="W127" s="1080">
        <v>3333</v>
      </c>
      <c r="X127" s="1080">
        <v>16000</v>
      </c>
    </row>
    <row r="128" spans="1:24" s="444" customFormat="1" ht="15.75" customHeight="1" hidden="1">
      <c r="A128" s="1087"/>
      <c r="B128" s="1083"/>
      <c r="C128" s="1085"/>
      <c r="D128" s="1106"/>
      <c r="E128" s="1087"/>
      <c r="F128" s="1087"/>
      <c r="G128" s="1083"/>
      <c r="H128" s="443">
        <v>1456910</v>
      </c>
      <c r="I128" s="443">
        <v>0</v>
      </c>
      <c r="J128" s="1082"/>
      <c r="K128" s="1079"/>
      <c r="L128" s="1079"/>
      <c r="M128" s="1080"/>
      <c r="N128" s="1080"/>
      <c r="O128" s="1079"/>
      <c r="P128" s="1079"/>
      <c r="Q128" s="1080"/>
      <c r="R128" s="1080"/>
      <c r="S128" s="1079"/>
      <c r="T128" s="1080"/>
      <c r="U128" s="1080"/>
      <c r="V128" s="1079"/>
      <c r="W128" s="1080"/>
      <c r="X128" s="1080"/>
    </row>
    <row r="129" spans="1:24" s="444" customFormat="1" ht="15.75" customHeight="1" hidden="1">
      <c r="A129" s="1087"/>
      <c r="B129" s="1083"/>
      <c r="C129" s="1085"/>
      <c r="D129" s="1106"/>
      <c r="E129" s="1087"/>
      <c r="F129" s="1087"/>
      <c r="G129" s="1083"/>
      <c r="H129" s="443">
        <v>0</v>
      </c>
      <c r="I129" s="443">
        <v>0</v>
      </c>
      <c r="J129" s="443" t="s">
        <v>21</v>
      </c>
      <c r="K129" s="445">
        <f>L129+O129</f>
        <v>0</v>
      </c>
      <c r="L129" s="445">
        <f>M129+N129</f>
        <v>0</v>
      </c>
      <c r="M129" s="446">
        <v>0</v>
      </c>
      <c r="N129" s="446">
        <v>0</v>
      </c>
      <c r="O129" s="445">
        <f>P129+S129+V129</f>
        <v>0</v>
      </c>
      <c r="P129" s="445">
        <f>Q129+R129</f>
        <v>0</v>
      </c>
      <c r="Q129" s="446">
        <v>0</v>
      </c>
      <c r="R129" s="446">
        <v>0</v>
      </c>
      <c r="S129" s="445">
        <f>T129+U129</f>
        <v>0</v>
      </c>
      <c r="T129" s="446">
        <v>0</v>
      </c>
      <c r="U129" s="446">
        <v>0</v>
      </c>
      <c r="V129" s="445">
        <f>W129+X129</f>
        <v>0</v>
      </c>
      <c r="W129" s="446">
        <v>0</v>
      </c>
      <c r="X129" s="446">
        <v>0</v>
      </c>
    </row>
    <row r="130" spans="1:24" s="444" customFormat="1" ht="15.75" customHeight="1" hidden="1">
      <c r="A130" s="1087"/>
      <c r="B130" s="1083"/>
      <c r="C130" s="1085"/>
      <c r="D130" s="1106"/>
      <c r="E130" s="1087"/>
      <c r="F130" s="1087"/>
      <c r="G130" s="1083"/>
      <c r="H130" s="443">
        <v>336210</v>
      </c>
      <c r="I130" s="443">
        <v>0</v>
      </c>
      <c r="J130" s="1081" t="s">
        <v>22</v>
      </c>
      <c r="K130" s="1079">
        <f aca="true" t="shared" si="22" ref="K130:X130">K127+K129</f>
        <v>96666</v>
      </c>
      <c r="L130" s="1079">
        <f t="shared" si="22"/>
        <v>62833</v>
      </c>
      <c r="M130" s="1080">
        <f t="shared" si="22"/>
        <v>10833</v>
      </c>
      <c r="N130" s="1080">
        <f t="shared" si="22"/>
        <v>52000</v>
      </c>
      <c r="O130" s="1079">
        <f t="shared" si="22"/>
        <v>33833</v>
      </c>
      <c r="P130" s="1079">
        <f t="shared" si="22"/>
        <v>0</v>
      </c>
      <c r="Q130" s="1080">
        <f t="shared" si="22"/>
        <v>0</v>
      </c>
      <c r="R130" s="1080">
        <f t="shared" si="22"/>
        <v>0</v>
      </c>
      <c r="S130" s="1079">
        <f t="shared" si="22"/>
        <v>14500</v>
      </c>
      <c r="T130" s="1080">
        <f t="shared" si="22"/>
        <v>2500</v>
      </c>
      <c r="U130" s="1080">
        <f t="shared" si="22"/>
        <v>12000</v>
      </c>
      <c r="V130" s="1079">
        <f t="shared" si="22"/>
        <v>19333</v>
      </c>
      <c r="W130" s="1080">
        <f t="shared" si="22"/>
        <v>3333</v>
      </c>
      <c r="X130" s="1080">
        <f t="shared" si="22"/>
        <v>16000</v>
      </c>
    </row>
    <row r="131" spans="1:24" s="444" customFormat="1" ht="15.75" customHeight="1" hidden="1">
      <c r="A131" s="1087"/>
      <c r="B131" s="1083"/>
      <c r="C131" s="1085"/>
      <c r="D131" s="1106"/>
      <c r="E131" s="1087"/>
      <c r="F131" s="1087"/>
      <c r="G131" s="1083"/>
      <c r="H131" s="443">
        <v>448280</v>
      </c>
      <c r="I131" s="443">
        <v>0</v>
      </c>
      <c r="J131" s="1082"/>
      <c r="K131" s="1079"/>
      <c r="L131" s="1079"/>
      <c r="M131" s="1080"/>
      <c r="N131" s="1080"/>
      <c r="O131" s="1079"/>
      <c r="P131" s="1079"/>
      <c r="Q131" s="1080"/>
      <c r="R131" s="1080"/>
      <c r="S131" s="1079"/>
      <c r="T131" s="1080"/>
      <c r="U131" s="1080"/>
      <c r="V131" s="1079"/>
      <c r="W131" s="1080"/>
      <c r="X131" s="1080"/>
    </row>
    <row r="132" spans="1:24" s="444" customFormat="1" ht="15.75" customHeight="1" hidden="1">
      <c r="A132" s="1087">
        <v>23</v>
      </c>
      <c r="B132" s="1083" t="s">
        <v>517</v>
      </c>
      <c r="C132" s="1085" t="s">
        <v>518</v>
      </c>
      <c r="D132" s="1106" t="s">
        <v>538</v>
      </c>
      <c r="E132" s="1087" t="s">
        <v>537</v>
      </c>
      <c r="F132" s="1087" t="s">
        <v>521</v>
      </c>
      <c r="G132" s="1083" t="s">
        <v>529</v>
      </c>
      <c r="H132" s="443">
        <f>H133+H134+H135+H136</f>
        <v>999932</v>
      </c>
      <c r="I132" s="443">
        <f>I133+I134+I135+I136</f>
        <v>0</v>
      </c>
      <c r="J132" s="1081" t="s">
        <v>20</v>
      </c>
      <c r="K132" s="1079">
        <f>L132+O132</f>
        <v>88334</v>
      </c>
      <c r="L132" s="1079">
        <f>M132+N132</f>
        <v>57417</v>
      </c>
      <c r="M132" s="1080">
        <v>8017</v>
      </c>
      <c r="N132" s="1080">
        <v>49400</v>
      </c>
      <c r="O132" s="1079">
        <f>P132+S132+V132</f>
        <v>30917</v>
      </c>
      <c r="P132" s="1079">
        <f>Q132+R132</f>
        <v>0</v>
      </c>
      <c r="Q132" s="1080">
        <v>0</v>
      </c>
      <c r="R132" s="1080">
        <v>0</v>
      </c>
      <c r="S132" s="1079">
        <f>T132+U132</f>
        <v>13250</v>
      </c>
      <c r="T132" s="1080">
        <v>1850</v>
      </c>
      <c r="U132" s="1080">
        <v>11400</v>
      </c>
      <c r="V132" s="1079">
        <f>W132+X132</f>
        <v>17667</v>
      </c>
      <c r="W132" s="1080">
        <v>2467</v>
      </c>
      <c r="X132" s="1080">
        <v>15200</v>
      </c>
    </row>
    <row r="133" spans="1:24" s="444" customFormat="1" ht="15.75" customHeight="1" hidden="1">
      <c r="A133" s="1087"/>
      <c r="B133" s="1083"/>
      <c r="C133" s="1085"/>
      <c r="D133" s="1106"/>
      <c r="E133" s="1087"/>
      <c r="F133" s="1087"/>
      <c r="G133" s="1083"/>
      <c r="H133" s="443">
        <v>649956</v>
      </c>
      <c r="I133" s="443">
        <v>0</v>
      </c>
      <c r="J133" s="1082"/>
      <c r="K133" s="1079"/>
      <c r="L133" s="1079"/>
      <c r="M133" s="1080"/>
      <c r="N133" s="1080"/>
      <c r="O133" s="1079"/>
      <c r="P133" s="1079"/>
      <c r="Q133" s="1080"/>
      <c r="R133" s="1080"/>
      <c r="S133" s="1079"/>
      <c r="T133" s="1080"/>
      <c r="U133" s="1080"/>
      <c r="V133" s="1079"/>
      <c r="W133" s="1080"/>
      <c r="X133" s="1080"/>
    </row>
    <row r="134" spans="1:24" s="444" customFormat="1" ht="15.75" customHeight="1" hidden="1">
      <c r="A134" s="1087"/>
      <c r="B134" s="1083"/>
      <c r="C134" s="1085"/>
      <c r="D134" s="1106"/>
      <c r="E134" s="1087"/>
      <c r="F134" s="1087"/>
      <c r="G134" s="1083"/>
      <c r="H134" s="443">
        <v>0</v>
      </c>
      <c r="I134" s="443">
        <v>0</v>
      </c>
      <c r="J134" s="443" t="s">
        <v>21</v>
      </c>
      <c r="K134" s="445">
        <f>L134+O134</f>
        <v>0</v>
      </c>
      <c r="L134" s="445">
        <f>M134+N134</f>
        <v>0</v>
      </c>
      <c r="M134" s="446">
        <v>0</v>
      </c>
      <c r="N134" s="446">
        <v>0</v>
      </c>
      <c r="O134" s="445">
        <f>P134+S134+V134</f>
        <v>0</v>
      </c>
      <c r="P134" s="445">
        <f>Q134+R134</f>
        <v>0</v>
      </c>
      <c r="Q134" s="446">
        <v>0</v>
      </c>
      <c r="R134" s="446">
        <v>0</v>
      </c>
      <c r="S134" s="445">
        <f>T134+U134</f>
        <v>0</v>
      </c>
      <c r="T134" s="446">
        <v>0</v>
      </c>
      <c r="U134" s="446">
        <v>0</v>
      </c>
      <c r="V134" s="445">
        <f>W134+X134</f>
        <v>0</v>
      </c>
      <c r="W134" s="446">
        <v>0</v>
      </c>
      <c r="X134" s="446">
        <v>0</v>
      </c>
    </row>
    <row r="135" spans="1:24" s="444" customFormat="1" ht="15.75" customHeight="1" hidden="1">
      <c r="A135" s="1087"/>
      <c r="B135" s="1083"/>
      <c r="C135" s="1085"/>
      <c r="D135" s="1106"/>
      <c r="E135" s="1087"/>
      <c r="F135" s="1087"/>
      <c r="G135" s="1083"/>
      <c r="H135" s="443">
        <v>149990</v>
      </c>
      <c r="I135" s="443">
        <v>0</v>
      </c>
      <c r="J135" s="1081" t="s">
        <v>22</v>
      </c>
      <c r="K135" s="1079">
        <f aca="true" t="shared" si="23" ref="K135:X135">K132+K134</f>
        <v>88334</v>
      </c>
      <c r="L135" s="1079">
        <f t="shared" si="23"/>
        <v>57417</v>
      </c>
      <c r="M135" s="1080">
        <f t="shared" si="23"/>
        <v>8017</v>
      </c>
      <c r="N135" s="1080">
        <f t="shared" si="23"/>
        <v>49400</v>
      </c>
      <c r="O135" s="1079">
        <f t="shared" si="23"/>
        <v>30917</v>
      </c>
      <c r="P135" s="1079">
        <f t="shared" si="23"/>
        <v>0</v>
      </c>
      <c r="Q135" s="1080">
        <f t="shared" si="23"/>
        <v>0</v>
      </c>
      <c r="R135" s="1080">
        <f t="shared" si="23"/>
        <v>0</v>
      </c>
      <c r="S135" s="1079">
        <f t="shared" si="23"/>
        <v>13250</v>
      </c>
      <c r="T135" s="1080">
        <f t="shared" si="23"/>
        <v>1850</v>
      </c>
      <c r="U135" s="1080">
        <f t="shared" si="23"/>
        <v>11400</v>
      </c>
      <c r="V135" s="1079">
        <f t="shared" si="23"/>
        <v>17667</v>
      </c>
      <c r="W135" s="1080">
        <f t="shared" si="23"/>
        <v>2467</v>
      </c>
      <c r="X135" s="1080">
        <f t="shared" si="23"/>
        <v>15200</v>
      </c>
    </row>
    <row r="136" spans="1:24" s="444" customFormat="1" ht="15.75" customHeight="1" hidden="1">
      <c r="A136" s="1087"/>
      <c r="B136" s="1083"/>
      <c r="C136" s="1085"/>
      <c r="D136" s="1106"/>
      <c r="E136" s="1087"/>
      <c r="F136" s="1087"/>
      <c r="G136" s="1083"/>
      <c r="H136" s="443">
        <v>199986</v>
      </c>
      <c r="I136" s="443">
        <v>0</v>
      </c>
      <c r="J136" s="1082"/>
      <c r="K136" s="1079"/>
      <c r="L136" s="1079"/>
      <c r="M136" s="1080"/>
      <c r="N136" s="1080"/>
      <c r="O136" s="1079"/>
      <c r="P136" s="1079"/>
      <c r="Q136" s="1080"/>
      <c r="R136" s="1080"/>
      <c r="S136" s="1079"/>
      <c r="T136" s="1080"/>
      <c r="U136" s="1080"/>
      <c r="V136" s="1079"/>
      <c r="W136" s="1080"/>
      <c r="X136" s="1080"/>
    </row>
    <row r="137" spans="1:24" s="444" customFormat="1" ht="15.75" customHeight="1">
      <c r="A137" s="1087">
        <v>7</v>
      </c>
      <c r="B137" s="1084" t="s">
        <v>539</v>
      </c>
      <c r="C137" s="1085" t="s">
        <v>540</v>
      </c>
      <c r="D137" s="1086" t="s">
        <v>541</v>
      </c>
      <c r="E137" s="1087" t="s">
        <v>501</v>
      </c>
      <c r="F137" s="1087" t="s">
        <v>542</v>
      </c>
      <c r="G137" s="1087" t="s">
        <v>481</v>
      </c>
      <c r="H137" s="443">
        <f>H139+H138+H140+H141</f>
        <v>50980714</v>
      </c>
      <c r="I137" s="443">
        <f>I139+I138+I140+I141</f>
        <v>2958165</v>
      </c>
      <c r="J137" s="1081" t="s">
        <v>20</v>
      </c>
      <c r="K137" s="1079">
        <f>L137+O137</f>
        <v>11641835</v>
      </c>
      <c r="L137" s="1079">
        <f>M137+N137</f>
        <v>9741835</v>
      </c>
      <c r="M137" s="1080">
        <v>0</v>
      </c>
      <c r="N137" s="1080">
        <v>9741835</v>
      </c>
      <c r="O137" s="1079">
        <f>P137+S137+V137</f>
        <v>1900000</v>
      </c>
      <c r="P137" s="1079">
        <f>Q137+R137</f>
        <v>0</v>
      </c>
      <c r="Q137" s="1080">
        <v>0</v>
      </c>
      <c r="R137" s="1080">
        <v>0</v>
      </c>
      <c r="S137" s="1079">
        <f>T137+U137</f>
        <v>1900000</v>
      </c>
      <c r="T137" s="1080">
        <v>0</v>
      </c>
      <c r="U137" s="1080">
        <v>1900000</v>
      </c>
      <c r="V137" s="1079">
        <f>W137+X137</f>
        <v>0</v>
      </c>
      <c r="W137" s="1080">
        <v>0</v>
      </c>
      <c r="X137" s="1080">
        <v>0</v>
      </c>
    </row>
    <row r="138" spans="1:24" s="444" customFormat="1" ht="15.75" customHeight="1">
      <c r="A138" s="1087"/>
      <c r="B138" s="1084"/>
      <c r="C138" s="1085"/>
      <c r="D138" s="1086"/>
      <c r="E138" s="1087"/>
      <c r="F138" s="1087"/>
      <c r="G138" s="1087"/>
      <c r="H138" s="443">
        <v>43333607</v>
      </c>
      <c r="I138" s="443">
        <v>0</v>
      </c>
      <c r="J138" s="1082"/>
      <c r="K138" s="1079"/>
      <c r="L138" s="1079"/>
      <c r="M138" s="1080"/>
      <c r="N138" s="1080"/>
      <c r="O138" s="1079"/>
      <c r="P138" s="1079"/>
      <c r="Q138" s="1080"/>
      <c r="R138" s="1080"/>
      <c r="S138" s="1079"/>
      <c r="T138" s="1080"/>
      <c r="U138" s="1080"/>
      <c r="V138" s="1079"/>
      <c r="W138" s="1080"/>
      <c r="X138" s="1080"/>
    </row>
    <row r="139" spans="1:24" s="444" customFormat="1" ht="15.75" customHeight="1">
      <c r="A139" s="1087"/>
      <c r="B139" s="1084"/>
      <c r="C139" s="1085"/>
      <c r="D139" s="1086"/>
      <c r="E139" s="1087"/>
      <c r="F139" s="1087"/>
      <c r="G139" s="1087"/>
      <c r="H139" s="443">
        <v>0</v>
      </c>
      <c r="I139" s="443">
        <v>0</v>
      </c>
      <c r="J139" s="443" t="s">
        <v>21</v>
      </c>
      <c r="K139" s="445">
        <f>L139+O139</f>
        <v>315000</v>
      </c>
      <c r="L139" s="445">
        <f>M139+N139</f>
        <v>267750</v>
      </c>
      <c r="M139" s="446">
        <v>267750</v>
      </c>
      <c r="N139" s="446">
        <v>0</v>
      </c>
      <c r="O139" s="445">
        <f>P139+S139+V139</f>
        <v>47250</v>
      </c>
      <c r="P139" s="445">
        <f>Q139+R139</f>
        <v>0</v>
      </c>
      <c r="Q139" s="446">
        <v>0</v>
      </c>
      <c r="R139" s="446">
        <v>0</v>
      </c>
      <c r="S139" s="445">
        <f>T139+U139</f>
        <v>47250</v>
      </c>
      <c r="T139" s="446">
        <v>47250</v>
      </c>
      <c r="U139" s="446">
        <v>0</v>
      </c>
      <c r="V139" s="445">
        <f>W139+X139</f>
        <v>0</v>
      </c>
      <c r="W139" s="446">
        <v>0</v>
      </c>
      <c r="X139" s="446">
        <v>0</v>
      </c>
    </row>
    <row r="140" spans="1:24" s="444" customFormat="1" ht="15.75" customHeight="1">
      <c r="A140" s="1087"/>
      <c r="B140" s="1084"/>
      <c r="C140" s="1085"/>
      <c r="D140" s="1086"/>
      <c r="E140" s="1087"/>
      <c r="F140" s="1087"/>
      <c r="G140" s="1087"/>
      <c r="H140" s="443">
        <v>7647107</v>
      </c>
      <c r="I140" s="206">
        <v>2958165</v>
      </c>
      <c r="J140" s="1081" t="s">
        <v>22</v>
      </c>
      <c r="K140" s="1079">
        <f aca="true" t="shared" si="24" ref="K140:X140">K137+K139</f>
        <v>11956835</v>
      </c>
      <c r="L140" s="1079">
        <f t="shared" si="24"/>
        <v>10009585</v>
      </c>
      <c r="M140" s="1080">
        <f t="shared" si="24"/>
        <v>267750</v>
      </c>
      <c r="N140" s="1080">
        <f t="shared" si="24"/>
        <v>9741835</v>
      </c>
      <c r="O140" s="1079">
        <f t="shared" si="24"/>
        <v>1947250</v>
      </c>
      <c r="P140" s="1079">
        <f t="shared" si="24"/>
        <v>0</v>
      </c>
      <c r="Q140" s="1080">
        <f t="shared" si="24"/>
        <v>0</v>
      </c>
      <c r="R140" s="1080">
        <f t="shared" si="24"/>
        <v>0</v>
      </c>
      <c r="S140" s="1079">
        <f t="shared" si="24"/>
        <v>1947250</v>
      </c>
      <c r="T140" s="1080">
        <f t="shared" si="24"/>
        <v>47250</v>
      </c>
      <c r="U140" s="1080">
        <f t="shared" si="24"/>
        <v>1900000</v>
      </c>
      <c r="V140" s="1079">
        <f t="shared" si="24"/>
        <v>0</v>
      </c>
      <c r="W140" s="1080">
        <f t="shared" si="24"/>
        <v>0</v>
      </c>
      <c r="X140" s="1080">
        <f t="shared" si="24"/>
        <v>0</v>
      </c>
    </row>
    <row r="141" spans="1:24" s="444" customFormat="1" ht="15.75" customHeight="1">
      <c r="A141" s="1087"/>
      <c r="B141" s="1084"/>
      <c r="C141" s="1085"/>
      <c r="D141" s="1086"/>
      <c r="E141" s="1087"/>
      <c r="F141" s="1087"/>
      <c r="G141" s="1087"/>
      <c r="H141" s="443">
        <v>0</v>
      </c>
      <c r="I141" s="443">
        <v>0</v>
      </c>
      <c r="J141" s="1082"/>
      <c r="K141" s="1079"/>
      <c r="L141" s="1079"/>
      <c r="M141" s="1080"/>
      <c r="N141" s="1080"/>
      <c r="O141" s="1079"/>
      <c r="P141" s="1079"/>
      <c r="Q141" s="1080"/>
      <c r="R141" s="1080"/>
      <c r="S141" s="1079"/>
      <c r="T141" s="1080"/>
      <c r="U141" s="1080"/>
      <c r="V141" s="1079"/>
      <c r="W141" s="1080"/>
      <c r="X141" s="1080"/>
    </row>
    <row r="142" spans="1:24" s="444" customFormat="1" ht="15.75" customHeight="1" hidden="1">
      <c r="A142" s="1087">
        <v>25</v>
      </c>
      <c r="B142" s="1084" t="s">
        <v>539</v>
      </c>
      <c r="C142" s="1085" t="s">
        <v>540</v>
      </c>
      <c r="D142" s="1086" t="s">
        <v>543</v>
      </c>
      <c r="E142" s="1087" t="s">
        <v>501</v>
      </c>
      <c r="F142" s="1087" t="s">
        <v>542</v>
      </c>
      <c r="G142" s="1087" t="s">
        <v>535</v>
      </c>
      <c r="H142" s="443">
        <f>H144+H143+H145+H146</f>
        <v>100000000</v>
      </c>
      <c r="I142" s="443">
        <f>I144+I143+I145+I146</f>
        <v>8210895</v>
      </c>
      <c r="J142" s="1081" t="s">
        <v>20</v>
      </c>
      <c r="K142" s="1079">
        <f>L142+O142</f>
        <v>20389105</v>
      </c>
      <c r="L142" s="1079">
        <f>M142+N142</f>
        <v>18700000</v>
      </c>
      <c r="M142" s="1080">
        <v>0</v>
      </c>
      <c r="N142" s="1080">
        <v>18700000</v>
      </c>
      <c r="O142" s="1079">
        <f>P142+S142+V142</f>
        <v>1689105</v>
      </c>
      <c r="P142" s="1079">
        <f>Q142+R142</f>
        <v>0</v>
      </c>
      <c r="Q142" s="1080">
        <v>0</v>
      </c>
      <c r="R142" s="1080">
        <v>0</v>
      </c>
      <c r="S142" s="1079">
        <f>T142+U142</f>
        <v>1689105</v>
      </c>
      <c r="T142" s="1080">
        <v>0</v>
      </c>
      <c r="U142" s="1080">
        <v>1689105</v>
      </c>
      <c r="V142" s="1079">
        <f>W142+X142</f>
        <v>0</v>
      </c>
      <c r="W142" s="1080">
        <v>0</v>
      </c>
      <c r="X142" s="1080">
        <v>0</v>
      </c>
    </row>
    <row r="143" spans="1:24" s="444" customFormat="1" ht="15.75" customHeight="1" hidden="1">
      <c r="A143" s="1087"/>
      <c r="B143" s="1084"/>
      <c r="C143" s="1085"/>
      <c r="D143" s="1086"/>
      <c r="E143" s="1087"/>
      <c r="F143" s="1087"/>
      <c r="G143" s="1087"/>
      <c r="H143" s="443">
        <v>85000000</v>
      </c>
      <c r="I143" s="443">
        <v>0</v>
      </c>
      <c r="J143" s="1082"/>
      <c r="K143" s="1079"/>
      <c r="L143" s="1079"/>
      <c r="M143" s="1080"/>
      <c r="N143" s="1080"/>
      <c r="O143" s="1079"/>
      <c r="P143" s="1079"/>
      <c r="Q143" s="1080"/>
      <c r="R143" s="1080"/>
      <c r="S143" s="1079"/>
      <c r="T143" s="1080"/>
      <c r="U143" s="1080"/>
      <c r="V143" s="1079"/>
      <c r="W143" s="1080"/>
      <c r="X143" s="1080"/>
    </row>
    <row r="144" spans="1:24" s="444" customFormat="1" ht="15.75" customHeight="1" hidden="1">
      <c r="A144" s="1087"/>
      <c r="B144" s="1084"/>
      <c r="C144" s="1085"/>
      <c r="D144" s="1086"/>
      <c r="E144" s="1087"/>
      <c r="F144" s="1087"/>
      <c r="G144" s="1087"/>
      <c r="H144" s="443">
        <v>0</v>
      </c>
      <c r="I144" s="443">
        <v>0</v>
      </c>
      <c r="J144" s="443" t="s">
        <v>21</v>
      </c>
      <c r="K144" s="445">
        <f>L144+O144</f>
        <v>0</v>
      </c>
      <c r="L144" s="445">
        <f>M144+N144</f>
        <v>0</v>
      </c>
      <c r="M144" s="446">
        <v>0</v>
      </c>
      <c r="N144" s="446">
        <v>0</v>
      </c>
      <c r="O144" s="445">
        <f>P144+S144+V144</f>
        <v>0</v>
      </c>
      <c r="P144" s="445">
        <f>Q144+R144</f>
        <v>0</v>
      </c>
      <c r="Q144" s="446">
        <v>0</v>
      </c>
      <c r="R144" s="446">
        <v>0</v>
      </c>
      <c r="S144" s="445">
        <f>T144+U144</f>
        <v>0</v>
      </c>
      <c r="T144" s="446">
        <v>0</v>
      </c>
      <c r="U144" s="446">
        <v>0</v>
      </c>
      <c r="V144" s="445">
        <f>W144+X144</f>
        <v>0</v>
      </c>
      <c r="W144" s="446">
        <v>0</v>
      </c>
      <c r="X144" s="446">
        <v>0</v>
      </c>
    </row>
    <row r="145" spans="1:24" s="444" customFormat="1" ht="15.75" customHeight="1" hidden="1">
      <c r="A145" s="1087"/>
      <c r="B145" s="1084"/>
      <c r="C145" s="1085"/>
      <c r="D145" s="1086"/>
      <c r="E145" s="1087"/>
      <c r="F145" s="1087"/>
      <c r="G145" s="1087"/>
      <c r="H145" s="443">
        <v>15000000</v>
      </c>
      <c r="I145" s="443">
        <v>8210895</v>
      </c>
      <c r="J145" s="1081" t="s">
        <v>22</v>
      </c>
      <c r="K145" s="1079">
        <f aca="true" t="shared" si="25" ref="K145:X145">K142+K144</f>
        <v>20389105</v>
      </c>
      <c r="L145" s="1079">
        <f t="shared" si="25"/>
        <v>18700000</v>
      </c>
      <c r="M145" s="1080">
        <f t="shared" si="25"/>
        <v>0</v>
      </c>
      <c r="N145" s="1080">
        <f t="shared" si="25"/>
        <v>18700000</v>
      </c>
      <c r="O145" s="1079">
        <f t="shared" si="25"/>
        <v>1689105</v>
      </c>
      <c r="P145" s="1079">
        <f t="shared" si="25"/>
        <v>0</v>
      </c>
      <c r="Q145" s="1080">
        <f t="shared" si="25"/>
        <v>0</v>
      </c>
      <c r="R145" s="1080">
        <f t="shared" si="25"/>
        <v>0</v>
      </c>
      <c r="S145" s="1079">
        <f t="shared" si="25"/>
        <v>1689105</v>
      </c>
      <c r="T145" s="1080">
        <f t="shared" si="25"/>
        <v>0</v>
      </c>
      <c r="U145" s="1080">
        <f t="shared" si="25"/>
        <v>1689105</v>
      </c>
      <c r="V145" s="1079">
        <f t="shared" si="25"/>
        <v>0</v>
      </c>
      <c r="W145" s="1080">
        <f t="shared" si="25"/>
        <v>0</v>
      </c>
      <c r="X145" s="1080">
        <f t="shared" si="25"/>
        <v>0</v>
      </c>
    </row>
    <row r="146" spans="1:24" s="444" customFormat="1" ht="15.75" customHeight="1" hidden="1">
      <c r="A146" s="1087"/>
      <c r="B146" s="1084"/>
      <c r="C146" s="1085"/>
      <c r="D146" s="1086"/>
      <c r="E146" s="1087"/>
      <c r="F146" s="1087"/>
      <c r="G146" s="1087"/>
      <c r="H146" s="443">
        <v>0</v>
      </c>
      <c r="I146" s="443">
        <v>0</v>
      </c>
      <c r="J146" s="1082"/>
      <c r="K146" s="1079"/>
      <c r="L146" s="1079"/>
      <c r="M146" s="1080"/>
      <c r="N146" s="1080"/>
      <c r="O146" s="1079"/>
      <c r="P146" s="1079"/>
      <c r="Q146" s="1080"/>
      <c r="R146" s="1080"/>
      <c r="S146" s="1079"/>
      <c r="T146" s="1080"/>
      <c r="U146" s="1080"/>
      <c r="V146" s="1079"/>
      <c r="W146" s="1080"/>
      <c r="X146" s="1080"/>
    </row>
    <row r="147" spans="1:24" s="444" customFormat="1" ht="15.75" customHeight="1">
      <c r="A147" s="1087">
        <v>8</v>
      </c>
      <c r="B147" s="1084" t="s">
        <v>539</v>
      </c>
      <c r="C147" s="1085" t="s">
        <v>540</v>
      </c>
      <c r="D147" s="1086" t="s">
        <v>544</v>
      </c>
      <c r="E147" s="1087" t="s">
        <v>501</v>
      </c>
      <c r="F147" s="1087" t="s">
        <v>542</v>
      </c>
      <c r="G147" s="1087" t="s">
        <v>481</v>
      </c>
      <c r="H147" s="443">
        <f>H149+H148+H150+H151</f>
        <v>65965763</v>
      </c>
      <c r="I147" s="443">
        <f>I149+I148+I150+I151</f>
        <v>6000000</v>
      </c>
      <c r="J147" s="1081" t="s">
        <v>20</v>
      </c>
      <c r="K147" s="1079">
        <f>L147+O147</f>
        <v>17000000</v>
      </c>
      <c r="L147" s="1079">
        <f>M147+N147</f>
        <v>17000000</v>
      </c>
      <c r="M147" s="1080">
        <v>0</v>
      </c>
      <c r="N147" s="1080">
        <v>17000000</v>
      </c>
      <c r="O147" s="1079">
        <f>P147+S147+V147</f>
        <v>0</v>
      </c>
      <c r="P147" s="1079">
        <f>Q147+R147</f>
        <v>0</v>
      </c>
      <c r="Q147" s="1080">
        <v>0</v>
      </c>
      <c r="R147" s="1080">
        <v>0</v>
      </c>
      <c r="S147" s="1079">
        <f>T147+U147</f>
        <v>0</v>
      </c>
      <c r="T147" s="1080">
        <v>0</v>
      </c>
      <c r="U147" s="1080">
        <v>0</v>
      </c>
      <c r="V147" s="1079">
        <f>W147+X147</f>
        <v>0</v>
      </c>
      <c r="W147" s="1080">
        <v>0</v>
      </c>
      <c r="X147" s="1080">
        <v>0</v>
      </c>
    </row>
    <row r="148" spans="1:24" s="444" customFormat="1" ht="15.75" customHeight="1">
      <c r="A148" s="1087"/>
      <c r="B148" s="1084"/>
      <c r="C148" s="1085"/>
      <c r="D148" s="1086"/>
      <c r="E148" s="1087"/>
      <c r="F148" s="1087"/>
      <c r="G148" s="1087"/>
      <c r="H148" s="443">
        <v>56070899</v>
      </c>
      <c r="I148" s="443">
        <v>0</v>
      </c>
      <c r="J148" s="1082"/>
      <c r="K148" s="1079"/>
      <c r="L148" s="1079"/>
      <c r="M148" s="1080"/>
      <c r="N148" s="1080"/>
      <c r="O148" s="1079"/>
      <c r="P148" s="1079"/>
      <c r="Q148" s="1080"/>
      <c r="R148" s="1080"/>
      <c r="S148" s="1079"/>
      <c r="T148" s="1080"/>
      <c r="U148" s="1080"/>
      <c r="V148" s="1079"/>
      <c r="W148" s="1080"/>
      <c r="X148" s="1080"/>
    </row>
    <row r="149" spans="1:24" s="444" customFormat="1" ht="15.75" customHeight="1">
      <c r="A149" s="1087"/>
      <c r="B149" s="1084"/>
      <c r="C149" s="1085"/>
      <c r="D149" s="1086"/>
      <c r="E149" s="1087"/>
      <c r="F149" s="1087"/>
      <c r="G149" s="1087"/>
      <c r="H149" s="443">
        <v>0</v>
      </c>
      <c r="I149" s="443">
        <v>0</v>
      </c>
      <c r="J149" s="443" t="s">
        <v>21</v>
      </c>
      <c r="K149" s="445">
        <f>L149+O149</f>
        <v>360000</v>
      </c>
      <c r="L149" s="445">
        <f>M149+N149</f>
        <v>306000</v>
      </c>
      <c r="M149" s="446">
        <v>306000</v>
      </c>
      <c r="N149" s="446">
        <v>0</v>
      </c>
      <c r="O149" s="445">
        <f>P149+S149+V149</f>
        <v>54000</v>
      </c>
      <c r="P149" s="445">
        <f>Q149+R149</f>
        <v>0</v>
      </c>
      <c r="Q149" s="446">
        <v>0</v>
      </c>
      <c r="R149" s="446">
        <v>0</v>
      </c>
      <c r="S149" s="445">
        <f>T149+U149</f>
        <v>54000</v>
      </c>
      <c r="T149" s="446">
        <v>54000</v>
      </c>
      <c r="U149" s="446">
        <v>0</v>
      </c>
      <c r="V149" s="445">
        <f>W149+X149</f>
        <v>0</v>
      </c>
      <c r="W149" s="446">
        <v>0</v>
      </c>
      <c r="X149" s="446">
        <v>0</v>
      </c>
    </row>
    <row r="150" spans="1:24" s="444" customFormat="1" ht="15.75" customHeight="1">
      <c r="A150" s="1087"/>
      <c r="B150" s="1084"/>
      <c r="C150" s="1085"/>
      <c r="D150" s="1086"/>
      <c r="E150" s="1087"/>
      <c r="F150" s="1087"/>
      <c r="G150" s="1087"/>
      <c r="H150" s="443">
        <v>9894864</v>
      </c>
      <c r="I150" s="443">
        <v>6000000</v>
      </c>
      <c r="J150" s="1081" t="s">
        <v>22</v>
      </c>
      <c r="K150" s="1079">
        <f aca="true" t="shared" si="26" ref="K150:X150">K147+K149</f>
        <v>17360000</v>
      </c>
      <c r="L150" s="1079">
        <f t="shared" si="26"/>
        <v>17306000</v>
      </c>
      <c r="M150" s="1080">
        <f t="shared" si="26"/>
        <v>306000</v>
      </c>
      <c r="N150" s="1080">
        <f t="shared" si="26"/>
        <v>17000000</v>
      </c>
      <c r="O150" s="1079">
        <f t="shared" si="26"/>
        <v>54000</v>
      </c>
      <c r="P150" s="1079">
        <f t="shared" si="26"/>
        <v>0</v>
      </c>
      <c r="Q150" s="1080">
        <f t="shared" si="26"/>
        <v>0</v>
      </c>
      <c r="R150" s="1080">
        <f t="shared" si="26"/>
        <v>0</v>
      </c>
      <c r="S150" s="1079">
        <f t="shared" si="26"/>
        <v>54000</v>
      </c>
      <c r="T150" s="1080">
        <f t="shared" si="26"/>
        <v>54000</v>
      </c>
      <c r="U150" s="1080">
        <f t="shared" si="26"/>
        <v>0</v>
      </c>
      <c r="V150" s="1079">
        <f t="shared" si="26"/>
        <v>0</v>
      </c>
      <c r="W150" s="1080">
        <f t="shared" si="26"/>
        <v>0</v>
      </c>
      <c r="X150" s="1080">
        <f t="shared" si="26"/>
        <v>0</v>
      </c>
    </row>
    <row r="151" spans="1:24" s="444" customFormat="1" ht="15.75" customHeight="1">
      <c r="A151" s="1087"/>
      <c r="B151" s="1084"/>
      <c r="C151" s="1085"/>
      <c r="D151" s="1086"/>
      <c r="E151" s="1087"/>
      <c r="F151" s="1087"/>
      <c r="G151" s="1087"/>
      <c r="H151" s="443">
        <v>0</v>
      </c>
      <c r="I151" s="443">
        <v>0</v>
      </c>
      <c r="J151" s="1082"/>
      <c r="K151" s="1079"/>
      <c r="L151" s="1079"/>
      <c r="M151" s="1080"/>
      <c r="N151" s="1080"/>
      <c r="O151" s="1079"/>
      <c r="P151" s="1079"/>
      <c r="Q151" s="1080"/>
      <c r="R151" s="1080"/>
      <c r="S151" s="1079"/>
      <c r="T151" s="1080"/>
      <c r="U151" s="1080"/>
      <c r="V151" s="1079"/>
      <c r="W151" s="1080"/>
      <c r="X151" s="1080"/>
    </row>
    <row r="152" spans="1:24" s="444" customFormat="1" ht="15" customHeight="1" hidden="1">
      <c r="A152" s="1087">
        <v>27</v>
      </c>
      <c r="B152" s="1084" t="s">
        <v>539</v>
      </c>
      <c r="C152" s="1085" t="s">
        <v>540</v>
      </c>
      <c r="D152" s="1086" t="s">
        <v>545</v>
      </c>
      <c r="E152" s="1087" t="s">
        <v>501</v>
      </c>
      <c r="F152" s="1087" t="s">
        <v>542</v>
      </c>
      <c r="G152" s="1087" t="s">
        <v>535</v>
      </c>
      <c r="H152" s="443">
        <f>H154+H153+H155+H156</f>
        <v>45000000</v>
      </c>
      <c r="I152" s="443">
        <f>I154+I153+I155+I156</f>
        <v>0</v>
      </c>
      <c r="J152" s="1081" t="s">
        <v>20</v>
      </c>
      <c r="K152" s="1079">
        <f>L152+O152</f>
        <v>5000000</v>
      </c>
      <c r="L152" s="1079">
        <f>M152+N152</f>
        <v>4250000</v>
      </c>
      <c r="M152" s="1080">
        <v>0</v>
      </c>
      <c r="N152" s="1080">
        <v>4250000</v>
      </c>
      <c r="O152" s="1079">
        <f>P152+S152+V152</f>
        <v>750000</v>
      </c>
      <c r="P152" s="1079">
        <f>Q152+R152</f>
        <v>0</v>
      </c>
      <c r="Q152" s="1080">
        <v>0</v>
      </c>
      <c r="R152" s="1080">
        <v>0</v>
      </c>
      <c r="S152" s="1079">
        <f>T152+U152</f>
        <v>750000</v>
      </c>
      <c r="T152" s="1080">
        <v>0</v>
      </c>
      <c r="U152" s="1080">
        <v>750000</v>
      </c>
      <c r="V152" s="1079">
        <f>W152+X152</f>
        <v>0</v>
      </c>
      <c r="W152" s="1080">
        <v>0</v>
      </c>
      <c r="X152" s="1080">
        <v>0</v>
      </c>
    </row>
    <row r="153" spans="1:24" s="444" customFormat="1" ht="14.25" customHeight="1" hidden="1">
      <c r="A153" s="1087"/>
      <c r="B153" s="1084"/>
      <c r="C153" s="1085"/>
      <c r="D153" s="1086"/>
      <c r="E153" s="1087"/>
      <c r="F153" s="1087"/>
      <c r="G153" s="1087"/>
      <c r="H153" s="443">
        <v>38250000</v>
      </c>
      <c r="I153" s="443">
        <v>0</v>
      </c>
      <c r="J153" s="1082"/>
      <c r="K153" s="1079"/>
      <c r="L153" s="1079"/>
      <c r="M153" s="1080"/>
      <c r="N153" s="1080"/>
      <c r="O153" s="1079"/>
      <c r="P153" s="1079"/>
      <c r="Q153" s="1080"/>
      <c r="R153" s="1080"/>
      <c r="S153" s="1079"/>
      <c r="T153" s="1080"/>
      <c r="U153" s="1080"/>
      <c r="V153" s="1079"/>
      <c r="W153" s="1080"/>
      <c r="X153" s="1080"/>
    </row>
    <row r="154" spans="1:24" s="444" customFormat="1" ht="14.25" customHeight="1" hidden="1">
      <c r="A154" s="1087"/>
      <c r="B154" s="1084"/>
      <c r="C154" s="1085"/>
      <c r="D154" s="1086"/>
      <c r="E154" s="1087"/>
      <c r="F154" s="1087"/>
      <c r="G154" s="1087"/>
      <c r="H154" s="443">
        <v>0</v>
      </c>
      <c r="I154" s="443">
        <v>0</v>
      </c>
      <c r="J154" s="443" t="s">
        <v>21</v>
      </c>
      <c r="K154" s="445">
        <f>L154+O154</f>
        <v>0</v>
      </c>
      <c r="L154" s="445">
        <f>M154+N154</f>
        <v>0</v>
      </c>
      <c r="M154" s="446">
        <v>0</v>
      </c>
      <c r="N154" s="446">
        <v>0</v>
      </c>
      <c r="O154" s="445">
        <f>P154+S154+V154</f>
        <v>0</v>
      </c>
      <c r="P154" s="445">
        <f>Q154+R154</f>
        <v>0</v>
      </c>
      <c r="Q154" s="446">
        <v>0</v>
      </c>
      <c r="R154" s="446">
        <v>0</v>
      </c>
      <c r="S154" s="445">
        <f>T154+U154</f>
        <v>0</v>
      </c>
      <c r="T154" s="446">
        <v>0</v>
      </c>
      <c r="U154" s="446">
        <v>0</v>
      </c>
      <c r="V154" s="445">
        <f>W154+X154</f>
        <v>0</v>
      </c>
      <c r="W154" s="446">
        <v>0</v>
      </c>
      <c r="X154" s="446">
        <v>0</v>
      </c>
    </row>
    <row r="155" spans="1:24" s="444" customFormat="1" ht="14.25" customHeight="1" hidden="1">
      <c r="A155" s="1087"/>
      <c r="B155" s="1084"/>
      <c r="C155" s="1085"/>
      <c r="D155" s="1086"/>
      <c r="E155" s="1087"/>
      <c r="F155" s="1087"/>
      <c r="G155" s="1087"/>
      <c r="H155" s="443">
        <v>6750000</v>
      </c>
      <c r="I155" s="443">
        <v>0</v>
      </c>
      <c r="J155" s="1081" t="s">
        <v>22</v>
      </c>
      <c r="K155" s="1079">
        <f aca="true" t="shared" si="27" ref="K155:X155">K152+K154</f>
        <v>5000000</v>
      </c>
      <c r="L155" s="1079">
        <f t="shared" si="27"/>
        <v>4250000</v>
      </c>
      <c r="M155" s="1080">
        <f t="shared" si="27"/>
        <v>0</v>
      </c>
      <c r="N155" s="1080">
        <f t="shared" si="27"/>
        <v>4250000</v>
      </c>
      <c r="O155" s="1079">
        <f t="shared" si="27"/>
        <v>750000</v>
      </c>
      <c r="P155" s="1079">
        <f t="shared" si="27"/>
        <v>0</v>
      </c>
      <c r="Q155" s="1080">
        <f t="shared" si="27"/>
        <v>0</v>
      </c>
      <c r="R155" s="1080">
        <f t="shared" si="27"/>
        <v>0</v>
      </c>
      <c r="S155" s="1079">
        <f t="shared" si="27"/>
        <v>750000</v>
      </c>
      <c r="T155" s="1080">
        <f t="shared" si="27"/>
        <v>0</v>
      </c>
      <c r="U155" s="1080">
        <f t="shared" si="27"/>
        <v>750000</v>
      </c>
      <c r="V155" s="1079">
        <f t="shared" si="27"/>
        <v>0</v>
      </c>
      <c r="W155" s="1080">
        <f t="shared" si="27"/>
        <v>0</v>
      </c>
      <c r="X155" s="1080">
        <f t="shared" si="27"/>
        <v>0</v>
      </c>
    </row>
    <row r="156" spans="1:24" s="444" customFormat="1" ht="14.25" customHeight="1" hidden="1">
      <c r="A156" s="1087"/>
      <c r="B156" s="1084"/>
      <c r="C156" s="1085"/>
      <c r="D156" s="1086"/>
      <c r="E156" s="1087"/>
      <c r="F156" s="1087"/>
      <c r="G156" s="1087"/>
      <c r="H156" s="443">
        <v>0</v>
      </c>
      <c r="I156" s="443">
        <v>0</v>
      </c>
      <c r="J156" s="1082"/>
      <c r="K156" s="1079"/>
      <c r="L156" s="1079"/>
      <c r="M156" s="1080"/>
      <c r="N156" s="1080"/>
      <c r="O156" s="1079"/>
      <c r="P156" s="1079"/>
      <c r="Q156" s="1080"/>
      <c r="R156" s="1080"/>
      <c r="S156" s="1079"/>
      <c r="T156" s="1080"/>
      <c r="U156" s="1080"/>
      <c r="V156" s="1079"/>
      <c r="W156" s="1080"/>
      <c r="X156" s="1080"/>
    </row>
    <row r="157" spans="1:24" s="444" customFormat="1" ht="15" customHeight="1" hidden="1">
      <c r="A157" s="1087">
        <v>28</v>
      </c>
      <c r="B157" s="1083" t="s">
        <v>539</v>
      </c>
      <c r="C157" s="1085" t="s">
        <v>540</v>
      </c>
      <c r="D157" s="1106" t="s">
        <v>546</v>
      </c>
      <c r="E157" s="1087" t="s">
        <v>501</v>
      </c>
      <c r="F157" s="1087" t="s">
        <v>542</v>
      </c>
      <c r="G157" s="1083" t="s">
        <v>481</v>
      </c>
      <c r="H157" s="443">
        <f>H158+H159+H160+H161</f>
        <v>30000000</v>
      </c>
      <c r="I157" s="443">
        <f>I158+I159+I160+I161</f>
        <v>4500000</v>
      </c>
      <c r="J157" s="1081" t="s">
        <v>20</v>
      </c>
      <c r="K157" s="1079">
        <f>L157+O157</f>
        <v>10250000</v>
      </c>
      <c r="L157" s="1079">
        <f>M157+N157</f>
        <v>10250000</v>
      </c>
      <c r="M157" s="1080">
        <v>0</v>
      </c>
      <c r="N157" s="1080">
        <v>10250000</v>
      </c>
      <c r="O157" s="1079">
        <f>P157+S157+V157</f>
        <v>0</v>
      </c>
      <c r="P157" s="1079">
        <f>Q157+R157</f>
        <v>0</v>
      </c>
      <c r="Q157" s="1080">
        <v>0</v>
      </c>
      <c r="R157" s="1080">
        <v>0</v>
      </c>
      <c r="S157" s="1079">
        <f>T157+U157</f>
        <v>0</v>
      </c>
      <c r="T157" s="1080">
        <v>0</v>
      </c>
      <c r="U157" s="1080">
        <v>0</v>
      </c>
      <c r="V157" s="1079">
        <f>W157+X157</f>
        <v>0</v>
      </c>
      <c r="W157" s="1080">
        <v>0</v>
      </c>
      <c r="X157" s="1080">
        <v>0</v>
      </c>
    </row>
    <row r="158" spans="1:24" s="444" customFormat="1" ht="14.25" customHeight="1" hidden="1">
      <c r="A158" s="1087"/>
      <c r="B158" s="1083"/>
      <c r="C158" s="1085"/>
      <c r="D158" s="1106"/>
      <c r="E158" s="1087"/>
      <c r="F158" s="1087"/>
      <c r="G158" s="1083"/>
      <c r="H158" s="443">
        <v>25500000</v>
      </c>
      <c r="I158" s="443">
        <v>0</v>
      </c>
      <c r="J158" s="1082"/>
      <c r="K158" s="1079"/>
      <c r="L158" s="1079"/>
      <c r="M158" s="1080"/>
      <c r="N158" s="1080"/>
      <c r="O158" s="1079"/>
      <c r="P158" s="1079"/>
      <c r="Q158" s="1080"/>
      <c r="R158" s="1080"/>
      <c r="S158" s="1079"/>
      <c r="T158" s="1080"/>
      <c r="U158" s="1080"/>
      <c r="V158" s="1079"/>
      <c r="W158" s="1080"/>
      <c r="X158" s="1080"/>
    </row>
    <row r="159" spans="1:24" s="444" customFormat="1" ht="14.25" customHeight="1" hidden="1">
      <c r="A159" s="1087"/>
      <c r="B159" s="1083"/>
      <c r="C159" s="1085"/>
      <c r="D159" s="1106"/>
      <c r="E159" s="1087"/>
      <c r="F159" s="1087"/>
      <c r="G159" s="1083"/>
      <c r="H159" s="443">
        <v>0</v>
      </c>
      <c r="I159" s="443">
        <v>0</v>
      </c>
      <c r="J159" s="443" t="s">
        <v>21</v>
      </c>
      <c r="K159" s="445">
        <f>L159+O159</f>
        <v>0</v>
      </c>
      <c r="L159" s="445">
        <f>M159+N159</f>
        <v>0</v>
      </c>
      <c r="M159" s="446">
        <v>0</v>
      </c>
      <c r="N159" s="446">
        <v>0</v>
      </c>
      <c r="O159" s="445">
        <f>P159+S159+V159</f>
        <v>0</v>
      </c>
      <c r="P159" s="445">
        <f>Q159+R159</f>
        <v>0</v>
      </c>
      <c r="Q159" s="446">
        <v>0</v>
      </c>
      <c r="R159" s="446">
        <v>0</v>
      </c>
      <c r="S159" s="445">
        <f>T159+U159</f>
        <v>0</v>
      </c>
      <c r="T159" s="446">
        <v>0</v>
      </c>
      <c r="U159" s="446">
        <v>0</v>
      </c>
      <c r="V159" s="445">
        <f>W159+X159</f>
        <v>0</v>
      </c>
      <c r="W159" s="446">
        <v>0</v>
      </c>
      <c r="X159" s="446">
        <v>0</v>
      </c>
    </row>
    <row r="160" spans="1:24" s="444" customFormat="1" ht="14.25" customHeight="1" hidden="1">
      <c r="A160" s="1087"/>
      <c r="B160" s="1083"/>
      <c r="C160" s="1085"/>
      <c r="D160" s="1106"/>
      <c r="E160" s="1087"/>
      <c r="F160" s="1087"/>
      <c r="G160" s="1083"/>
      <c r="H160" s="443">
        <v>4500000</v>
      </c>
      <c r="I160" s="443">
        <v>4500000</v>
      </c>
      <c r="J160" s="1081" t="s">
        <v>22</v>
      </c>
      <c r="K160" s="1079">
        <f aca="true" t="shared" si="28" ref="K160:X160">K157+K159</f>
        <v>10250000</v>
      </c>
      <c r="L160" s="1079">
        <f t="shared" si="28"/>
        <v>10250000</v>
      </c>
      <c r="M160" s="1080">
        <f t="shared" si="28"/>
        <v>0</v>
      </c>
      <c r="N160" s="1080">
        <f t="shared" si="28"/>
        <v>10250000</v>
      </c>
      <c r="O160" s="1079">
        <f t="shared" si="28"/>
        <v>0</v>
      </c>
      <c r="P160" s="1079">
        <f t="shared" si="28"/>
        <v>0</v>
      </c>
      <c r="Q160" s="1080">
        <f t="shared" si="28"/>
        <v>0</v>
      </c>
      <c r="R160" s="1080">
        <f t="shared" si="28"/>
        <v>0</v>
      </c>
      <c r="S160" s="1079">
        <f t="shared" si="28"/>
        <v>0</v>
      </c>
      <c r="T160" s="1080">
        <f t="shared" si="28"/>
        <v>0</v>
      </c>
      <c r="U160" s="1080">
        <f t="shared" si="28"/>
        <v>0</v>
      </c>
      <c r="V160" s="1079">
        <f t="shared" si="28"/>
        <v>0</v>
      </c>
      <c r="W160" s="1080">
        <f t="shared" si="28"/>
        <v>0</v>
      </c>
      <c r="X160" s="1080">
        <f t="shared" si="28"/>
        <v>0</v>
      </c>
    </row>
    <row r="161" spans="1:24" s="444" customFormat="1" ht="14.25" customHeight="1" hidden="1">
      <c r="A161" s="1087"/>
      <c r="B161" s="1083"/>
      <c r="C161" s="1085"/>
      <c r="D161" s="1106"/>
      <c r="E161" s="1087"/>
      <c r="F161" s="1087"/>
      <c r="G161" s="1083"/>
      <c r="H161" s="443">
        <v>0</v>
      </c>
      <c r="I161" s="443">
        <v>0</v>
      </c>
      <c r="J161" s="1082"/>
      <c r="K161" s="1079"/>
      <c r="L161" s="1079"/>
      <c r="M161" s="1080"/>
      <c r="N161" s="1080"/>
      <c r="O161" s="1079"/>
      <c r="P161" s="1079"/>
      <c r="Q161" s="1080"/>
      <c r="R161" s="1080"/>
      <c r="S161" s="1079"/>
      <c r="T161" s="1080"/>
      <c r="U161" s="1080"/>
      <c r="V161" s="1079"/>
      <c r="W161" s="1080"/>
      <c r="X161" s="1080"/>
    </row>
    <row r="162" spans="1:24" s="444" customFormat="1" ht="15" customHeight="1" hidden="1">
      <c r="A162" s="1087">
        <v>29</v>
      </c>
      <c r="B162" s="1083" t="s">
        <v>539</v>
      </c>
      <c r="C162" s="1085" t="s">
        <v>540</v>
      </c>
      <c r="D162" s="1106" t="s">
        <v>547</v>
      </c>
      <c r="E162" s="1087" t="s">
        <v>501</v>
      </c>
      <c r="F162" s="1087" t="s">
        <v>542</v>
      </c>
      <c r="G162" s="1083" t="s">
        <v>481</v>
      </c>
      <c r="H162" s="443">
        <f>H163+H164+H165+H166</f>
        <v>32000000</v>
      </c>
      <c r="I162" s="443">
        <f>I163+I164+I165+I166</f>
        <v>2571030</v>
      </c>
      <c r="J162" s="1081" t="s">
        <v>20</v>
      </c>
      <c r="K162" s="1079">
        <f>L162+O162</f>
        <v>17428000</v>
      </c>
      <c r="L162" s="1079">
        <f>M162+N162</f>
        <v>17428000</v>
      </c>
      <c r="M162" s="1080">
        <v>0</v>
      </c>
      <c r="N162" s="1080">
        <v>17428000</v>
      </c>
      <c r="O162" s="1079">
        <f>P162+S162+V162</f>
        <v>0</v>
      </c>
      <c r="P162" s="1079">
        <f>Q162+R162</f>
        <v>0</v>
      </c>
      <c r="Q162" s="1080">
        <v>0</v>
      </c>
      <c r="R162" s="1080">
        <v>0</v>
      </c>
      <c r="S162" s="1079">
        <f>T162+U162</f>
        <v>0</v>
      </c>
      <c r="T162" s="1080">
        <v>0</v>
      </c>
      <c r="U162" s="1080">
        <v>0</v>
      </c>
      <c r="V162" s="1079">
        <f>W162+X162</f>
        <v>0</v>
      </c>
      <c r="W162" s="1080">
        <v>0</v>
      </c>
      <c r="X162" s="1080">
        <v>0</v>
      </c>
    </row>
    <row r="163" spans="1:24" s="444" customFormat="1" ht="14.25" customHeight="1" hidden="1">
      <c r="A163" s="1087"/>
      <c r="B163" s="1083"/>
      <c r="C163" s="1085"/>
      <c r="D163" s="1106"/>
      <c r="E163" s="1087"/>
      <c r="F163" s="1087"/>
      <c r="G163" s="1083"/>
      <c r="H163" s="443">
        <v>27200000</v>
      </c>
      <c r="I163" s="443">
        <v>0</v>
      </c>
      <c r="J163" s="1082"/>
      <c r="K163" s="1079"/>
      <c r="L163" s="1079"/>
      <c r="M163" s="1080"/>
      <c r="N163" s="1080"/>
      <c r="O163" s="1079"/>
      <c r="P163" s="1079"/>
      <c r="Q163" s="1080"/>
      <c r="R163" s="1080"/>
      <c r="S163" s="1079"/>
      <c r="T163" s="1080"/>
      <c r="U163" s="1080"/>
      <c r="V163" s="1079"/>
      <c r="W163" s="1080"/>
      <c r="X163" s="1080"/>
    </row>
    <row r="164" spans="1:24" s="444" customFormat="1" ht="14.25" customHeight="1" hidden="1">
      <c r="A164" s="1087"/>
      <c r="B164" s="1083"/>
      <c r="C164" s="1085"/>
      <c r="D164" s="1106"/>
      <c r="E164" s="1087"/>
      <c r="F164" s="1087"/>
      <c r="G164" s="1083"/>
      <c r="H164" s="443">
        <v>0</v>
      </c>
      <c r="I164" s="443">
        <v>0</v>
      </c>
      <c r="J164" s="443" t="s">
        <v>21</v>
      </c>
      <c r="K164" s="445">
        <f>L164+O164</f>
        <v>0</v>
      </c>
      <c r="L164" s="445">
        <f>M164+N164</f>
        <v>0</v>
      </c>
      <c r="M164" s="446">
        <v>0</v>
      </c>
      <c r="N164" s="446">
        <v>0</v>
      </c>
      <c r="O164" s="445">
        <f>P164+S164+V164</f>
        <v>0</v>
      </c>
      <c r="P164" s="445">
        <f>Q164+R164</f>
        <v>0</v>
      </c>
      <c r="Q164" s="446">
        <v>0</v>
      </c>
      <c r="R164" s="446">
        <v>0</v>
      </c>
      <c r="S164" s="445">
        <f>T164+U164</f>
        <v>0</v>
      </c>
      <c r="T164" s="446">
        <v>0</v>
      </c>
      <c r="U164" s="446">
        <v>0</v>
      </c>
      <c r="V164" s="445">
        <f>W164+X164</f>
        <v>0</v>
      </c>
      <c r="W164" s="446">
        <v>0</v>
      </c>
      <c r="X164" s="446">
        <v>0</v>
      </c>
    </row>
    <row r="165" spans="1:24" s="444" customFormat="1" ht="14.25" customHeight="1" hidden="1">
      <c r="A165" s="1087"/>
      <c r="B165" s="1083"/>
      <c r="C165" s="1085"/>
      <c r="D165" s="1106"/>
      <c r="E165" s="1087"/>
      <c r="F165" s="1087"/>
      <c r="G165" s="1083"/>
      <c r="H165" s="443">
        <v>4800000</v>
      </c>
      <c r="I165" s="443">
        <v>2571030</v>
      </c>
      <c r="J165" s="1081" t="s">
        <v>22</v>
      </c>
      <c r="K165" s="1079">
        <f aca="true" t="shared" si="29" ref="K165:X165">K162+K164</f>
        <v>17428000</v>
      </c>
      <c r="L165" s="1079">
        <f t="shared" si="29"/>
        <v>17428000</v>
      </c>
      <c r="M165" s="1080">
        <f t="shared" si="29"/>
        <v>0</v>
      </c>
      <c r="N165" s="1080">
        <f t="shared" si="29"/>
        <v>17428000</v>
      </c>
      <c r="O165" s="1079">
        <f t="shared" si="29"/>
        <v>0</v>
      </c>
      <c r="P165" s="1079">
        <f t="shared" si="29"/>
        <v>0</v>
      </c>
      <c r="Q165" s="1080">
        <f t="shared" si="29"/>
        <v>0</v>
      </c>
      <c r="R165" s="1080">
        <f t="shared" si="29"/>
        <v>0</v>
      </c>
      <c r="S165" s="1079">
        <f t="shared" si="29"/>
        <v>0</v>
      </c>
      <c r="T165" s="1080">
        <f t="shared" si="29"/>
        <v>0</v>
      </c>
      <c r="U165" s="1080">
        <f t="shared" si="29"/>
        <v>0</v>
      </c>
      <c r="V165" s="1079">
        <f t="shared" si="29"/>
        <v>0</v>
      </c>
      <c r="W165" s="1080">
        <f t="shared" si="29"/>
        <v>0</v>
      </c>
      <c r="X165" s="1080">
        <f t="shared" si="29"/>
        <v>0</v>
      </c>
    </row>
    <row r="166" spans="1:24" s="444" customFormat="1" ht="14.25" customHeight="1" hidden="1">
      <c r="A166" s="1087"/>
      <c r="B166" s="1083"/>
      <c r="C166" s="1085"/>
      <c r="D166" s="1106"/>
      <c r="E166" s="1087"/>
      <c r="F166" s="1087"/>
      <c r="G166" s="1083"/>
      <c r="H166" s="443">
        <v>0</v>
      </c>
      <c r="I166" s="443">
        <v>0</v>
      </c>
      <c r="J166" s="1082"/>
      <c r="K166" s="1079"/>
      <c r="L166" s="1079"/>
      <c r="M166" s="1080"/>
      <c r="N166" s="1080"/>
      <c r="O166" s="1079"/>
      <c r="P166" s="1079"/>
      <c r="Q166" s="1080"/>
      <c r="R166" s="1080"/>
      <c r="S166" s="1079"/>
      <c r="T166" s="1080"/>
      <c r="U166" s="1080"/>
      <c r="V166" s="1079"/>
      <c r="W166" s="1080"/>
      <c r="X166" s="1080"/>
    </row>
    <row r="167" spans="1:24" s="444" customFormat="1" ht="15" customHeight="1" hidden="1">
      <c r="A167" s="1087">
        <v>30</v>
      </c>
      <c r="B167" s="1083" t="s">
        <v>539</v>
      </c>
      <c r="C167" s="1085" t="s">
        <v>540</v>
      </c>
      <c r="D167" s="1106" t="s">
        <v>548</v>
      </c>
      <c r="E167" s="1087" t="s">
        <v>501</v>
      </c>
      <c r="F167" s="1087" t="s">
        <v>542</v>
      </c>
      <c r="G167" s="1083" t="s">
        <v>481</v>
      </c>
      <c r="H167" s="443">
        <f>H168+H169+H170+H171</f>
        <v>25000000</v>
      </c>
      <c r="I167" s="443">
        <f>I168+I169+I170+I171</f>
        <v>2551675</v>
      </c>
      <c r="J167" s="1081" t="s">
        <v>20</v>
      </c>
      <c r="K167" s="1079">
        <f>L167+O167</f>
        <v>10448325</v>
      </c>
      <c r="L167" s="1079">
        <f>M167+N167</f>
        <v>10448325</v>
      </c>
      <c r="M167" s="1080">
        <v>0</v>
      </c>
      <c r="N167" s="1080">
        <v>10448325</v>
      </c>
      <c r="O167" s="1079">
        <f>P167+S167+V167</f>
        <v>0</v>
      </c>
      <c r="P167" s="1079">
        <f>Q167+R167</f>
        <v>0</v>
      </c>
      <c r="Q167" s="1080">
        <v>0</v>
      </c>
      <c r="R167" s="1080">
        <v>0</v>
      </c>
      <c r="S167" s="1079">
        <f>T167+U167</f>
        <v>0</v>
      </c>
      <c r="T167" s="1080">
        <v>0</v>
      </c>
      <c r="U167" s="1080">
        <v>0</v>
      </c>
      <c r="V167" s="1079">
        <f>W167+X167</f>
        <v>0</v>
      </c>
      <c r="W167" s="1080">
        <v>0</v>
      </c>
      <c r="X167" s="1080">
        <v>0</v>
      </c>
    </row>
    <row r="168" spans="1:24" s="444" customFormat="1" ht="14.25" customHeight="1" hidden="1">
      <c r="A168" s="1087"/>
      <c r="B168" s="1083"/>
      <c r="C168" s="1085"/>
      <c r="D168" s="1106"/>
      <c r="E168" s="1087"/>
      <c r="F168" s="1087"/>
      <c r="G168" s="1083"/>
      <c r="H168" s="443">
        <v>21250000</v>
      </c>
      <c r="I168" s="443">
        <v>0</v>
      </c>
      <c r="J168" s="1082"/>
      <c r="K168" s="1079"/>
      <c r="L168" s="1079"/>
      <c r="M168" s="1080"/>
      <c r="N168" s="1080"/>
      <c r="O168" s="1079"/>
      <c r="P168" s="1079"/>
      <c r="Q168" s="1080"/>
      <c r="R168" s="1080"/>
      <c r="S168" s="1079"/>
      <c r="T168" s="1080"/>
      <c r="U168" s="1080"/>
      <c r="V168" s="1079"/>
      <c r="W168" s="1080"/>
      <c r="X168" s="1080"/>
    </row>
    <row r="169" spans="1:24" s="444" customFormat="1" ht="14.25" customHeight="1" hidden="1">
      <c r="A169" s="1087"/>
      <c r="B169" s="1083"/>
      <c r="C169" s="1085"/>
      <c r="D169" s="1106"/>
      <c r="E169" s="1087"/>
      <c r="F169" s="1087"/>
      <c r="G169" s="1083"/>
      <c r="H169" s="443">
        <v>0</v>
      </c>
      <c r="I169" s="443">
        <v>0</v>
      </c>
      <c r="J169" s="443" t="s">
        <v>21</v>
      </c>
      <c r="K169" s="445">
        <f>L169+O169</f>
        <v>0</v>
      </c>
      <c r="L169" s="445">
        <f>M169+N169</f>
        <v>0</v>
      </c>
      <c r="M169" s="446">
        <v>0</v>
      </c>
      <c r="N169" s="446">
        <v>0</v>
      </c>
      <c r="O169" s="445">
        <f>P169+S169+V169</f>
        <v>0</v>
      </c>
      <c r="P169" s="445">
        <f>Q169+R169</f>
        <v>0</v>
      </c>
      <c r="Q169" s="446">
        <v>0</v>
      </c>
      <c r="R169" s="446">
        <v>0</v>
      </c>
      <c r="S169" s="445">
        <f>T169+U169</f>
        <v>0</v>
      </c>
      <c r="T169" s="446">
        <v>0</v>
      </c>
      <c r="U169" s="446">
        <v>0</v>
      </c>
      <c r="V169" s="445">
        <f>W169+X169</f>
        <v>0</v>
      </c>
      <c r="W169" s="446">
        <v>0</v>
      </c>
      <c r="X169" s="446">
        <v>0</v>
      </c>
    </row>
    <row r="170" spans="1:24" s="444" customFormat="1" ht="14.25" customHeight="1" hidden="1">
      <c r="A170" s="1087"/>
      <c r="B170" s="1083"/>
      <c r="C170" s="1085"/>
      <c r="D170" s="1106"/>
      <c r="E170" s="1087"/>
      <c r="F170" s="1087"/>
      <c r="G170" s="1083"/>
      <c r="H170" s="443">
        <v>3750000</v>
      </c>
      <c r="I170" s="443">
        <v>2551675</v>
      </c>
      <c r="J170" s="1081" t="s">
        <v>22</v>
      </c>
      <c r="K170" s="1079">
        <f aca="true" t="shared" si="30" ref="K170:X170">K167+K169</f>
        <v>10448325</v>
      </c>
      <c r="L170" s="1079">
        <f t="shared" si="30"/>
        <v>10448325</v>
      </c>
      <c r="M170" s="1080">
        <f t="shared" si="30"/>
        <v>0</v>
      </c>
      <c r="N170" s="1080">
        <f t="shared" si="30"/>
        <v>10448325</v>
      </c>
      <c r="O170" s="1079">
        <f t="shared" si="30"/>
        <v>0</v>
      </c>
      <c r="P170" s="1079">
        <f t="shared" si="30"/>
        <v>0</v>
      </c>
      <c r="Q170" s="1080">
        <f t="shared" si="30"/>
        <v>0</v>
      </c>
      <c r="R170" s="1080">
        <f t="shared" si="30"/>
        <v>0</v>
      </c>
      <c r="S170" s="1079">
        <f t="shared" si="30"/>
        <v>0</v>
      </c>
      <c r="T170" s="1080">
        <f t="shared" si="30"/>
        <v>0</v>
      </c>
      <c r="U170" s="1080">
        <f t="shared" si="30"/>
        <v>0</v>
      </c>
      <c r="V170" s="1079">
        <f t="shared" si="30"/>
        <v>0</v>
      </c>
      <c r="W170" s="1080">
        <f t="shared" si="30"/>
        <v>0</v>
      </c>
      <c r="X170" s="1080">
        <f t="shared" si="30"/>
        <v>0</v>
      </c>
    </row>
    <row r="171" spans="1:24" s="444" customFormat="1" ht="14.25" customHeight="1" hidden="1">
      <c r="A171" s="1087"/>
      <c r="B171" s="1083"/>
      <c r="C171" s="1085"/>
      <c r="D171" s="1106"/>
      <c r="E171" s="1087"/>
      <c r="F171" s="1087"/>
      <c r="G171" s="1083"/>
      <c r="H171" s="443">
        <v>0</v>
      </c>
      <c r="I171" s="443">
        <v>0</v>
      </c>
      <c r="J171" s="1082"/>
      <c r="K171" s="1079"/>
      <c r="L171" s="1079"/>
      <c r="M171" s="1080"/>
      <c r="N171" s="1080"/>
      <c r="O171" s="1079"/>
      <c r="P171" s="1079"/>
      <c r="Q171" s="1080"/>
      <c r="R171" s="1080"/>
      <c r="S171" s="1079"/>
      <c r="T171" s="1080"/>
      <c r="U171" s="1080"/>
      <c r="V171" s="1079"/>
      <c r="W171" s="1080"/>
      <c r="X171" s="1080"/>
    </row>
    <row r="172" spans="1:24" s="444" customFormat="1" ht="15" customHeight="1" hidden="1">
      <c r="A172" s="1087">
        <v>31</v>
      </c>
      <c r="B172" s="1083" t="s">
        <v>539</v>
      </c>
      <c r="C172" s="1085" t="s">
        <v>540</v>
      </c>
      <c r="D172" s="1106" t="s">
        <v>549</v>
      </c>
      <c r="E172" s="1087" t="s">
        <v>501</v>
      </c>
      <c r="F172" s="1087" t="s">
        <v>542</v>
      </c>
      <c r="G172" s="1083" t="s">
        <v>550</v>
      </c>
      <c r="H172" s="443">
        <f>H173+H174+H175+H176</f>
        <v>50000000</v>
      </c>
      <c r="I172" s="443">
        <f>I173+I174+I175+I176</f>
        <v>0</v>
      </c>
      <c r="J172" s="1081" t="s">
        <v>20</v>
      </c>
      <c r="K172" s="1079">
        <f>L172+O172</f>
        <v>500000</v>
      </c>
      <c r="L172" s="1079">
        <f>M172+N172</f>
        <v>425000</v>
      </c>
      <c r="M172" s="1080">
        <v>0</v>
      </c>
      <c r="N172" s="1080">
        <v>425000</v>
      </c>
      <c r="O172" s="1079">
        <f>P172+S172+V172</f>
        <v>75000</v>
      </c>
      <c r="P172" s="1079">
        <f>Q172+R172</f>
        <v>0</v>
      </c>
      <c r="Q172" s="1080">
        <v>0</v>
      </c>
      <c r="R172" s="1080">
        <v>0</v>
      </c>
      <c r="S172" s="1079">
        <f>T172+U172</f>
        <v>75000</v>
      </c>
      <c r="T172" s="1080">
        <v>0</v>
      </c>
      <c r="U172" s="1080">
        <v>75000</v>
      </c>
      <c r="V172" s="1079">
        <f>W172+X172</f>
        <v>0</v>
      </c>
      <c r="W172" s="1080">
        <v>0</v>
      </c>
      <c r="X172" s="1080">
        <v>0</v>
      </c>
    </row>
    <row r="173" spans="1:24" s="444" customFormat="1" ht="14.25" customHeight="1" hidden="1">
      <c r="A173" s="1087"/>
      <c r="B173" s="1083"/>
      <c r="C173" s="1085"/>
      <c r="D173" s="1106"/>
      <c r="E173" s="1087"/>
      <c r="F173" s="1087"/>
      <c r="G173" s="1083"/>
      <c r="H173" s="443">
        <v>42500000</v>
      </c>
      <c r="I173" s="443">
        <v>0</v>
      </c>
      <c r="J173" s="1082"/>
      <c r="K173" s="1079"/>
      <c r="L173" s="1079"/>
      <c r="M173" s="1080"/>
      <c r="N173" s="1080"/>
      <c r="O173" s="1079"/>
      <c r="P173" s="1079"/>
      <c r="Q173" s="1080"/>
      <c r="R173" s="1080"/>
      <c r="S173" s="1079"/>
      <c r="T173" s="1080"/>
      <c r="U173" s="1080"/>
      <c r="V173" s="1079"/>
      <c r="W173" s="1080"/>
      <c r="X173" s="1080"/>
    </row>
    <row r="174" spans="1:24" s="444" customFormat="1" ht="14.25" customHeight="1" hidden="1">
      <c r="A174" s="1087"/>
      <c r="B174" s="1083"/>
      <c r="C174" s="1085"/>
      <c r="D174" s="1106"/>
      <c r="E174" s="1087"/>
      <c r="F174" s="1087"/>
      <c r="G174" s="1083"/>
      <c r="H174" s="443">
        <v>0</v>
      </c>
      <c r="I174" s="443">
        <v>0</v>
      </c>
      <c r="J174" s="443" t="s">
        <v>21</v>
      </c>
      <c r="K174" s="445">
        <f>L174+O174</f>
        <v>0</v>
      </c>
      <c r="L174" s="445">
        <f>M174+N174</f>
        <v>0</v>
      </c>
      <c r="M174" s="446">
        <v>0</v>
      </c>
      <c r="N174" s="446">
        <v>0</v>
      </c>
      <c r="O174" s="445">
        <f>P174+S174+V174</f>
        <v>0</v>
      </c>
      <c r="P174" s="445">
        <f>Q174+R174</f>
        <v>0</v>
      </c>
      <c r="Q174" s="446">
        <v>0</v>
      </c>
      <c r="R174" s="446">
        <v>0</v>
      </c>
      <c r="S174" s="445">
        <f>T174+U174</f>
        <v>0</v>
      </c>
      <c r="T174" s="446">
        <v>0</v>
      </c>
      <c r="U174" s="446">
        <v>0</v>
      </c>
      <c r="V174" s="445">
        <f>W174+X174</f>
        <v>0</v>
      </c>
      <c r="W174" s="446">
        <v>0</v>
      </c>
      <c r="X174" s="446">
        <v>0</v>
      </c>
    </row>
    <row r="175" spans="1:24" s="444" customFormat="1" ht="14.25" customHeight="1" hidden="1">
      <c r="A175" s="1087"/>
      <c r="B175" s="1083"/>
      <c r="C175" s="1085"/>
      <c r="D175" s="1106"/>
      <c r="E175" s="1087"/>
      <c r="F175" s="1087"/>
      <c r="G175" s="1083"/>
      <c r="H175" s="443">
        <v>7500000</v>
      </c>
      <c r="I175" s="443">
        <v>0</v>
      </c>
      <c r="J175" s="1081" t="s">
        <v>22</v>
      </c>
      <c r="K175" s="1079">
        <f aca="true" t="shared" si="31" ref="K175:X175">K172+K174</f>
        <v>500000</v>
      </c>
      <c r="L175" s="1079">
        <f t="shared" si="31"/>
        <v>425000</v>
      </c>
      <c r="M175" s="1080">
        <f t="shared" si="31"/>
        <v>0</v>
      </c>
      <c r="N175" s="1080">
        <f t="shared" si="31"/>
        <v>425000</v>
      </c>
      <c r="O175" s="1079">
        <f t="shared" si="31"/>
        <v>75000</v>
      </c>
      <c r="P175" s="1079">
        <f t="shared" si="31"/>
        <v>0</v>
      </c>
      <c r="Q175" s="1080">
        <f t="shared" si="31"/>
        <v>0</v>
      </c>
      <c r="R175" s="1080">
        <f t="shared" si="31"/>
        <v>0</v>
      </c>
      <c r="S175" s="1079">
        <f t="shared" si="31"/>
        <v>75000</v>
      </c>
      <c r="T175" s="1080">
        <f t="shared" si="31"/>
        <v>0</v>
      </c>
      <c r="U175" s="1080">
        <f t="shared" si="31"/>
        <v>75000</v>
      </c>
      <c r="V175" s="1079">
        <f t="shared" si="31"/>
        <v>0</v>
      </c>
      <c r="W175" s="1080">
        <f t="shared" si="31"/>
        <v>0</v>
      </c>
      <c r="X175" s="1080">
        <f t="shared" si="31"/>
        <v>0</v>
      </c>
    </row>
    <row r="176" spans="1:24" s="444" customFormat="1" ht="14.25" customHeight="1" hidden="1">
      <c r="A176" s="1087"/>
      <c r="B176" s="1083"/>
      <c r="C176" s="1085"/>
      <c r="D176" s="1106"/>
      <c r="E176" s="1087"/>
      <c r="F176" s="1087"/>
      <c r="G176" s="1083"/>
      <c r="H176" s="443">
        <v>0</v>
      </c>
      <c r="I176" s="443">
        <v>0</v>
      </c>
      <c r="J176" s="1082"/>
      <c r="K176" s="1079"/>
      <c r="L176" s="1079"/>
      <c r="M176" s="1080"/>
      <c r="N176" s="1080"/>
      <c r="O176" s="1079"/>
      <c r="P176" s="1079"/>
      <c r="Q176" s="1080"/>
      <c r="R176" s="1080"/>
      <c r="S176" s="1079"/>
      <c r="T176" s="1080"/>
      <c r="U176" s="1080"/>
      <c r="V176" s="1079"/>
      <c r="W176" s="1080"/>
      <c r="X176" s="1080"/>
    </row>
    <row r="177" spans="1:24" s="444" customFormat="1" ht="15" customHeight="1" hidden="1">
      <c r="A177" s="1087">
        <v>32</v>
      </c>
      <c r="B177" s="1083" t="s">
        <v>539</v>
      </c>
      <c r="C177" s="1085" t="s">
        <v>540</v>
      </c>
      <c r="D177" s="1106" t="s">
        <v>551</v>
      </c>
      <c r="E177" s="1087" t="s">
        <v>501</v>
      </c>
      <c r="F177" s="1087" t="s">
        <v>542</v>
      </c>
      <c r="G177" s="1083" t="s">
        <v>492</v>
      </c>
      <c r="H177" s="443">
        <f>H178+H179+H180+H181</f>
        <v>50000000</v>
      </c>
      <c r="I177" s="443">
        <f>I178+I179+I180+I181</f>
        <v>0</v>
      </c>
      <c r="J177" s="1081" t="s">
        <v>20</v>
      </c>
      <c r="K177" s="1079">
        <f>L177+O177</f>
        <v>5000000</v>
      </c>
      <c r="L177" s="1079">
        <f>M177+N177</f>
        <v>4250000</v>
      </c>
      <c r="M177" s="1080">
        <v>0</v>
      </c>
      <c r="N177" s="1080">
        <v>4250000</v>
      </c>
      <c r="O177" s="1079">
        <f>P177+S177+V177</f>
        <v>750000</v>
      </c>
      <c r="P177" s="1079">
        <f>Q177+R177</f>
        <v>0</v>
      </c>
      <c r="Q177" s="1080">
        <v>0</v>
      </c>
      <c r="R177" s="1080">
        <v>0</v>
      </c>
      <c r="S177" s="1079">
        <f>T177+U177</f>
        <v>750000</v>
      </c>
      <c r="T177" s="1080">
        <v>0</v>
      </c>
      <c r="U177" s="1080">
        <v>750000</v>
      </c>
      <c r="V177" s="1079">
        <f>W177+X177</f>
        <v>0</v>
      </c>
      <c r="W177" s="1080">
        <v>0</v>
      </c>
      <c r="X177" s="1080">
        <v>0</v>
      </c>
    </row>
    <row r="178" spans="1:24" s="444" customFormat="1" ht="14.25" customHeight="1" hidden="1">
      <c r="A178" s="1087"/>
      <c r="B178" s="1083"/>
      <c r="C178" s="1085"/>
      <c r="D178" s="1106"/>
      <c r="E178" s="1087"/>
      <c r="F178" s="1087"/>
      <c r="G178" s="1083"/>
      <c r="H178" s="443">
        <v>42500000</v>
      </c>
      <c r="I178" s="443">
        <v>0</v>
      </c>
      <c r="J178" s="1082"/>
      <c r="K178" s="1079"/>
      <c r="L178" s="1079"/>
      <c r="M178" s="1080"/>
      <c r="N178" s="1080"/>
      <c r="O178" s="1079"/>
      <c r="P178" s="1079"/>
      <c r="Q178" s="1080"/>
      <c r="R178" s="1080"/>
      <c r="S178" s="1079"/>
      <c r="T178" s="1080"/>
      <c r="U178" s="1080"/>
      <c r="V178" s="1079"/>
      <c r="W178" s="1080"/>
      <c r="X178" s="1080"/>
    </row>
    <row r="179" spans="1:24" s="444" customFormat="1" ht="14.25" customHeight="1" hidden="1">
      <c r="A179" s="1087"/>
      <c r="B179" s="1083"/>
      <c r="C179" s="1085"/>
      <c r="D179" s="1106"/>
      <c r="E179" s="1087"/>
      <c r="F179" s="1087"/>
      <c r="G179" s="1083"/>
      <c r="H179" s="443">
        <v>0</v>
      </c>
      <c r="I179" s="443">
        <v>0</v>
      </c>
      <c r="J179" s="443" t="s">
        <v>21</v>
      </c>
      <c r="K179" s="445">
        <f>L179+O179</f>
        <v>0</v>
      </c>
      <c r="L179" s="445">
        <f>M179+N179</f>
        <v>0</v>
      </c>
      <c r="M179" s="446">
        <v>0</v>
      </c>
      <c r="N179" s="446">
        <v>0</v>
      </c>
      <c r="O179" s="445">
        <f>P179+S179+V179</f>
        <v>0</v>
      </c>
      <c r="P179" s="445">
        <f>Q179+R179</f>
        <v>0</v>
      </c>
      <c r="Q179" s="446">
        <v>0</v>
      </c>
      <c r="R179" s="446">
        <v>0</v>
      </c>
      <c r="S179" s="445">
        <f>T179+U179</f>
        <v>0</v>
      </c>
      <c r="T179" s="446">
        <v>0</v>
      </c>
      <c r="U179" s="446">
        <v>0</v>
      </c>
      <c r="V179" s="445">
        <f>W179+X179</f>
        <v>0</v>
      </c>
      <c r="W179" s="446">
        <v>0</v>
      </c>
      <c r="X179" s="446">
        <v>0</v>
      </c>
    </row>
    <row r="180" spans="1:24" s="444" customFormat="1" ht="14.25" customHeight="1" hidden="1">
      <c r="A180" s="1087"/>
      <c r="B180" s="1083"/>
      <c r="C180" s="1085"/>
      <c r="D180" s="1106"/>
      <c r="E180" s="1087"/>
      <c r="F180" s="1087"/>
      <c r="G180" s="1083"/>
      <c r="H180" s="443">
        <v>7500000</v>
      </c>
      <c r="I180" s="443">
        <v>0</v>
      </c>
      <c r="J180" s="1081" t="s">
        <v>22</v>
      </c>
      <c r="K180" s="1079">
        <f aca="true" t="shared" si="32" ref="K180:X180">K177+K179</f>
        <v>5000000</v>
      </c>
      <c r="L180" s="1079">
        <f t="shared" si="32"/>
        <v>4250000</v>
      </c>
      <c r="M180" s="1080">
        <f t="shared" si="32"/>
        <v>0</v>
      </c>
      <c r="N180" s="1080">
        <f t="shared" si="32"/>
        <v>4250000</v>
      </c>
      <c r="O180" s="1079">
        <f t="shared" si="32"/>
        <v>750000</v>
      </c>
      <c r="P180" s="1079">
        <f t="shared" si="32"/>
        <v>0</v>
      </c>
      <c r="Q180" s="1080">
        <f t="shared" si="32"/>
        <v>0</v>
      </c>
      <c r="R180" s="1080">
        <f t="shared" si="32"/>
        <v>0</v>
      </c>
      <c r="S180" s="1079">
        <f t="shared" si="32"/>
        <v>750000</v>
      </c>
      <c r="T180" s="1080">
        <f t="shared" si="32"/>
        <v>0</v>
      </c>
      <c r="U180" s="1080">
        <f t="shared" si="32"/>
        <v>750000</v>
      </c>
      <c r="V180" s="1079">
        <f t="shared" si="32"/>
        <v>0</v>
      </c>
      <c r="W180" s="1080">
        <f t="shared" si="32"/>
        <v>0</v>
      </c>
      <c r="X180" s="1080">
        <f t="shared" si="32"/>
        <v>0</v>
      </c>
    </row>
    <row r="181" spans="1:24" s="444" customFormat="1" ht="14.25" customHeight="1" hidden="1">
      <c r="A181" s="1087"/>
      <c r="B181" s="1083"/>
      <c r="C181" s="1085"/>
      <c r="D181" s="1106"/>
      <c r="E181" s="1087"/>
      <c r="F181" s="1087"/>
      <c r="G181" s="1083"/>
      <c r="H181" s="443">
        <v>0</v>
      </c>
      <c r="I181" s="443">
        <v>0</v>
      </c>
      <c r="J181" s="1082"/>
      <c r="K181" s="1079"/>
      <c r="L181" s="1079"/>
      <c r="M181" s="1080"/>
      <c r="N181" s="1080"/>
      <c r="O181" s="1079"/>
      <c r="P181" s="1079"/>
      <c r="Q181" s="1080"/>
      <c r="R181" s="1080"/>
      <c r="S181" s="1079"/>
      <c r="T181" s="1080"/>
      <c r="U181" s="1080"/>
      <c r="V181" s="1079"/>
      <c r="W181" s="1080"/>
      <c r="X181" s="1080"/>
    </row>
    <row r="182" spans="1:24" s="444" customFormat="1" ht="15.75" customHeight="1" hidden="1">
      <c r="A182" s="1087">
        <v>33</v>
      </c>
      <c r="B182" s="1083" t="s">
        <v>539</v>
      </c>
      <c r="C182" s="1085" t="s">
        <v>540</v>
      </c>
      <c r="D182" s="1106" t="s">
        <v>552</v>
      </c>
      <c r="E182" s="1087" t="s">
        <v>501</v>
      </c>
      <c r="F182" s="1087" t="s">
        <v>542</v>
      </c>
      <c r="G182" s="1083" t="s">
        <v>492</v>
      </c>
      <c r="H182" s="443">
        <f>H183+H184+H185+H186</f>
        <v>45000000</v>
      </c>
      <c r="I182" s="443">
        <f>I183+I184+I185+I186</f>
        <v>0</v>
      </c>
      <c r="J182" s="1081" t="s">
        <v>20</v>
      </c>
      <c r="K182" s="1079">
        <f>L182+O182</f>
        <v>5000000</v>
      </c>
      <c r="L182" s="1079">
        <f>M182+N182</f>
        <v>4250000</v>
      </c>
      <c r="M182" s="1080">
        <v>0</v>
      </c>
      <c r="N182" s="1080">
        <v>4250000</v>
      </c>
      <c r="O182" s="1079">
        <f>P182+S182+V182</f>
        <v>750000</v>
      </c>
      <c r="P182" s="1079">
        <f>Q182+R182</f>
        <v>0</v>
      </c>
      <c r="Q182" s="1080">
        <v>0</v>
      </c>
      <c r="R182" s="1080">
        <v>0</v>
      </c>
      <c r="S182" s="1079">
        <f>T182+U182</f>
        <v>750000</v>
      </c>
      <c r="T182" s="1080">
        <v>0</v>
      </c>
      <c r="U182" s="1080">
        <v>750000</v>
      </c>
      <c r="V182" s="1079">
        <f>W182+X182</f>
        <v>0</v>
      </c>
      <c r="W182" s="1080">
        <v>0</v>
      </c>
      <c r="X182" s="1080">
        <v>0</v>
      </c>
    </row>
    <row r="183" spans="1:24" s="444" customFormat="1" ht="15.75" customHeight="1" hidden="1">
      <c r="A183" s="1087"/>
      <c r="B183" s="1083"/>
      <c r="C183" s="1085"/>
      <c r="D183" s="1106"/>
      <c r="E183" s="1087"/>
      <c r="F183" s="1087"/>
      <c r="G183" s="1083"/>
      <c r="H183" s="443">
        <v>38250000</v>
      </c>
      <c r="I183" s="443">
        <v>0</v>
      </c>
      <c r="J183" s="1082"/>
      <c r="K183" s="1079"/>
      <c r="L183" s="1079"/>
      <c r="M183" s="1080"/>
      <c r="N183" s="1080"/>
      <c r="O183" s="1079"/>
      <c r="P183" s="1079"/>
      <c r="Q183" s="1080"/>
      <c r="R183" s="1080"/>
      <c r="S183" s="1079"/>
      <c r="T183" s="1080"/>
      <c r="U183" s="1080"/>
      <c r="V183" s="1079"/>
      <c r="W183" s="1080"/>
      <c r="X183" s="1080"/>
    </row>
    <row r="184" spans="1:24" s="444" customFormat="1" ht="15.75" customHeight="1" hidden="1">
      <c r="A184" s="1087"/>
      <c r="B184" s="1083"/>
      <c r="C184" s="1085"/>
      <c r="D184" s="1106"/>
      <c r="E184" s="1087"/>
      <c r="F184" s="1087"/>
      <c r="G184" s="1083"/>
      <c r="H184" s="443">
        <v>0</v>
      </c>
      <c r="I184" s="443">
        <v>0</v>
      </c>
      <c r="J184" s="443" t="s">
        <v>21</v>
      </c>
      <c r="K184" s="445">
        <f>L184+O184</f>
        <v>0</v>
      </c>
      <c r="L184" s="445">
        <f>M184+N184</f>
        <v>0</v>
      </c>
      <c r="M184" s="446">
        <v>0</v>
      </c>
      <c r="N184" s="446">
        <v>0</v>
      </c>
      <c r="O184" s="445">
        <f>P184+S184+V184</f>
        <v>0</v>
      </c>
      <c r="P184" s="445">
        <f>Q184+R184</f>
        <v>0</v>
      </c>
      <c r="Q184" s="446">
        <v>0</v>
      </c>
      <c r="R184" s="446">
        <v>0</v>
      </c>
      <c r="S184" s="445">
        <f>T184+U184</f>
        <v>0</v>
      </c>
      <c r="T184" s="446">
        <v>0</v>
      </c>
      <c r="U184" s="446">
        <v>0</v>
      </c>
      <c r="V184" s="445">
        <f>W184+X184</f>
        <v>0</v>
      </c>
      <c r="W184" s="446">
        <v>0</v>
      </c>
      <c r="X184" s="446">
        <v>0</v>
      </c>
    </row>
    <row r="185" spans="1:24" s="444" customFormat="1" ht="15.75" customHeight="1" hidden="1">
      <c r="A185" s="1087"/>
      <c r="B185" s="1083"/>
      <c r="C185" s="1085"/>
      <c r="D185" s="1106"/>
      <c r="E185" s="1087"/>
      <c r="F185" s="1087"/>
      <c r="G185" s="1083"/>
      <c r="H185" s="443">
        <v>6750000</v>
      </c>
      <c r="I185" s="443">
        <v>0</v>
      </c>
      <c r="J185" s="1081" t="s">
        <v>22</v>
      </c>
      <c r="K185" s="1079">
        <f aca="true" t="shared" si="33" ref="K185:X185">K182+K184</f>
        <v>5000000</v>
      </c>
      <c r="L185" s="1079">
        <f t="shared" si="33"/>
        <v>4250000</v>
      </c>
      <c r="M185" s="1080">
        <f t="shared" si="33"/>
        <v>0</v>
      </c>
      <c r="N185" s="1080">
        <f t="shared" si="33"/>
        <v>4250000</v>
      </c>
      <c r="O185" s="1079">
        <f t="shared" si="33"/>
        <v>750000</v>
      </c>
      <c r="P185" s="1079">
        <f t="shared" si="33"/>
        <v>0</v>
      </c>
      <c r="Q185" s="1080">
        <f t="shared" si="33"/>
        <v>0</v>
      </c>
      <c r="R185" s="1080">
        <f t="shared" si="33"/>
        <v>0</v>
      </c>
      <c r="S185" s="1079">
        <f t="shared" si="33"/>
        <v>750000</v>
      </c>
      <c r="T185" s="1080">
        <f t="shared" si="33"/>
        <v>0</v>
      </c>
      <c r="U185" s="1080">
        <f t="shared" si="33"/>
        <v>750000</v>
      </c>
      <c r="V185" s="1079">
        <f t="shared" si="33"/>
        <v>0</v>
      </c>
      <c r="W185" s="1080">
        <f t="shared" si="33"/>
        <v>0</v>
      </c>
      <c r="X185" s="1080">
        <f t="shared" si="33"/>
        <v>0</v>
      </c>
    </row>
    <row r="186" spans="1:24" s="444" customFormat="1" ht="15.75" customHeight="1" hidden="1">
      <c r="A186" s="1087"/>
      <c r="B186" s="1083"/>
      <c r="C186" s="1085"/>
      <c r="D186" s="1106"/>
      <c r="E186" s="1087"/>
      <c r="F186" s="1087"/>
      <c r="G186" s="1083"/>
      <c r="H186" s="443">
        <v>0</v>
      </c>
      <c r="I186" s="443">
        <v>0</v>
      </c>
      <c r="J186" s="1082"/>
      <c r="K186" s="1079"/>
      <c r="L186" s="1079"/>
      <c r="M186" s="1080"/>
      <c r="N186" s="1080"/>
      <c r="O186" s="1079"/>
      <c r="P186" s="1079"/>
      <c r="Q186" s="1080"/>
      <c r="R186" s="1080"/>
      <c r="S186" s="1079"/>
      <c r="T186" s="1080"/>
      <c r="U186" s="1080"/>
      <c r="V186" s="1079"/>
      <c r="W186" s="1080"/>
      <c r="X186" s="1080"/>
    </row>
    <row r="187" spans="1:24" s="444" customFormat="1" ht="15.75" customHeight="1" hidden="1">
      <c r="A187" s="1087">
        <v>34</v>
      </c>
      <c r="B187" s="1083" t="s">
        <v>539</v>
      </c>
      <c r="C187" s="1085" t="s">
        <v>540</v>
      </c>
      <c r="D187" s="1106" t="s">
        <v>553</v>
      </c>
      <c r="E187" s="1087" t="s">
        <v>501</v>
      </c>
      <c r="F187" s="1087" t="s">
        <v>542</v>
      </c>
      <c r="G187" s="1083" t="s">
        <v>550</v>
      </c>
      <c r="H187" s="443">
        <f>H188+H189+H190+H191</f>
        <v>10000000</v>
      </c>
      <c r="I187" s="443">
        <f>I188+I189+I190+I191</f>
        <v>0</v>
      </c>
      <c r="J187" s="1081" t="s">
        <v>20</v>
      </c>
      <c r="K187" s="1079">
        <f>L187+O187</f>
        <v>500000</v>
      </c>
      <c r="L187" s="1079">
        <f>M187+N187</f>
        <v>425000</v>
      </c>
      <c r="M187" s="1080">
        <v>0</v>
      </c>
      <c r="N187" s="1080">
        <v>425000</v>
      </c>
      <c r="O187" s="1079">
        <f>P187+S187+V187</f>
        <v>75000</v>
      </c>
      <c r="P187" s="1079">
        <f>Q187+R187</f>
        <v>0</v>
      </c>
      <c r="Q187" s="1080">
        <v>0</v>
      </c>
      <c r="R187" s="1080">
        <v>0</v>
      </c>
      <c r="S187" s="1079">
        <f>T187+U187</f>
        <v>75000</v>
      </c>
      <c r="T187" s="1080">
        <v>0</v>
      </c>
      <c r="U187" s="1080">
        <v>75000</v>
      </c>
      <c r="V187" s="1079">
        <f>W187+X187</f>
        <v>0</v>
      </c>
      <c r="W187" s="1080">
        <v>0</v>
      </c>
      <c r="X187" s="1080">
        <v>0</v>
      </c>
    </row>
    <row r="188" spans="1:24" s="444" customFormat="1" ht="15.75" customHeight="1" hidden="1">
      <c r="A188" s="1087"/>
      <c r="B188" s="1083"/>
      <c r="C188" s="1085"/>
      <c r="D188" s="1106"/>
      <c r="E188" s="1087"/>
      <c r="F188" s="1087"/>
      <c r="G188" s="1083"/>
      <c r="H188" s="443">
        <v>8500000</v>
      </c>
      <c r="I188" s="443">
        <v>0</v>
      </c>
      <c r="J188" s="1082"/>
      <c r="K188" s="1079"/>
      <c r="L188" s="1079"/>
      <c r="M188" s="1080"/>
      <c r="N188" s="1080"/>
      <c r="O188" s="1079"/>
      <c r="P188" s="1079"/>
      <c r="Q188" s="1080"/>
      <c r="R188" s="1080"/>
      <c r="S188" s="1079"/>
      <c r="T188" s="1080"/>
      <c r="U188" s="1080"/>
      <c r="V188" s="1079"/>
      <c r="W188" s="1080"/>
      <c r="X188" s="1080"/>
    </row>
    <row r="189" spans="1:24" s="444" customFormat="1" ht="15.75" customHeight="1" hidden="1">
      <c r="A189" s="1087"/>
      <c r="B189" s="1083"/>
      <c r="C189" s="1085"/>
      <c r="D189" s="1106"/>
      <c r="E189" s="1087"/>
      <c r="F189" s="1087"/>
      <c r="G189" s="1083"/>
      <c r="H189" s="443">
        <v>0</v>
      </c>
      <c r="I189" s="443">
        <v>0</v>
      </c>
      <c r="J189" s="443" t="s">
        <v>21</v>
      </c>
      <c r="K189" s="445">
        <f>L189+O189</f>
        <v>0</v>
      </c>
      <c r="L189" s="445">
        <f>M189+N189</f>
        <v>0</v>
      </c>
      <c r="M189" s="446">
        <v>0</v>
      </c>
      <c r="N189" s="446">
        <v>0</v>
      </c>
      <c r="O189" s="445">
        <f>P189+S189+V189</f>
        <v>0</v>
      </c>
      <c r="P189" s="445">
        <f>Q189+R189</f>
        <v>0</v>
      </c>
      <c r="Q189" s="446">
        <v>0</v>
      </c>
      <c r="R189" s="446">
        <v>0</v>
      </c>
      <c r="S189" s="445">
        <f>T189+U189</f>
        <v>0</v>
      </c>
      <c r="T189" s="446">
        <v>0</v>
      </c>
      <c r="U189" s="446">
        <v>0</v>
      </c>
      <c r="V189" s="445">
        <f>W189+X189</f>
        <v>0</v>
      </c>
      <c r="W189" s="446">
        <v>0</v>
      </c>
      <c r="X189" s="446">
        <v>0</v>
      </c>
    </row>
    <row r="190" spans="1:24" s="444" customFormat="1" ht="15.75" customHeight="1" hidden="1">
      <c r="A190" s="1087"/>
      <c r="B190" s="1083"/>
      <c r="C190" s="1085"/>
      <c r="D190" s="1106"/>
      <c r="E190" s="1087"/>
      <c r="F190" s="1087"/>
      <c r="G190" s="1083"/>
      <c r="H190" s="443">
        <v>1500000</v>
      </c>
      <c r="I190" s="443">
        <v>0</v>
      </c>
      <c r="J190" s="1081" t="s">
        <v>22</v>
      </c>
      <c r="K190" s="1079">
        <f aca="true" t="shared" si="34" ref="K190:X190">K187+K189</f>
        <v>500000</v>
      </c>
      <c r="L190" s="1079">
        <f t="shared" si="34"/>
        <v>425000</v>
      </c>
      <c r="M190" s="1080">
        <f t="shared" si="34"/>
        <v>0</v>
      </c>
      <c r="N190" s="1080">
        <f t="shared" si="34"/>
        <v>425000</v>
      </c>
      <c r="O190" s="1079">
        <f t="shared" si="34"/>
        <v>75000</v>
      </c>
      <c r="P190" s="1079">
        <f t="shared" si="34"/>
        <v>0</v>
      </c>
      <c r="Q190" s="1080">
        <f t="shared" si="34"/>
        <v>0</v>
      </c>
      <c r="R190" s="1080">
        <f t="shared" si="34"/>
        <v>0</v>
      </c>
      <c r="S190" s="1079">
        <f t="shared" si="34"/>
        <v>75000</v>
      </c>
      <c r="T190" s="1080">
        <f t="shared" si="34"/>
        <v>0</v>
      </c>
      <c r="U190" s="1080">
        <f t="shared" si="34"/>
        <v>75000</v>
      </c>
      <c r="V190" s="1079">
        <f t="shared" si="34"/>
        <v>0</v>
      </c>
      <c r="W190" s="1080">
        <f t="shared" si="34"/>
        <v>0</v>
      </c>
      <c r="X190" s="1080">
        <f t="shared" si="34"/>
        <v>0</v>
      </c>
    </row>
    <row r="191" spans="1:24" s="444" customFormat="1" ht="15.75" customHeight="1" hidden="1">
      <c r="A191" s="1087"/>
      <c r="B191" s="1083"/>
      <c r="C191" s="1085"/>
      <c r="D191" s="1106"/>
      <c r="E191" s="1087"/>
      <c r="F191" s="1087"/>
      <c r="G191" s="1083"/>
      <c r="H191" s="443">
        <v>0</v>
      </c>
      <c r="I191" s="443">
        <v>0</v>
      </c>
      <c r="J191" s="1082"/>
      <c r="K191" s="1079"/>
      <c r="L191" s="1079"/>
      <c r="M191" s="1080"/>
      <c r="N191" s="1080"/>
      <c r="O191" s="1079"/>
      <c r="P191" s="1079"/>
      <c r="Q191" s="1080"/>
      <c r="R191" s="1080"/>
      <c r="S191" s="1079"/>
      <c r="T191" s="1080"/>
      <c r="U191" s="1080"/>
      <c r="V191" s="1079"/>
      <c r="W191" s="1080"/>
      <c r="X191" s="1080"/>
    </row>
    <row r="192" spans="1:24" s="444" customFormat="1" ht="15.75" customHeight="1" hidden="1">
      <c r="A192" s="1087">
        <v>35</v>
      </c>
      <c r="B192" s="1083" t="s">
        <v>539</v>
      </c>
      <c r="C192" s="1085" t="s">
        <v>540</v>
      </c>
      <c r="D192" s="1106" t="s">
        <v>554</v>
      </c>
      <c r="E192" s="1087" t="s">
        <v>501</v>
      </c>
      <c r="F192" s="1087" t="s">
        <v>542</v>
      </c>
      <c r="G192" s="1083" t="s">
        <v>524</v>
      </c>
      <c r="H192" s="443">
        <f>H193+H194+H195+H196</f>
        <v>50000000</v>
      </c>
      <c r="I192" s="443">
        <f>I193+I194+I195+I196</f>
        <v>0</v>
      </c>
      <c r="J192" s="1081" t="s">
        <v>20</v>
      </c>
      <c r="K192" s="1079">
        <f>L192+O192</f>
        <v>5000000</v>
      </c>
      <c r="L192" s="1079">
        <f>M192+N192</f>
        <v>4250000</v>
      </c>
      <c r="M192" s="1080">
        <v>0</v>
      </c>
      <c r="N192" s="1080">
        <v>4250000</v>
      </c>
      <c r="O192" s="1079">
        <f>P192+S192+V192</f>
        <v>750000</v>
      </c>
      <c r="P192" s="1079">
        <f>Q192+R192</f>
        <v>0</v>
      </c>
      <c r="Q192" s="1080">
        <v>0</v>
      </c>
      <c r="R192" s="1080">
        <v>0</v>
      </c>
      <c r="S192" s="1079">
        <f>T192+U192</f>
        <v>750000</v>
      </c>
      <c r="T192" s="1080">
        <v>0</v>
      </c>
      <c r="U192" s="1080">
        <v>750000</v>
      </c>
      <c r="V192" s="1079">
        <f>W192+X192</f>
        <v>0</v>
      </c>
      <c r="W192" s="1080">
        <v>0</v>
      </c>
      <c r="X192" s="1080">
        <v>0</v>
      </c>
    </row>
    <row r="193" spans="1:24" s="444" customFormat="1" ht="15.75" customHeight="1" hidden="1">
      <c r="A193" s="1087"/>
      <c r="B193" s="1083"/>
      <c r="C193" s="1085"/>
      <c r="D193" s="1106"/>
      <c r="E193" s="1087"/>
      <c r="F193" s="1087"/>
      <c r="G193" s="1083"/>
      <c r="H193" s="443">
        <v>42500000</v>
      </c>
      <c r="I193" s="443">
        <v>0</v>
      </c>
      <c r="J193" s="1082"/>
      <c r="K193" s="1079"/>
      <c r="L193" s="1079"/>
      <c r="M193" s="1080"/>
      <c r="N193" s="1080"/>
      <c r="O193" s="1079"/>
      <c r="P193" s="1079"/>
      <c r="Q193" s="1080"/>
      <c r="R193" s="1080"/>
      <c r="S193" s="1079"/>
      <c r="T193" s="1080"/>
      <c r="U193" s="1080"/>
      <c r="V193" s="1079"/>
      <c r="W193" s="1080"/>
      <c r="X193" s="1080"/>
    </row>
    <row r="194" spans="1:24" s="444" customFormat="1" ht="15.75" customHeight="1" hidden="1">
      <c r="A194" s="1087"/>
      <c r="B194" s="1083"/>
      <c r="C194" s="1085"/>
      <c r="D194" s="1106"/>
      <c r="E194" s="1087"/>
      <c r="F194" s="1087"/>
      <c r="G194" s="1083"/>
      <c r="H194" s="443">
        <v>0</v>
      </c>
      <c r="I194" s="443">
        <v>0</v>
      </c>
      <c r="J194" s="443" t="s">
        <v>21</v>
      </c>
      <c r="K194" s="445">
        <f>L194+O194</f>
        <v>0</v>
      </c>
      <c r="L194" s="445">
        <f>M194+N194</f>
        <v>0</v>
      </c>
      <c r="M194" s="446">
        <v>0</v>
      </c>
      <c r="N194" s="446">
        <v>0</v>
      </c>
      <c r="O194" s="445">
        <f>P194+S194+V194</f>
        <v>0</v>
      </c>
      <c r="P194" s="445">
        <f>Q194+R194</f>
        <v>0</v>
      </c>
      <c r="Q194" s="446">
        <v>0</v>
      </c>
      <c r="R194" s="446">
        <v>0</v>
      </c>
      <c r="S194" s="445">
        <f>T194+U194</f>
        <v>0</v>
      </c>
      <c r="T194" s="446">
        <v>0</v>
      </c>
      <c r="U194" s="446">
        <v>0</v>
      </c>
      <c r="V194" s="445">
        <f>W194+X194</f>
        <v>0</v>
      </c>
      <c r="W194" s="446">
        <v>0</v>
      </c>
      <c r="X194" s="446">
        <v>0</v>
      </c>
    </row>
    <row r="195" spans="1:24" s="444" customFormat="1" ht="15.75" customHeight="1" hidden="1">
      <c r="A195" s="1087"/>
      <c r="B195" s="1083"/>
      <c r="C195" s="1085"/>
      <c r="D195" s="1106"/>
      <c r="E195" s="1087"/>
      <c r="F195" s="1087"/>
      <c r="G195" s="1083"/>
      <c r="H195" s="443">
        <v>7500000</v>
      </c>
      <c r="I195" s="443">
        <v>0</v>
      </c>
      <c r="J195" s="1081" t="s">
        <v>22</v>
      </c>
      <c r="K195" s="1079">
        <f aca="true" t="shared" si="35" ref="K195:X195">K192+K194</f>
        <v>5000000</v>
      </c>
      <c r="L195" s="1079">
        <f t="shared" si="35"/>
        <v>4250000</v>
      </c>
      <c r="M195" s="1080">
        <f t="shared" si="35"/>
        <v>0</v>
      </c>
      <c r="N195" s="1080">
        <f t="shared" si="35"/>
        <v>4250000</v>
      </c>
      <c r="O195" s="1079">
        <f t="shared" si="35"/>
        <v>750000</v>
      </c>
      <c r="P195" s="1079">
        <f t="shared" si="35"/>
        <v>0</v>
      </c>
      <c r="Q195" s="1080">
        <f t="shared" si="35"/>
        <v>0</v>
      </c>
      <c r="R195" s="1080">
        <f t="shared" si="35"/>
        <v>0</v>
      </c>
      <c r="S195" s="1079">
        <f t="shared" si="35"/>
        <v>750000</v>
      </c>
      <c r="T195" s="1080">
        <f t="shared" si="35"/>
        <v>0</v>
      </c>
      <c r="U195" s="1080">
        <f t="shared" si="35"/>
        <v>750000</v>
      </c>
      <c r="V195" s="1079">
        <f t="shared" si="35"/>
        <v>0</v>
      </c>
      <c r="W195" s="1080">
        <f t="shared" si="35"/>
        <v>0</v>
      </c>
      <c r="X195" s="1080">
        <f t="shared" si="35"/>
        <v>0</v>
      </c>
    </row>
    <row r="196" spans="1:24" s="444" customFormat="1" ht="15.75" customHeight="1" hidden="1">
      <c r="A196" s="1087"/>
      <c r="B196" s="1083"/>
      <c r="C196" s="1085"/>
      <c r="D196" s="1106"/>
      <c r="E196" s="1087"/>
      <c r="F196" s="1087"/>
      <c r="G196" s="1083"/>
      <c r="H196" s="443">
        <v>0</v>
      </c>
      <c r="I196" s="443">
        <v>0</v>
      </c>
      <c r="J196" s="1082"/>
      <c r="K196" s="1079"/>
      <c r="L196" s="1079"/>
      <c r="M196" s="1080"/>
      <c r="N196" s="1080"/>
      <c r="O196" s="1079"/>
      <c r="P196" s="1079"/>
      <c r="Q196" s="1080"/>
      <c r="R196" s="1080"/>
      <c r="S196" s="1079"/>
      <c r="T196" s="1080"/>
      <c r="U196" s="1080"/>
      <c r="V196" s="1079"/>
      <c r="W196" s="1080"/>
      <c r="X196" s="1080"/>
    </row>
    <row r="197" spans="1:24" s="444" customFormat="1" ht="15.75" customHeight="1" hidden="1">
      <c r="A197" s="1087">
        <v>36</v>
      </c>
      <c r="B197" s="1083" t="s">
        <v>539</v>
      </c>
      <c r="C197" s="1085" t="s">
        <v>540</v>
      </c>
      <c r="D197" s="1106" t="s">
        <v>555</v>
      </c>
      <c r="E197" s="1087" t="s">
        <v>501</v>
      </c>
      <c r="F197" s="1087" t="s">
        <v>542</v>
      </c>
      <c r="G197" s="1083" t="s">
        <v>492</v>
      </c>
      <c r="H197" s="443">
        <f>H198+H199+H200+H201</f>
        <v>60000000</v>
      </c>
      <c r="I197" s="443">
        <f>I198+I199+I200+I201</f>
        <v>0</v>
      </c>
      <c r="J197" s="1081" t="s">
        <v>20</v>
      </c>
      <c r="K197" s="1079">
        <f>L197+O197</f>
        <v>5000000</v>
      </c>
      <c r="L197" s="1079">
        <f>M197+N197</f>
        <v>4250000</v>
      </c>
      <c r="M197" s="1080">
        <v>0</v>
      </c>
      <c r="N197" s="1080">
        <v>4250000</v>
      </c>
      <c r="O197" s="1079">
        <f>P197+S197+V197</f>
        <v>750000</v>
      </c>
      <c r="P197" s="1079">
        <f>Q197+R197</f>
        <v>0</v>
      </c>
      <c r="Q197" s="1080">
        <v>0</v>
      </c>
      <c r="R197" s="1080">
        <v>0</v>
      </c>
      <c r="S197" s="1079">
        <f>T197+U197</f>
        <v>750000</v>
      </c>
      <c r="T197" s="1080">
        <v>0</v>
      </c>
      <c r="U197" s="1080">
        <v>750000</v>
      </c>
      <c r="V197" s="1079">
        <f>W197+X197</f>
        <v>0</v>
      </c>
      <c r="W197" s="1080">
        <v>0</v>
      </c>
      <c r="X197" s="1080">
        <v>0</v>
      </c>
    </row>
    <row r="198" spans="1:24" s="444" customFormat="1" ht="15.75" customHeight="1" hidden="1">
      <c r="A198" s="1087"/>
      <c r="B198" s="1083"/>
      <c r="C198" s="1085"/>
      <c r="D198" s="1106"/>
      <c r="E198" s="1087"/>
      <c r="F198" s="1087"/>
      <c r="G198" s="1083"/>
      <c r="H198" s="443">
        <v>51000000</v>
      </c>
      <c r="I198" s="443">
        <v>0</v>
      </c>
      <c r="J198" s="1082"/>
      <c r="K198" s="1079"/>
      <c r="L198" s="1079"/>
      <c r="M198" s="1080"/>
      <c r="N198" s="1080"/>
      <c r="O198" s="1079"/>
      <c r="P198" s="1079"/>
      <c r="Q198" s="1080"/>
      <c r="R198" s="1080"/>
      <c r="S198" s="1079"/>
      <c r="T198" s="1080"/>
      <c r="U198" s="1080"/>
      <c r="V198" s="1079"/>
      <c r="W198" s="1080"/>
      <c r="X198" s="1080"/>
    </row>
    <row r="199" spans="1:24" s="444" customFormat="1" ht="15.75" customHeight="1" hidden="1">
      <c r="A199" s="1087"/>
      <c r="B199" s="1083"/>
      <c r="C199" s="1085"/>
      <c r="D199" s="1106"/>
      <c r="E199" s="1087"/>
      <c r="F199" s="1087"/>
      <c r="G199" s="1083"/>
      <c r="H199" s="443">
        <v>0</v>
      </c>
      <c r="I199" s="443">
        <v>0</v>
      </c>
      <c r="J199" s="443" t="s">
        <v>21</v>
      </c>
      <c r="K199" s="445">
        <f>L199+O199</f>
        <v>0</v>
      </c>
      <c r="L199" s="445">
        <f>M199+N199</f>
        <v>0</v>
      </c>
      <c r="M199" s="446">
        <v>0</v>
      </c>
      <c r="N199" s="446">
        <v>0</v>
      </c>
      <c r="O199" s="445">
        <f>P199+S199+V199</f>
        <v>0</v>
      </c>
      <c r="P199" s="445">
        <f>Q199+R199</f>
        <v>0</v>
      </c>
      <c r="Q199" s="446">
        <v>0</v>
      </c>
      <c r="R199" s="446">
        <v>0</v>
      </c>
      <c r="S199" s="445">
        <f>T199+U199</f>
        <v>0</v>
      </c>
      <c r="T199" s="446">
        <v>0</v>
      </c>
      <c r="U199" s="446">
        <v>0</v>
      </c>
      <c r="V199" s="445">
        <f>W199+X199</f>
        <v>0</v>
      </c>
      <c r="W199" s="446">
        <v>0</v>
      </c>
      <c r="X199" s="446">
        <v>0</v>
      </c>
    </row>
    <row r="200" spans="1:24" s="444" customFormat="1" ht="15.75" customHeight="1" hidden="1">
      <c r="A200" s="1087"/>
      <c r="B200" s="1083"/>
      <c r="C200" s="1085"/>
      <c r="D200" s="1106"/>
      <c r="E200" s="1087"/>
      <c r="F200" s="1087"/>
      <c r="G200" s="1083"/>
      <c r="H200" s="443">
        <v>9000000</v>
      </c>
      <c r="I200" s="443">
        <v>0</v>
      </c>
      <c r="J200" s="1081" t="s">
        <v>22</v>
      </c>
      <c r="K200" s="1079">
        <f aca="true" t="shared" si="36" ref="K200:X200">K197+K199</f>
        <v>5000000</v>
      </c>
      <c r="L200" s="1079">
        <f t="shared" si="36"/>
        <v>4250000</v>
      </c>
      <c r="M200" s="1080">
        <f t="shared" si="36"/>
        <v>0</v>
      </c>
      <c r="N200" s="1080">
        <f t="shared" si="36"/>
        <v>4250000</v>
      </c>
      <c r="O200" s="1079">
        <f t="shared" si="36"/>
        <v>750000</v>
      </c>
      <c r="P200" s="1079">
        <f t="shared" si="36"/>
        <v>0</v>
      </c>
      <c r="Q200" s="1080">
        <f t="shared" si="36"/>
        <v>0</v>
      </c>
      <c r="R200" s="1080">
        <f t="shared" si="36"/>
        <v>0</v>
      </c>
      <c r="S200" s="1079">
        <f t="shared" si="36"/>
        <v>750000</v>
      </c>
      <c r="T200" s="1080">
        <f t="shared" si="36"/>
        <v>0</v>
      </c>
      <c r="U200" s="1080">
        <f t="shared" si="36"/>
        <v>750000</v>
      </c>
      <c r="V200" s="1079">
        <f t="shared" si="36"/>
        <v>0</v>
      </c>
      <c r="W200" s="1080">
        <f t="shared" si="36"/>
        <v>0</v>
      </c>
      <c r="X200" s="1080">
        <f t="shared" si="36"/>
        <v>0</v>
      </c>
    </row>
    <row r="201" spans="1:24" s="444" customFormat="1" ht="15.75" customHeight="1" hidden="1">
      <c r="A201" s="1087"/>
      <c r="B201" s="1083"/>
      <c r="C201" s="1085"/>
      <c r="D201" s="1106"/>
      <c r="E201" s="1087"/>
      <c r="F201" s="1087"/>
      <c r="G201" s="1083"/>
      <c r="H201" s="443">
        <v>0</v>
      </c>
      <c r="I201" s="443">
        <v>0</v>
      </c>
      <c r="J201" s="1082"/>
      <c r="K201" s="1079"/>
      <c r="L201" s="1079"/>
      <c r="M201" s="1080"/>
      <c r="N201" s="1080"/>
      <c r="O201" s="1079"/>
      <c r="P201" s="1079"/>
      <c r="Q201" s="1080"/>
      <c r="R201" s="1080"/>
      <c r="S201" s="1079"/>
      <c r="T201" s="1080"/>
      <c r="U201" s="1080"/>
      <c r="V201" s="1079"/>
      <c r="W201" s="1080"/>
      <c r="X201" s="1080"/>
    </row>
    <row r="202" spans="1:24" s="444" customFormat="1" ht="15.75" customHeight="1" hidden="1">
      <c r="A202" s="1087">
        <v>37</v>
      </c>
      <c r="B202" s="1083" t="s">
        <v>539</v>
      </c>
      <c r="C202" s="1085" t="s">
        <v>540</v>
      </c>
      <c r="D202" s="1106" t="s">
        <v>556</v>
      </c>
      <c r="E202" s="1087" t="s">
        <v>501</v>
      </c>
      <c r="F202" s="1087" t="s">
        <v>542</v>
      </c>
      <c r="G202" s="1083" t="s">
        <v>492</v>
      </c>
      <c r="H202" s="443">
        <f>H203+H204+H205+H206</f>
        <v>25000000</v>
      </c>
      <c r="I202" s="443">
        <f>I203+I204+I205+I206</f>
        <v>0</v>
      </c>
      <c r="J202" s="1081" t="s">
        <v>20</v>
      </c>
      <c r="K202" s="1079">
        <f>L202+O202</f>
        <v>5000000</v>
      </c>
      <c r="L202" s="1079">
        <f>M202+N202</f>
        <v>4250000</v>
      </c>
      <c r="M202" s="1080">
        <v>0</v>
      </c>
      <c r="N202" s="1080">
        <v>4250000</v>
      </c>
      <c r="O202" s="1079">
        <f>P202+S202+V202</f>
        <v>750000</v>
      </c>
      <c r="P202" s="1079">
        <f>Q202+R202</f>
        <v>0</v>
      </c>
      <c r="Q202" s="1080">
        <v>0</v>
      </c>
      <c r="R202" s="1080">
        <v>0</v>
      </c>
      <c r="S202" s="1079">
        <f>T202+U202</f>
        <v>750000</v>
      </c>
      <c r="T202" s="1080">
        <v>0</v>
      </c>
      <c r="U202" s="1080">
        <v>750000</v>
      </c>
      <c r="V202" s="1079">
        <f>W202+X202</f>
        <v>0</v>
      </c>
      <c r="W202" s="1080">
        <v>0</v>
      </c>
      <c r="X202" s="1080">
        <v>0</v>
      </c>
    </row>
    <row r="203" spans="1:24" s="444" customFormat="1" ht="15.75" customHeight="1" hidden="1">
      <c r="A203" s="1087"/>
      <c r="B203" s="1083"/>
      <c r="C203" s="1085"/>
      <c r="D203" s="1106"/>
      <c r="E203" s="1087"/>
      <c r="F203" s="1087"/>
      <c r="G203" s="1083"/>
      <c r="H203" s="443">
        <v>21250000</v>
      </c>
      <c r="I203" s="443">
        <v>0</v>
      </c>
      <c r="J203" s="1082"/>
      <c r="K203" s="1079"/>
      <c r="L203" s="1079"/>
      <c r="M203" s="1080"/>
      <c r="N203" s="1080"/>
      <c r="O203" s="1079"/>
      <c r="P203" s="1079"/>
      <c r="Q203" s="1080"/>
      <c r="R203" s="1080"/>
      <c r="S203" s="1079"/>
      <c r="T203" s="1080"/>
      <c r="U203" s="1080"/>
      <c r="V203" s="1079"/>
      <c r="W203" s="1080"/>
      <c r="X203" s="1080"/>
    </row>
    <row r="204" spans="1:24" s="444" customFormat="1" ht="15.75" customHeight="1" hidden="1">
      <c r="A204" s="1087"/>
      <c r="B204" s="1083"/>
      <c r="C204" s="1085"/>
      <c r="D204" s="1106"/>
      <c r="E204" s="1087"/>
      <c r="F204" s="1087"/>
      <c r="G204" s="1083"/>
      <c r="H204" s="443">
        <v>0</v>
      </c>
      <c r="I204" s="443">
        <v>0</v>
      </c>
      <c r="J204" s="443" t="s">
        <v>21</v>
      </c>
      <c r="K204" s="445">
        <f>L204+O204</f>
        <v>0</v>
      </c>
      <c r="L204" s="445">
        <f>M204+N204</f>
        <v>0</v>
      </c>
      <c r="M204" s="446">
        <v>0</v>
      </c>
      <c r="N204" s="446">
        <v>0</v>
      </c>
      <c r="O204" s="445">
        <f>P204+S204+V204</f>
        <v>0</v>
      </c>
      <c r="P204" s="445">
        <f>Q204+R204</f>
        <v>0</v>
      </c>
      <c r="Q204" s="446">
        <v>0</v>
      </c>
      <c r="R204" s="446">
        <v>0</v>
      </c>
      <c r="S204" s="445">
        <f>T204+U204</f>
        <v>0</v>
      </c>
      <c r="T204" s="446">
        <v>0</v>
      </c>
      <c r="U204" s="446">
        <v>0</v>
      </c>
      <c r="V204" s="445">
        <f>W204+X204</f>
        <v>0</v>
      </c>
      <c r="W204" s="446">
        <v>0</v>
      </c>
      <c r="X204" s="446">
        <v>0</v>
      </c>
    </row>
    <row r="205" spans="1:24" s="444" customFormat="1" ht="15.75" customHeight="1" hidden="1">
      <c r="A205" s="1087"/>
      <c r="B205" s="1083"/>
      <c r="C205" s="1085"/>
      <c r="D205" s="1106"/>
      <c r="E205" s="1087"/>
      <c r="F205" s="1087"/>
      <c r="G205" s="1083"/>
      <c r="H205" s="443">
        <v>3750000</v>
      </c>
      <c r="I205" s="443">
        <v>0</v>
      </c>
      <c r="J205" s="1081" t="s">
        <v>22</v>
      </c>
      <c r="K205" s="1079">
        <f aca="true" t="shared" si="37" ref="K205:X205">K202+K204</f>
        <v>5000000</v>
      </c>
      <c r="L205" s="1079">
        <f t="shared" si="37"/>
        <v>4250000</v>
      </c>
      <c r="M205" s="1080">
        <f t="shared" si="37"/>
        <v>0</v>
      </c>
      <c r="N205" s="1080">
        <f t="shared" si="37"/>
        <v>4250000</v>
      </c>
      <c r="O205" s="1079">
        <f t="shared" si="37"/>
        <v>750000</v>
      </c>
      <c r="P205" s="1079">
        <f t="shared" si="37"/>
        <v>0</v>
      </c>
      <c r="Q205" s="1080">
        <f t="shared" si="37"/>
        <v>0</v>
      </c>
      <c r="R205" s="1080">
        <f t="shared" si="37"/>
        <v>0</v>
      </c>
      <c r="S205" s="1079">
        <f t="shared" si="37"/>
        <v>750000</v>
      </c>
      <c r="T205" s="1080">
        <f t="shared" si="37"/>
        <v>0</v>
      </c>
      <c r="U205" s="1080">
        <f t="shared" si="37"/>
        <v>750000</v>
      </c>
      <c r="V205" s="1079">
        <f t="shared" si="37"/>
        <v>0</v>
      </c>
      <c r="W205" s="1080">
        <f t="shared" si="37"/>
        <v>0</v>
      </c>
      <c r="X205" s="1080">
        <f t="shared" si="37"/>
        <v>0</v>
      </c>
    </row>
    <row r="206" spans="1:24" s="444" customFormat="1" ht="15.75" customHeight="1" hidden="1">
      <c r="A206" s="1087"/>
      <c r="B206" s="1083"/>
      <c r="C206" s="1085"/>
      <c r="D206" s="1106"/>
      <c r="E206" s="1087"/>
      <c r="F206" s="1087"/>
      <c r="G206" s="1083"/>
      <c r="H206" s="443">
        <v>0</v>
      </c>
      <c r="I206" s="443">
        <v>0</v>
      </c>
      <c r="J206" s="1082"/>
      <c r="K206" s="1079"/>
      <c r="L206" s="1079"/>
      <c r="M206" s="1080"/>
      <c r="N206" s="1080"/>
      <c r="O206" s="1079"/>
      <c r="P206" s="1079"/>
      <c r="Q206" s="1080"/>
      <c r="R206" s="1080"/>
      <c r="S206" s="1079"/>
      <c r="T206" s="1080"/>
      <c r="U206" s="1080"/>
      <c r="V206" s="1079"/>
      <c r="W206" s="1080"/>
      <c r="X206" s="1080"/>
    </row>
    <row r="207" spans="1:24" s="444" customFormat="1" ht="15.75" customHeight="1" hidden="1">
      <c r="A207" s="1087">
        <v>38</v>
      </c>
      <c r="B207" s="1083" t="s">
        <v>557</v>
      </c>
      <c r="C207" s="1085" t="s">
        <v>286</v>
      </c>
      <c r="D207" s="1106" t="s">
        <v>558</v>
      </c>
      <c r="E207" s="1087" t="s">
        <v>479</v>
      </c>
      <c r="F207" s="1087" t="s">
        <v>559</v>
      </c>
      <c r="G207" s="1083" t="s">
        <v>481</v>
      </c>
      <c r="H207" s="443">
        <f>H208+H209+H210+H211</f>
        <v>3898887</v>
      </c>
      <c r="I207" s="443">
        <f>I208+I209+I210+I211</f>
        <v>48866</v>
      </c>
      <c r="J207" s="1081" t="s">
        <v>20</v>
      </c>
      <c r="K207" s="1079">
        <f>L207+O207</f>
        <v>1093200</v>
      </c>
      <c r="L207" s="1079">
        <f>M207+N207</f>
        <v>929220</v>
      </c>
      <c r="M207" s="1080">
        <v>151470</v>
      </c>
      <c r="N207" s="1080">
        <v>777750</v>
      </c>
      <c r="O207" s="1079">
        <f>P207+S207+V207</f>
        <v>163980</v>
      </c>
      <c r="P207" s="1079">
        <f>Q207+R207</f>
        <v>0</v>
      </c>
      <c r="Q207" s="1080">
        <v>0</v>
      </c>
      <c r="R207" s="1080">
        <v>0</v>
      </c>
      <c r="S207" s="1079">
        <f>T207+U207</f>
        <v>163980</v>
      </c>
      <c r="T207" s="1080">
        <v>26730</v>
      </c>
      <c r="U207" s="1080">
        <v>137250</v>
      </c>
      <c r="V207" s="1079">
        <f>W207+X207</f>
        <v>0</v>
      </c>
      <c r="W207" s="1080">
        <v>0</v>
      </c>
      <c r="X207" s="1080">
        <v>0</v>
      </c>
    </row>
    <row r="208" spans="1:24" s="444" customFormat="1" ht="15.75" customHeight="1" hidden="1">
      <c r="A208" s="1087"/>
      <c r="B208" s="1083"/>
      <c r="C208" s="1085"/>
      <c r="D208" s="1106"/>
      <c r="E208" s="1087"/>
      <c r="F208" s="1087"/>
      <c r="G208" s="1083"/>
      <c r="H208" s="443">
        <v>3106281</v>
      </c>
      <c r="I208" s="443">
        <v>41536</v>
      </c>
      <c r="J208" s="1082"/>
      <c r="K208" s="1079"/>
      <c r="L208" s="1079"/>
      <c r="M208" s="1080"/>
      <c r="N208" s="1080"/>
      <c r="O208" s="1079"/>
      <c r="P208" s="1079"/>
      <c r="Q208" s="1080"/>
      <c r="R208" s="1080"/>
      <c r="S208" s="1079"/>
      <c r="T208" s="1080"/>
      <c r="U208" s="1080"/>
      <c r="V208" s="1079"/>
      <c r="W208" s="1080"/>
      <c r="X208" s="1080"/>
    </row>
    <row r="209" spans="1:24" s="444" customFormat="1" ht="15.75" customHeight="1" hidden="1">
      <c r="A209" s="1087"/>
      <c r="B209" s="1083"/>
      <c r="C209" s="1085"/>
      <c r="D209" s="1106"/>
      <c r="E209" s="1087"/>
      <c r="F209" s="1087"/>
      <c r="G209" s="1083"/>
      <c r="H209" s="443">
        <v>0</v>
      </c>
      <c r="I209" s="443">
        <v>0</v>
      </c>
      <c r="J209" s="443" t="s">
        <v>21</v>
      </c>
      <c r="K209" s="445">
        <f>L209+O209</f>
        <v>0</v>
      </c>
      <c r="L209" s="445">
        <f>M209+N209</f>
        <v>0</v>
      </c>
      <c r="M209" s="446">
        <v>0</v>
      </c>
      <c r="N209" s="446">
        <v>0</v>
      </c>
      <c r="O209" s="445">
        <f>P209+S209+V209</f>
        <v>0</v>
      </c>
      <c r="P209" s="445">
        <f>Q209+R209</f>
        <v>0</v>
      </c>
      <c r="Q209" s="446">
        <v>0</v>
      </c>
      <c r="R209" s="446">
        <v>0</v>
      </c>
      <c r="S209" s="445">
        <f>T209+U209</f>
        <v>0</v>
      </c>
      <c r="T209" s="446">
        <v>0</v>
      </c>
      <c r="U209" s="446">
        <v>0</v>
      </c>
      <c r="V209" s="445">
        <f>W209+X209</f>
        <v>0</v>
      </c>
      <c r="W209" s="446">
        <v>0</v>
      </c>
      <c r="X209" s="446">
        <v>0</v>
      </c>
    </row>
    <row r="210" spans="1:24" s="444" customFormat="1" ht="15.75" customHeight="1" hidden="1">
      <c r="A210" s="1087"/>
      <c r="B210" s="1083"/>
      <c r="C210" s="1085"/>
      <c r="D210" s="1106"/>
      <c r="E210" s="1087"/>
      <c r="F210" s="1087"/>
      <c r="G210" s="1083"/>
      <c r="H210" s="443">
        <v>792606</v>
      </c>
      <c r="I210" s="443">
        <v>7330</v>
      </c>
      <c r="J210" s="1081" t="s">
        <v>22</v>
      </c>
      <c r="K210" s="1079">
        <f aca="true" t="shared" si="38" ref="K210:X210">K207+K209</f>
        <v>1093200</v>
      </c>
      <c r="L210" s="1079">
        <f t="shared" si="38"/>
        <v>929220</v>
      </c>
      <c r="M210" s="1080">
        <f t="shared" si="38"/>
        <v>151470</v>
      </c>
      <c r="N210" s="1080">
        <f t="shared" si="38"/>
        <v>777750</v>
      </c>
      <c r="O210" s="1079">
        <f t="shared" si="38"/>
        <v>163980</v>
      </c>
      <c r="P210" s="1079">
        <f t="shared" si="38"/>
        <v>0</v>
      </c>
      <c r="Q210" s="1080">
        <f t="shared" si="38"/>
        <v>0</v>
      </c>
      <c r="R210" s="1080">
        <f t="shared" si="38"/>
        <v>0</v>
      </c>
      <c r="S210" s="1079">
        <f t="shared" si="38"/>
        <v>163980</v>
      </c>
      <c r="T210" s="1080">
        <f t="shared" si="38"/>
        <v>26730</v>
      </c>
      <c r="U210" s="1080">
        <f t="shared" si="38"/>
        <v>137250</v>
      </c>
      <c r="V210" s="1079">
        <f t="shared" si="38"/>
        <v>0</v>
      </c>
      <c r="W210" s="1080">
        <f t="shared" si="38"/>
        <v>0</v>
      </c>
      <c r="X210" s="1080">
        <f t="shared" si="38"/>
        <v>0</v>
      </c>
    </row>
    <row r="211" spans="1:24" s="444" customFormat="1" ht="15.75" customHeight="1" hidden="1">
      <c r="A211" s="1087"/>
      <c r="B211" s="1083"/>
      <c r="C211" s="1085"/>
      <c r="D211" s="1106"/>
      <c r="E211" s="1087"/>
      <c r="F211" s="1087"/>
      <c r="G211" s="1083"/>
      <c r="H211" s="443">
        <v>0</v>
      </c>
      <c r="I211" s="443">
        <v>0</v>
      </c>
      <c r="J211" s="1082"/>
      <c r="K211" s="1079"/>
      <c r="L211" s="1079"/>
      <c r="M211" s="1080"/>
      <c r="N211" s="1080"/>
      <c r="O211" s="1079"/>
      <c r="P211" s="1079"/>
      <c r="Q211" s="1080"/>
      <c r="R211" s="1080"/>
      <c r="S211" s="1079"/>
      <c r="T211" s="1080"/>
      <c r="U211" s="1080"/>
      <c r="V211" s="1079"/>
      <c r="W211" s="1080"/>
      <c r="X211" s="1080"/>
    </row>
    <row r="212" spans="1:24" s="444" customFormat="1" ht="18" customHeight="1" hidden="1">
      <c r="A212" s="1087">
        <v>39</v>
      </c>
      <c r="B212" s="1083" t="s">
        <v>557</v>
      </c>
      <c r="C212" s="1085" t="s">
        <v>286</v>
      </c>
      <c r="D212" s="1106" t="s">
        <v>560</v>
      </c>
      <c r="E212" s="1087" t="s">
        <v>479</v>
      </c>
      <c r="F212" s="1087" t="s">
        <v>559</v>
      </c>
      <c r="G212" s="1083" t="s">
        <v>535</v>
      </c>
      <c r="H212" s="443">
        <f>H213+H214+H215+H216</f>
        <v>19666859</v>
      </c>
      <c r="I212" s="443">
        <f>I213+I214+I215+I216</f>
        <v>30000</v>
      </c>
      <c r="J212" s="1081" t="s">
        <v>20</v>
      </c>
      <c r="K212" s="1079">
        <f>L212+O212</f>
        <v>185772</v>
      </c>
      <c r="L212" s="1079">
        <f>M212+N212</f>
        <v>90523</v>
      </c>
      <c r="M212" s="1080">
        <v>83185</v>
      </c>
      <c r="N212" s="1080">
        <v>7338</v>
      </c>
      <c r="O212" s="1079">
        <f>P212+S212+V212</f>
        <v>95249</v>
      </c>
      <c r="P212" s="1079">
        <f>Q212+R212</f>
        <v>0</v>
      </c>
      <c r="Q212" s="1080">
        <v>0</v>
      </c>
      <c r="R212" s="1080">
        <v>0</v>
      </c>
      <c r="S212" s="1079">
        <f>T212+U212</f>
        <v>95249</v>
      </c>
      <c r="T212" s="1080">
        <v>14680</v>
      </c>
      <c r="U212" s="1080">
        <v>80569</v>
      </c>
      <c r="V212" s="1079">
        <f>W212+X212</f>
        <v>0</v>
      </c>
      <c r="W212" s="1080">
        <v>0</v>
      </c>
      <c r="X212" s="1080">
        <v>0</v>
      </c>
    </row>
    <row r="213" spans="1:24" s="444" customFormat="1" ht="18" customHeight="1" hidden="1">
      <c r="A213" s="1087"/>
      <c r="B213" s="1083"/>
      <c r="C213" s="1085"/>
      <c r="D213" s="1106"/>
      <c r="E213" s="1087"/>
      <c r="F213" s="1087"/>
      <c r="G213" s="1083"/>
      <c r="H213" s="443">
        <v>4390138</v>
      </c>
      <c r="I213" s="443">
        <v>25500</v>
      </c>
      <c r="J213" s="1082"/>
      <c r="K213" s="1079"/>
      <c r="L213" s="1079"/>
      <c r="M213" s="1080"/>
      <c r="N213" s="1080"/>
      <c r="O213" s="1079"/>
      <c r="P213" s="1079"/>
      <c r="Q213" s="1080"/>
      <c r="R213" s="1080"/>
      <c r="S213" s="1079"/>
      <c r="T213" s="1080"/>
      <c r="U213" s="1080"/>
      <c r="V213" s="1079"/>
      <c r="W213" s="1080"/>
      <c r="X213" s="1080"/>
    </row>
    <row r="214" spans="1:24" s="444" customFormat="1" ht="18" customHeight="1" hidden="1">
      <c r="A214" s="1087"/>
      <c r="B214" s="1083"/>
      <c r="C214" s="1085"/>
      <c r="D214" s="1106"/>
      <c r="E214" s="1087"/>
      <c r="F214" s="1087"/>
      <c r="G214" s="1083"/>
      <c r="H214" s="443">
        <v>0</v>
      </c>
      <c r="I214" s="443">
        <v>0</v>
      </c>
      <c r="J214" s="443" t="s">
        <v>21</v>
      </c>
      <c r="K214" s="445">
        <f>L214+O214</f>
        <v>0</v>
      </c>
      <c r="L214" s="445">
        <f>M214+N214</f>
        <v>0</v>
      </c>
      <c r="M214" s="446">
        <v>0</v>
      </c>
      <c r="N214" s="446">
        <v>0</v>
      </c>
      <c r="O214" s="445">
        <f>P214+S214+V214</f>
        <v>0</v>
      </c>
      <c r="P214" s="445">
        <f>Q214+R214</f>
        <v>0</v>
      </c>
      <c r="Q214" s="446">
        <v>0</v>
      </c>
      <c r="R214" s="446">
        <v>0</v>
      </c>
      <c r="S214" s="445">
        <f>T214+U214</f>
        <v>0</v>
      </c>
      <c r="T214" s="446">
        <v>0</v>
      </c>
      <c r="U214" s="446">
        <v>0</v>
      </c>
      <c r="V214" s="445">
        <f>W214+X214</f>
        <v>0</v>
      </c>
      <c r="W214" s="446">
        <v>0</v>
      </c>
      <c r="X214" s="446">
        <v>0</v>
      </c>
    </row>
    <row r="215" spans="1:24" s="444" customFormat="1" ht="18" customHeight="1" hidden="1">
      <c r="A215" s="1087"/>
      <c r="B215" s="1083"/>
      <c r="C215" s="1085"/>
      <c r="D215" s="1106"/>
      <c r="E215" s="1087"/>
      <c r="F215" s="1087"/>
      <c r="G215" s="1083"/>
      <c r="H215" s="443">
        <v>15276721</v>
      </c>
      <c r="I215" s="443">
        <v>4500</v>
      </c>
      <c r="J215" s="1081" t="s">
        <v>22</v>
      </c>
      <c r="K215" s="1079">
        <f aca="true" t="shared" si="39" ref="K215:X215">K212+K214</f>
        <v>185772</v>
      </c>
      <c r="L215" s="1079">
        <f t="shared" si="39"/>
        <v>90523</v>
      </c>
      <c r="M215" s="1080">
        <f t="shared" si="39"/>
        <v>83185</v>
      </c>
      <c r="N215" s="1080">
        <f t="shared" si="39"/>
        <v>7338</v>
      </c>
      <c r="O215" s="1079">
        <f t="shared" si="39"/>
        <v>95249</v>
      </c>
      <c r="P215" s="1079">
        <f t="shared" si="39"/>
        <v>0</v>
      </c>
      <c r="Q215" s="1080">
        <f t="shared" si="39"/>
        <v>0</v>
      </c>
      <c r="R215" s="1080">
        <f t="shared" si="39"/>
        <v>0</v>
      </c>
      <c r="S215" s="1079">
        <f t="shared" si="39"/>
        <v>95249</v>
      </c>
      <c r="T215" s="1080">
        <f t="shared" si="39"/>
        <v>14680</v>
      </c>
      <c r="U215" s="1080">
        <f t="shared" si="39"/>
        <v>80569</v>
      </c>
      <c r="V215" s="1079">
        <f t="shared" si="39"/>
        <v>0</v>
      </c>
      <c r="W215" s="1080">
        <f t="shared" si="39"/>
        <v>0</v>
      </c>
      <c r="X215" s="1080">
        <f t="shared" si="39"/>
        <v>0</v>
      </c>
    </row>
    <row r="216" spans="1:24" s="444" customFormat="1" ht="18" customHeight="1" hidden="1">
      <c r="A216" s="1087"/>
      <c r="B216" s="1083"/>
      <c r="C216" s="1085"/>
      <c r="D216" s="1106"/>
      <c r="E216" s="1087"/>
      <c r="F216" s="1087"/>
      <c r="G216" s="1083"/>
      <c r="H216" s="443">
        <v>0</v>
      </c>
      <c r="I216" s="443">
        <v>0</v>
      </c>
      <c r="J216" s="1082"/>
      <c r="K216" s="1079"/>
      <c r="L216" s="1079"/>
      <c r="M216" s="1080"/>
      <c r="N216" s="1080"/>
      <c r="O216" s="1079"/>
      <c r="P216" s="1079"/>
      <c r="Q216" s="1080"/>
      <c r="R216" s="1080"/>
      <c r="S216" s="1079"/>
      <c r="T216" s="1080"/>
      <c r="U216" s="1080"/>
      <c r="V216" s="1079"/>
      <c r="W216" s="1080"/>
      <c r="X216" s="1080"/>
    </row>
    <row r="217" spans="1:24" s="444" customFormat="1" ht="15" customHeight="1" hidden="1">
      <c r="A217" s="1087">
        <v>40</v>
      </c>
      <c r="B217" s="1083" t="s">
        <v>557</v>
      </c>
      <c r="C217" s="1085" t="s">
        <v>286</v>
      </c>
      <c r="D217" s="1106" t="s">
        <v>561</v>
      </c>
      <c r="E217" s="1087" t="s">
        <v>479</v>
      </c>
      <c r="F217" s="1087" t="s">
        <v>559</v>
      </c>
      <c r="G217" s="1083" t="s">
        <v>535</v>
      </c>
      <c r="H217" s="443">
        <f>H218+H219+H220+H221</f>
        <v>7991694</v>
      </c>
      <c r="I217" s="443">
        <f>I218+I219+I220+I221</f>
        <v>30000</v>
      </c>
      <c r="J217" s="1081" t="s">
        <v>20</v>
      </c>
      <c r="K217" s="1079">
        <f>L217+O217</f>
        <v>287841</v>
      </c>
      <c r="L217" s="1079">
        <f>M217+N217</f>
        <v>244665</v>
      </c>
      <c r="M217" s="1080">
        <v>117165</v>
      </c>
      <c r="N217" s="1080">
        <v>127500</v>
      </c>
      <c r="O217" s="1079">
        <f>P217+S217+V217</f>
        <v>43176</v>
      </c>
      <c r="P217" s="1079">
        <f>Q217+R217</f>
        <v>0</v>
      </c>
      <c r="Q217" s="1080">
        <v>0</v>
      </c>
      <c r="R217" s="1080">
        <v>0</v>
      </c>
      <c r="S217" s="1079">
        <f>T217+U217</f>
        <v>43176</v>
      </c>
      <c r="T217" s="1080">
        <v>20676</v>
      </c>
      <c r="U217" s="1080">
        <v>22500</v>
      </c>
      <c r="V217" s="1079">
        <f>W217+X217</f>
        <v>0</v>
      </c>
      <c r="W217" s="1080">
        <v>0</v>
      </c>
      <c r="X217" s="1080">
        <v>0</v>
      </c>
    </row>
    <row r="218" spans="1:24" s="444" customFormat="1" ht="14.25" customHeight="1" hidden="1">
      <c r="A218" s="1087"/>
      <c r="B218" s="1083"/>
      <c r="C218" s="1085"/>
      <c r="D218" s="1106"/>
      <c r="E218" s="1087"/>
      <c r="F218" s="1087"/>
      <c r="G218" s="1083"/>
      <c r="H218" s="443">
        <v>6792940</v>
      </c>
      <c r="I218" s="443">
        <v>25500</v>
      </c>
      <c r="J218" s="1082"/>
      <c r="K218" s="1079"/>
      <c r="L218" s="1079"/>
      <c r="M218" s="1080"/>
      <c r="N218" s="1080"/>
      <c r="O218" s="1079"/>
      <c r="P218" s="1079"/>
      <c r="Q218" s="1080"/>
      <c r="R218" s="1080"/>
      <c r="S218" s="1079"/>
      <c r="T218" s="1080"/>
      <c r="U218" s="1080"/>
      <c r="V218" s="1079"/>
      <c r="W218" s="1080"/>
      <c r="X218" s="1080"/>
    </row>
    <row r="219" spans="1:24" s="444" customFormat="1" ht="14.25" customHeight="1" hidden="1">
      <c r="A219" s="1087"/>
      <c r="B219" s="1083"/>
      <c r="C219" s="1085"/>
      <c r="D219" s="1106"/>
      <c r="E219" s="1087"/>
      <c r="F219" s="1087"/>
      <c r="G219" s="1083"/>
      <c r="H219" s="443">
        <v>0</v>
      </c>
      <c r="I219" s="443">
        <v>0</v>
      </c>
      <c r="J219" s="443" t="s">
        <v>21</v>
      </c>
      <c r="K219" s="445">
        <f>L219+O219</f>
        <v>0</v>
      </c>
      <c r="L219" s="445">
        <f>M219+N219</f>
        <v>0</v>
      </c>
      <c r="M219" s="446">
        <v>0</v>
      </c>
      <c r="N219" s="446">
        <v>0</v>
      </c>
      <c r="O219" s="445">
        <f>P219+S219+V219</f>
        <v>0</v>
      </c>
      <c r="P219" s="445">
        <f>Q219+R219</f>
        <v>0</v>
      </c>
      <c r="Q219" s="446">
        <v>0</v>
      </c>
      <c r="R219" s="446">
        <v>0</v>
      </c>
      <c r="S219" s="445">
        <f>T219+U219</f>
        <v>0</v>
      </c>
      <c r="T219" s="446">
        <v>0</v>
      </c>
      <c r="U219" s="446">
        <v>0</v>
      </c>
      <c r="V219" s="445">
        <f>W219+X219</f>
        <v>0</v>
      </c>
      <c r="W219" s="446">
        <v>0</v>
      </c>
      <c r="X219" s="446">
        <v>0</v>
      </c>
    </row>
    <row r="220" spans="1:24" s="444" customFormat="1" ht="14.25" customHeight="1" hidden="1">
      <c r="A220" s="1087"/>
      <c r="B220" s="1083"/>
      <c r="C220" s="1085"/>
      <c r="D220" s="1106"/>
      <c r="E220" s="1087"/>
      <c r="F220" s="1087"/>
      <c r="G220" s="1083"/>
      <c r="H220" s="443">
        <v>1198754</v>
      </c>
      <c r="I220" s="443">
        <v>4500</v>
      </c>
      <c r="J220" s="1081" t="s">
        <v>22</v>
      </c>
      <c r="K220" s="1079">
        <f aca="true" t="shared" si="40" ref="K220:X220">K217+K219</f>
        <v>287841</v>
      </c>
      <c r="L220" s="1079">
        <f t="shared" si="40"/>
        <v>244665</v>
      </c>
      <c r="M220" s="1080">
        <f t="shared" si="40"/>
        <v>117165</v>
      </c>
      <c r="N220" s="1080">
        <f t="shared" si="40"/>
        <v>127500</v>
      </c>
      <c r="O220" s="1079">
        <f t="shared" si="40"/>
        <v>43176</v>
      </c>
      <c r="P220" s="1079">
        <f t="shared" si="40"/>
        <v>0</v>
      </c>
      <c r="Q220" s="1080">
        <f t="shared" si="40"/>
        <v>0</v>
      </c>
      <c r="R220" s="1080">
        <f t="shared" si="40"/>
        <v>0</v>
      </c>
      <c r="S220" s="1079">
        <f t="shared" si="40"/>
        <v>43176</v>
      </c>
      <c r="T220" s="1080">
        <f t="shared" si="40"/>
        <v>20676</v>
      </c>
      <c r="U220" s="1080">
        <f t="shared" si="40"/>
        <v>22500</v>
      </c>
      <c r="V220" s="1079">
        <f t="shared" si="40"/>
        <v>0</v>
      </c>
      <c r="W220" s="1080">
        <f t="shared" si="40"/>
        <v>0</v>
      </c>
      <c r="X220" s="1080">
        <f t="shared" si="40"/>
        <v>0</v>
      </c>
    </row>
    <row r="221" spans="1:24" s="444" customFormat="1" ht="14.25" customHeight="1" hidden="1">
      <c r="A221" s="1087"/>
      <c r="B221" s="1083"/>
      <c r="C221" s="1085"/>
      <c r="D221" s="1106"/>
      <c r="E221" s="1087"/>
      <c r="F221" s="1087"/>
      <c r="G221" s="1083"/>
      <c r="H221" s="443">
        <v>0</v>
      </c>
      <c r="I221" s="443">
        <v>0</v>
      </c>
      <c r="J221" s="1082"/>
      <c r="K221" s="1079"/>
      <c r="L221" s="1079"/>
      <c r="M221" s="1080"/>
      <c r="N221" s="1080"/>
      <c r="O221" s="1079"/>
      <c r="P221" s="1079"/>
      <c r="Q221" s="1080"/>
      <c r="R221" s="1080"/>
      <c r="S221" s="1079"/>
      <c r="T221" s="1080"/>
      <c r="U221" s="1080"/>
      <c r="V221" s="1079"/>
      <c r="W221" s="1080"/>
      <c r="X221" s="1080"/>
    </row>
    <row r="222" spans="1:24" s="444" customFormat="1" ht="15" customHeight="1" hidden="1">
      <c r="A222" s="1087">
        <v>41</v>
      </c>
      <c r="B222" s="1083" t="s">
        <v>557</v>
      </c>
      <c r="C222" s="1085" t="s">
        <v>286</v>
      </c>
      <c r="D222" s="1106" t="s">
        <v>562</v>
      </c>
      <c r="E222" s="1087" t="s">
        <v>479</v>
      </c>
      <c r="F222" s="1087" t="s">
        <v>563</v>
      </c>
      <c r="G222" s="1083" t="s">
        <v>492</v>
      </c>
      <c r="H222" s="443">
        <f>H223+H224+H225+H226</f>
        <v>13756232</v>
      </c>
      <c r="I222" s="443">
        <f>I223+I224+I225+I226</f>
        <v>0</v>
      </c>
      <c r="J222" s="1081" t="s">
        <v>20</v>
      </c>
      <c r="K222" s="1079">
        <f>L222+O222</f>
        <v>270000</v>
      </c>
      <c r="L222" s="1079">
        <f>M222+N222</f>
        <v>127731</v>
      </c>
      <c r="M222" s="1080">
        <v>0</v>
      </c>
      <c r="N222" s="1080">
        <v>127731</v>
      </c>
      <c r="O222" s="1079">
        <f>P222+S222+V222</f>
        <v>142269</v>
      </c>
      <c r="P222" s="1079">
        <f>Q222+R222</f>
        <v>0</v>
      </c>
      <c r="Q222" s="1080">
        <v>0</v>
      </c>
      <c r="R222" s="1080">
        <v>0</v>
      </c>
      <c r="S222" s="1079">
        <f>T222+U222</f>
        <v>142269</v>
      </c>
      <c r="T222" s="1080">
        <v>0</v>
      </c>
      <c r="U222" s="1080">
        <v>142269</v>
      </c>
      <c r="V222" s="1079">
        <f>W222+X222</f>
        <v>0</v>
      </c>
      <c r="W222" s="1080">
        <v>0</v>
      </c>
      <c r="X222" s="1080">
        <v>0</v>
      </c>
    </row>
    <row r="223" spans="1:24" s="444" customFormat="1" ht="14.25" customHeight="1" hidden="1">
      <c r="A223" s="1087"/>
      <c r="B223" s="1083"/>
      <c r="C223" s="1085"/>
      <c r="D223" s="1106"/>
      <c r="E223" s="1087"/>
      <c r="F223" s="1087"/>
      <c r="G223" s="1083"/>
      <c r="H223" s="443">
        <v>7086562</v>
      </c>
      <c r="I223" s="443">
        <v>0</v>
      </c>
      <c r="J223" s="1082"/>
      <c r="K223" s="1079"/>
      <c r="L223" s="1079"/>
      <c r="M223" s="1080"/>
      <c r="N223" s="1080"/>
      <c r="O223" s="1079"/>
      <c r="P223" s="1079"/>
      <c r="Q223" s="1080"/>
      <c r="R223" s="1080"/>
      <c r="S223" s="1079"/>
      <c r="T223" s="1080"/>
      <c r="U223" s="1080"/>
      <c r="V223" s="1079"/>
      <c r="W223" s="1080"/>
      <c r="X223" s="1080"/>
    </row>
    <row r="224" spans="1:24" s="444" customFormat="1" ht="14.25" customHeight="1" hidden="1">
      <c r="A224" s="1087"/>
      <c r="B224" s="1083"/>
      <c r="C224" s="1085"/>
      <c r="D224" s="1106"/>
      <c r="E224" s="1087"/>
      <c r="F224" s="1087"/>
      <c r="G224" s="1083"/>
      <c r="H224" s="443">
        <v>0</v>
      </c>
      <c r="I224" s="443">
        <v>0</v>
      </c>
      <c r="J224" s="443" t="s">
        <v>21</v>
      </c>
      <c r="K224" s="445">
        <f>L224+O224</f>
        <v>0</v>
      </c>
      <c r="L224" s="445">
        <f>M224+N224</f>
        <v>0</v>
      </c>
      <c r="M224" s="446">
        <v>0</v>
      </c>
      <c r="N224" s="446">
        <v>0</v>
      </c>
      <c r="O224" s="445">
        <f>P224+S224+V224</f>
        <v>0</v>
      </c>
      <c r="P224" s="445">
        <f>Q224+R224</f>
        <v>0</v>
      </c>
      <c r="Q224" s="446">
        <v>0</v>
      </c>
      <c r="R224" s="446">
        <v>0</v>
      </c>
      <c r="S224" s="445">
        <f>T224+U224</f>
        <v>0</v>
      </c>
      <c r="T224" s="446">
        <v>0</v>
      </c>
      <c r="U224" s="446">
        <v>0</v>
      </c>
      <c r="V224" s="445">
        <f>W224+X224</f>
        <v>0</v>
      </c>
      <c r="W224" s="446">
        <v>0</v>
      </c>
      <c r="X224" s="446">
        <v>0</v>
      </c>
    </row>
    <row r="225" spans="1:24" s="444" customFormat="1" ht="14.25" customHeight="1" hidden="1">
      <c r="A225" s="1087"/>
      <c r="B225" s="1083"/>
      <c r="C225" s="1085"/>
      <c r="D225" s="1106"/>
      <c r="E225" s="1087"/>
      <c r="F225" s="1087"/>
      <c r="G225" s="1083"/>
      <c r="H225" s="443">
        <v>6669670</v>
      </c>
      <c r="I225" s="443">
        <v>0</v>
      </c>
      <c r="J225" s="1081" t="s">
        <v>22</v>
      </c>
      <c r="K225" s="1079">
        <f aca="true" t="shared" si="41" ref="K225:X225">K222+K224</f>
        <v>270000</v>
      </c>
      <c r="L225" s="1079">
        <f t="shared" si="41"/>
        <v>127731</v>
      </c>
      <c r="M225" s="1080">
        <f t="shared" si="41"/>
        <v>0</v>
      </c>
      <c r="N225" s="1080">
        <f t="shared" si="41"/>
        <v>127731</v>
      </c>
      <c r="O225" s="1079">
        <f t="shared" si="41"/>
        <v>142269</v>
      </c>
      <c r="P225" s="1079">
        <f t="shared" si="41"/>
        <v>0</v>
      </c>
      <c r="Q225" s="1080">
        <f t="shared" si="41"/>
        <v>0</v>
      </c>
      <c r="R225" s="1080">
        <f t="shared" si="41"/>
        <v>0</v>
      </c>
      <c r="S225" s="1079">
        <f t="shared" si="41"/>
        <v>142269</v>
      </c>
      <c r="T225" s="1080">
        <f t="shared" si="41"/>
        <v>0</v>
      </c>
      <c r="U225" s="1080">
        <f t="shared" si="41"/>
        <v>142269</v>
      </c>
      <c r="V225" s="1079">
        <f t="shared" si="41"/>
        <v>0</v>
      </c>
      <c r="W225" s="1080">
        <f t="shared" si="41"/>
        <v>0</v>
      </c>
      <c r="X225" s="1080">
        <f t="shared" si="41"/>
        <v>0</v>
      </c>
    </row>
    <row r="226" spans="1:24" s="444" customFormat="1" ht="14.25" customHeight="1" hidden="1">
      <c r="A226" s="1087"/>
      <c r="B226" s="1083"/>
      <c r="C226" s="1085"/>
      <c r="D226" s="1106"/>
      <c r="E226" s="1087"/>
      <c r="F226" s="1087"/>
      <c r="G226" s="1083"/>
      <c r="H226" s="443">
        <v>0</v>
      </c>
      <c r="I226" s="443">
        <v>0</v>
      </c>
      <c r="J226" s="1082"/>
      <c r="K226" s="1079"/>
      <c r="L226" s="1079"/>
      <c r="M226" s="1080"/>
      <c r="N226" s="1080"/>
      <c r="O226" s="1079"/>
      <c r="P226" s="1079"/>
      <c r="Q226" s="1080"/>
      <c r="R226" s="1080"/>
      <c r="S226" s="1079"/>
      <c r="T226" s="1080"/>
      <c r="U226" s="1080"/>
      <c r="V226" s="1079"/>
      <c r="W226" s="1080"/>
      <c r="X226" s="1080"/>
    </row>
    <row r="227" spans="1:24" s="444" customFormat="1" ht="15" customHeight="1" hidden="1">
      <c r="A227" s="1087" t="s">
        <v>564</v>
      </c>
      <c r="B227" s="1093" t="s">
        <v>565</v>
      </c>
      <c r="C227" s="1085" t="s">
        <v>566</v>
      </c>
      <c r="D227" s="1103" t="s">
        <v>567</v>
      </c>
      <c r="E227" s="1088" t="s">
        <v>568</v>
      </c>
      <c r="F227" s="1088" t="s">
        <v>569</v>
      </c>
      <c r="G227" s="1093" t="s">
        <v>481</v>
      </c>
      <c r="H227" s="443">
        <f>H228+H229+H230+H231</f>
        <v>8856684</v>
      </c>
      <c r="I227" s="443">
        <f>I228+I229+I230+I231</f>
        <v>1181810</v>
      </c>
      <c r="J227" s="1081" t="s">
        <v>20</v>
      </c>
      <c r="K227" s="1079">
        <f>L227+O227</f>
        <v>4620676</v>
      </c>
      <c r="L227" s="1079">
        <f>M227+N227</f>
        <v>4121785</v>
      </c>
      <c r="M227" s="1080">
        <v>4121785</v>
      </c>
      <c r="N227" s="1080">
        <v>0</v>
      </c>
      <c r="O227" s="1079">
        <f>P227+S227+V227</f>
        <v>498891</v>
      </c>
      <c r="P227" s="1079">
        <f>Q227+R227</f>
        <v>498891</v>
      </c>
      <c r="Q227" s="1080">
        <v>498891</v>
      </c>
      <c r="R227" s="1080">
        <v>0</v>
      </c>
      <c r="S227" s="1079">
        <f>T227+U227</f>
        <v>0</v>
      </c>
      <c r="T227" s="1080">
        <v>0</v>
      </c>
      <c r="U227" s="1080">
        <v>0</v>
      </c>
      <c r="V227" s="1079">
        <f>W227+X227</f>
        <v>0</v>
      </c>
      <c r="W227" s="1080">
        <v>0</v>
      </c>
      <c r="X227" s="1080">
        <v>0</v>
      </c>
    </row>
    <row r="228" spans="1:24" s="444" customFormat="1" ht="14.25" customHeight="1" hidden="1">
      <c r="A228" s="1087"/>
      <c r="B228" s="1094"/>
      <c r="C228" s="1085"/>
      <c r="D228" s="1104"/>
      <c r="E228" s="1089"/>
      <c r="F228" s="1089"/>
      <c r="G228" s="1094"/>
      <c r="H228" s="443">
        <v>7924401</v>
      </c>
      <c r="I228" s="443">
        <v>1058148</v>
      </c>
      <c r="J228" s="1082"/>
      <c r="K228" s="1079"/>
      <c r="L228" s="1079"/>
      <c r="M228" s="1080"/>
      <c r="N228" s="1080"/>
      <c r="O228" s="1079"/>
      <c r="P228" s="1079"/>
      <c r="Q228" s="1080"/>
      <c r="R228" s="1080"/>
      <c r="S228" s="1079"/>
      <c r="T228" s="1080"/>
      <c r="U228" s="1080"/>
      <c r="V228" s="1079"/>
      <c r="W228" s="1080"/>
      <c r="X228" s="1080"/>
    </row>
    <row r="229" spans="1:24" s="444" customFormat="1" ht="14.25" customHeight="1" hidden="1">
      <c r="A229" s="1087"/>
      <c r="B229" s="1094"/>
      <c r="C229" s="1085"/>
      <c r="D229" s="1104"/>
      <c r="E229" s="1089"/>
      <c r="F229" s="1089"/>
      <c r="G229" s="1094"/>
      <c r="H229" s="443">
        <v>932283</v>
      </c>
      <c r="I229" s="443">
        <v>123662</v>
      </c>
      <c r="J229" s="443" t="s">
        <v>21</v>
      </c>
      <c r="K229" s="445">
        <f>L229+O229</f>
        <v>0</v>
      </c>
      <c r="L229" s="445">
        <f>M229+N229</f>
        <v>0</v>
      </c>
      <c r="M229" s="446">
        <v>0</v>
      </c>
      <c r="N229" s="446">
        <v>0</v>
      </c>
      <c r="O229" s="445">
        <f>P229+S229+V229</f>
        <v>0</v>
      </c>
      <c r="P229" s="445">
        <f>Q229+R229</f>
        <v>0</v>
      </c>
      <c r="Q229" s="446">
        <v>0</v>
      </c>
      <c r="R229" s="446">
        <v>0</v>
      </c>
      <c r="S229" s="445">
        <f>T229+U229</f>
        <v>0</v>
      </c>
      <c r="T229" s="446">
        <v>0</v>
      </c>
      <c r="U229" s="446">
        <v>0</v>
      </c>
      <c r="V229" s="445">
        <f>W229+X229</f>
        <v>0</v>
      </c>
      <c r="W229" s="446">
        <v>0</v>
      </c>
      <c r="X229" s="446">
        <v>0</v>
      </c>
    </row>
    <row r="230" spans="1:24" s="444" customFormat="1" ht="14.25" customHeight="1" hidden="1">
      <c r="A230" s="1087"/>
      <c r="B230" s="1094"/>
      <c r="C230" s="1085"/>
      <c r="D230" s="1104"/>
      <c r="E230" s="1089"/>
      <c r="F230" s="1089"/>
      <c r="G230" s="1094"/>
      <c r="H230" s="443">
        <v>0</v>
      </c>
      <c r="I230" s="443">
        <v>0</v>
      </c>
      <c r="J230" s="1081" t="s">
        <v>22</v>
      </c>
      <c r="K230" s="1079">
        <f aca="true" t="shared" si="42" ref="K230:X230">K227+K229</f>
        <v>4620676</v>
      </c>
      <c r="L230" s="1079">
        <f t="shared" si="42"/>
        <v>4121785</v>
      </c>
      <c r="M230" s="1080">
        <f t="shared" si="42"/>
        <v>4121785</v>
      </c>
      <c r="N230" s="1080">
        <f t="shared" si="42"/>
        <v>0</v>
      </c>
      <c r="O230" s="1079">
        <f t="shared" si="42"/>
        <v>498891</v>
      </c>
      <c r="P230" s="1079">
        <f t="shared" si="42"/>
        <v>498891</v>
      </c>
      <c r="Q230" s="1080">
        <f t="shared" si="42"/>
        <v>498891</v>
      </c>
      <c r="R230" s="1080">
        <f t="shared" si="42"/>
        <v>0</v>
      </c>
      <c r="S230" s="1079">
        <f t="shared" si="42"/>
        <v>0</v>
      </c>
      <c r="T230" s="1080">
        <f t="shared" si="42"/>
        <v>0</v>
      </c>
      <c r="U230" s="1080">
        <f t="shared" si="42"/>
        <v>0</v>
      </c>
      <c r="V230" s="1079">
        <f t="shared" si="42"/>
        <v>0</v>
      </c>
      <c r="W230" s="1080">
        <f t="shared" si="42"/>
        <v>0</v>
      </c>
      <c r="X230" s="1080">
        <f t="shared" si="42"/>
        <v>0</v>
      </c>
    </row>
    <row r="231" spans="1:24" s="444" customFormat="1" ht="14.25" customHeight="1" hidden="1">
      <c r="A231" s="1087"/>
      <c r="B231" s="1095"/>
      <c r="C231" s="1085"/>
      <c r="D231" s="1105"/>
      <c r="E231" s="1090"/>
      <c r="F231" s="1090"/>
      <c r="G231" s="1095"/>
      <c r="H231" s="443">
        <v>0</v>
      </c>
      <c r="I231" s="443">
        <v>0</v>
      </c>
      <c r="J231" s="1082"/>
      <c r="K231" s="1079"/>
      <c r="L231" s="1079"/>
      <c r="M231" s="1080"/>
      <c r="N231" s="1080"/>
      <c r="O231" s="1079"/>
      <c r="P231" s="1079"/>
      <c r="Q231" s="1080"/>
      <c r="R231" s="1080"/>
      <c r="S231" s="1079"/>
      <c r="T231" s="1080"/>
      <c r="U231" s="1080"/>
      <c r="V231" s="1079"/>
      <c r="W231" s="1080"/>
      <c r="X231" s="1080"/>
    </row>
    <row r="232" spans="1:24" s="444" customFormat="1" ht="15" customHeight="1" hidden="1">
      <c r="A232" s="1087">
        <v>43</v>
      </c>
      <c r="B232" s="1093" t="s">
        <v>570</v>
      </c>
      <c r="C232" s="1085" t="s">
        <v>571</v>
      </c>
      <c r="D232" s="1103" t="s">
        <v>572</v>
      </c>
      <c r="E232" s="1088" t="s">
        <v>568</v>
      </c>
      <c r="F232" s="1088" t="s">
        <v>569</v>
      </c>
      <c r="G232" s="1093" t="s">
        <v>481</v>
      </c>
      <c r="H232" s="443">
        <f>H233+H234+H235+H236</f>
        <v>10907919</v>
      </c>
      <c r="I232" s="443">
        <f>I233+I234+I235+I236</f>
        <v>2590157</v>
      </c>
      <c r="J232" s="1081" t="s">
        <v>20</v>
      </c>
      <c r="K232" s="1079">
        <f>L232+O232</f>
        <v>5185131</v>
      </c>
      <c r="L232" s="1079">
        <f>M232+N232</f>
        <v>4675477</v>
      </c>
      <c r="M232" s="1080">
        <v>4675477</v>
      </c>
      <c r="N232" s="1080">
        <v>0</v>
      </c>
      <c r="O232" s="1079">
        <f>P232+S232+V232</f>
        <v>509654</v>
      </c>
      <c r="P232" s="1079">
        <f>Q232+R232</f>
        <v>509654</v>
      </c>
      <c r="Q232" s="1080">
        <v>509654</v>
      </c>
      <c r="R232" s="1080">
        <v>0</v>
      </c>
      <c r="S232" s="1079">
        <f>T232+U232</f>
        <v>0</v>
      </c>
      <c r="T232" s="1080">
        <v>0</v>
      </c>
      <c r="U232" s="1080">
        <v>0</v>
      </c>
      <c r="V232" s="1079">
        <f>W232+X232</f>
        <v>0</v>
      </c>
      <c r="W232" s="1080">
        <v>0</v>
      </c>
      <c r="X232" s="1080">
        <v>0</v>
      </c>
    </row>
    <row r="233" spans="1:24" s="444" customFormat="1" ht="14.25" customHeight="1" hidden="1">
      <c r="A233" s="1087"/>
      <c r="B233" s="1094"/>
      <c r="C233" s="1085"/>
      <c r="D233" s="1104"/>
      <c r="E233" s="1089"/>
      <c r="F233" s="1089"/>
      <c r="G233" s="1094"/>
      <c r="H233" s="443">
        <v>9759717</v>
      </c>
      <c r="I233" s="443">
        <v>2314897</v>
      </c>
      <c r="J233" s="1082"/>
      <c r="K233" s="1079"/>
      <c r="L233" s="1079"/>
      <c r="M233" s="1080"/>
      <c r="N233" s="1080"/>
      <c r="O233" s="1079"/>
      <c r="P233" s="1079"/>
      <c r="Q233" s="1080"/>
      <c r="R233" s="1080"/>
      <c r="S233" s="1079"/>
      <c r="T233" s="1080"/>
      <c r="U233" s="1080"/>
      <c r="V233" s="1079"/>
      <c r="W233" s="1080"/>
      <c r="X233" s="1080"/>
    </row>
    <row r="234" spans="1:24" s="444" customFormat="1" ht="14.25" customHeight="1" hidden="1">
      <c r="A234" s="1087"/>
      <c r="B234" s="1094"/>
      <c r="C234" s="1085"/>
      <c r="D234" s="1104"/>
      <c r="E234" s="1089"/>
      <c r="F234" s="1089"/>
      <c r="G234" s="1094"/>
      <c r="H234" s="443">
        <v>1148202</v>
      </c>
      <c r="I234" s="443">
        <v>275260</v>
      </c>
      <c r="J234" s="443" t="s">
        <v>21</v>
      </c>
      <c r="K234" s="445">
        <f>L234+O234</f>
        <v>0</v>
      </c>
      <c r="L234" s="445">
        <f>M234+N234</f>
        <v>0</v>
      </c>
      <c r="M234" s="446">
        <v>0</v>
      </c>
      <c r="N234" s="446">
        <v>0</v>
      </c>
      <c r="O234" s="445">
        <f>P234+S234+V234</f>
        <v>0</v>
      </c>
      <c r="P234" s="445">
        <f>Q234+R234</f>
        <v>0</v>
      </c>
      <c r="Q234" s="446">
        <v>0</v>
      </c>
      <c r="R234" s="446">
        <v>0</v>
      </c>
      <c r="S234" s="445">
        <f>T234+U234</f>
        <v>0</v>
      </c>
      <c r="T234" s="446">
        <v>0</v>
      </c>
      <c r="U234" s="446">
        <v>0</v>
      </c>
      <c r="V234" s="445">
        <f>W234+X234</f>
        <v>0</v>
      </c>
      <c r="W234" s="446">
        <v>0</v>
      </c>
      <c r="X234" s="446">
        <v>0</v>
      </c>
    </row>
    <row r="235" spans="1:24" s="444" customFormat="1" ht="14.25" customHeight="1" hidden="1">
      <c r="A235" s="1087"/>
      <c r="B235" s="1094"/>
      <c r="C235" s="1085"/>
      <c r="D235" s="1104"/>
      <c r="E235" s="1089"/>
      <c r="F235" s="1089"/>
      <c r="G235" s="1094"/>
      <c r="H235" s="443">
        <v>0</v>
      </c>
      <c r="I235" s="443">
        <v>0</v>
      </c>
      <c r="J235" s="1081" t="s">
        <v>22</v>
      </c>
      <c r="K235" s="1079">
        <f aca="true" t="shared" si="43" ref="K235:X235">K232+K234</f>
        <v>5185131</v>
      </c>
      <c r="L235" s="1079">
        <f t="shared" si="43"/>
        <v>4675477</v>
      </c>
      <c r="M235" s="1080">
        <f t="shared" si="43"/>
        <v>4675477</v>
      </c>
      <c r="N235" s="1080">
        <f t="shared" si="43"/>
        <v>0</v>
      </c>
      <c r="O235" s="1079">
        <f t="shared" si="43"/>
        <v>509654</v>
      </c>
      <c r="P235" s="1079">
        <f t="shared" si="43"/>
        <v>509654</v>
      </c>
      <c r="Q235" s="1080">
        <f t="shared" si="43"/>
        <v>509654</v>
      </c>
      <c r="R235" s="1080">
        <f t="shared" si="43"/>
        <v>0</v>
      </c>
      <c r="S235" s="1079">
        <f t="shared" si="43"/>
        <v>0</v>
      </c>
      <c r="T235" s="1080">
        <f t="shared" si="43"/>
        <v>0</v>
      </c>
      <c r="U235" s="1080">
        <f t="shared" si="43"/>
        <v>0</v>
      </c>
      <c r="V235" s="1079">
        <f t="shared" si="43"/>
        <v>0</v>
      </c>
      <c r="W235" s="1080">
        <f t="shared" si="43"/>
        <v>0</v>
      </c>
      <c r="X235" s="1080">
        <f t="shared" si="43"/>
        <v>0</v>
      </c>
    </row>
    <row r="236" spans="1:24" s="444" customFormat="1" ht="14.25" customHeight="1" hidden="1">
      <c r="A236" s="1087"/>
      <c r="B236" s="1095"/>
      <c r="C236" s="1085"/>
      <c r="D236" s="1105"/>
      <c r="E236" s="1090"/>
      <c r="F236" s="1090"/>
      <c r="G236" s="1095"/>
      <c r="H236" s="443">
        <v>0</v>
      </c>
      <c r="I236" s="443">
        <v>0</v>
      </c>
      <c r="J236" s="1082"/>
      <c r="K236" s="1079"/>
      <c r="L236" s="1079"/>
      <c r="M236" s="1080"/>
      <c r="N236" s="1080"/>
      <c r="O236" s="1079"/>
      <c r="P236" s="1079"/>
      <c r="Q236" s="1080"/>
      <c r="R236" s="1080"/>
      <c r="S236" s="1079"/>
      <c r="T236" s="1080"/>
      <c r="U236" s="1080"/>
      <c r="V236" s="1079"/>
      <c r="W236" s="1080"/>
      <c r="X236" s="1080"/>
    </row>
    <row r="237" spans="1:24" s="444" customFormat="1" ht="15" customHeight="1" hidden="1">
      <c r="A237" s="1087">
        <v>44</v>
      </c>
      <c r="B237" s="1093" t="s">
        <v>573</v>
      </c>
      <c r="C237" s="1085" t="s">
        <v>574</v>
      </c>
      <c r="D237" s="1103" t="s">
        <v>575</v>
      </c>
      <c r="E237" s="1088" t="s">
        <v>568</v>
      </c>
      <c r="F237" s="1088" t="s">
        <v>569</v>
      </c>
      <c r="G237" s="1093" t="s">
        <v>481</v>
      </c>
      <c r="H237" s="443">
        <f>H238+H239+H240+H241</f>
        <v>2000000</v>
      </c>
      <c r="I237" s="443">
        <f>I238+I239+I240+I241</f>
        <v>579120</v>
      </c>
      <c r="J237" s="1081" t="s">
        <v>20</v>
      </c>
      <c r="K237" s="1079">
        <f>L237+O237</f>
        <v>760028</v>
      </c>
      <c r="L237" s="1079">
        <f>M237+N237</f>
        <v>646024</v>
      </c>
      <c r="M237" s="1080">
        <v>646024</v>
      </c>
      <c r="N237" s="1080">
        <v>0</v>
      </c>
      <c r="O237" s="1079">
        <f>P237+S237+V237</f>
        <v>114004</v>
      </c>
      <c r="P237" s="1079">
        <f>Q237+R237</f>
        <v>0</v>
      </c>
      <c r="Q237" s="1080">
        <v>0</v>
      </c>
      <c r="R237" s="1080">
        <v>0</v>
      </c>
      <c r="S237" s="1079">
        <f>T237+U237</f>
        <v>114004</v>
      </c>
      <c r="T237" s="1080">
        <v>114004</v>
      </c>
      <c r="U237" s="1080">
        <v>0</v>
      </c>
      <c r="V237" s="1079">
        <f>W237+X237</f>
        <v>0</v>
      </c>
      <c r="W237" s="1080">
        <v>0</v>
      </c>
      <c r="X237" s="1080">
        <v>0</v>
      </c>
    </row>
    <row r="238" spans="1:24" s="444" customFormat="1" ht="14.25" customHeight="1" hidden="1">
      <c r="A238" s="1087"/>
      <c r="B238" s="1094"/>
      <c r="C238" s="1085"/>
      <c r="D238" s="1104"/>
      <c r="E238" s="1089"/>
      <c r="F238" s="1089"/>
      <c r="G238" s="1094"/>
      <c r="H238" s="443">
        <v>1700000</v>
      </c>
      <c r="I238" s="443">
        <v>492252</v>
      </c>
      <c r="J238" s="1082"/>
      <c r="K238" s="1079"/>
      <c r="L238" s="1079"/>
      <c r="M238" s="1080"/>
      <c r="N238" s="1080"/>
      <c r="O238" s="1079"/>
      <c r="P238" s="1079"/>
      <c r="Q238" s="1080"/>
      <c r="R238" s="1080"/>
      <c r="S238" s="1079"/>
      <c r="T238" s="1080"/>
      <c r="U238" s="1080"/>
      <c r="V238" s="1079"/>
      <c r="W238" s="1080"/>
      <c r="X238" s="1080"/>
    </row>
    <row r="239" spans="1:24" s="444" customFormat="1" ht="14.25" customHeight="1" hidden="1">
      <c r="A239" s="1087"/>
      <c r="B239" s="1094"/>
      <c r="C239" s="1085"/>
      <c r="D239" s="1104"/>
      <c r="E239" s="1089"/>
      <c r="F239" s="1089"/>
      <c r="G239" s="1094"/>
      <c r="H239" s="443">
        <v>0</v>
      </c>
      <c r="I239" s="443">
        <v>0</v>
      </c>
      <c r="J239" s="443" t="s">
        <v>21</v>
      </c>
      <c r="K239" s="445">
        <f>L239+O239</f>
        <v>0</v>
      </c>
      <c r="L239" s="445">
        <f>M239+N239</f>
        <v>0</v>
      </c>
      <c r="M239" s="446">
        <v>0</v>
      </c>
      <c r="N239" s="446">
        <v>0</v>
      </c>
      <c r="O239" s="445">
        <f>P239+S239+V239</f>
        <v>0</v>
      </c>
      <c r="P239" s="445">
        <f>Q239+R239</f>
        <v>0</v>
      </c>
      <c r="Q239" s="446">
        <v>0</v>
      </c>
      <c r="R239" s="446">
        <v>0</v>
      </c>
      <c r="S239" s="445">
        <f>T239+U239</f>
        <v>0</v>
      </c>
      <c r="T239" s="446">
        <v>0</v>
      </c>
      <c r="U239" s="446">
        <v>0</v>
      </c>
      <c r="V239" s="445">
        <f>W239+X239</f>
        <v>0</v>
      </c>
      <c r="W239" s="446">
        <v>0</v>
      </c>
      <c r="X239" s="446">
        <v>0</v>
      </c>
    </row>
    <row r="240" spans="1:24" s="444" customFormat="1" ht="14.25" customHeight="1" hidden="1">
      <c r="A240" s="1087"/>
      <c r="B240" s="1094"/>
      <c r="C240" s="1085"/>
      <c r="D240" s="1104"/>
      <c r="E240" s="1089"/>
      <c r="F240" s="1089"/>
      <c r="G240" s="1094"/>
      <c r="H240" s="443">
        <v>300000</v>
      </c>
      <c r="I240" s="443">
        <v>86868</v>
      </c>
      <c r="J240" s="1081" t="s">
        <v>22</v>
      </c>
      <c r="K240" s="1079">
        <f aca="true" t="shared" si="44" ref="K240:X240">K237+K239</f>
        <v>760028</v>
      </c>
      <c r="L240" s="1079">
        <f t="shared" si="44"/>
        <v>646024</v>
      </c>
      <c r="M240" s="1080">
        <f t="shared" si="44"/>
        <v>646024</v>
      </c>
      <c r="N240" s="1080">
        <f t="shared" si="44"/>
        <v>0</v>
      </c>
      <c r="O240" s="1079">
        <f t="shared" si="44"/>
        <v>114004</v>
      </c>
      <c r="P240" s="1079">
        <f t="shared" si="44"/>
        <v>0</v>
      </c>
      <c r="Q240" s="1080">
        <f t="shared" si="44"/>
        <v>0</v>
      </c>
      <c r="R240" s="1080">
        <f t="shared" si="44"/>
        <v>0</v>
      </c>
      <c r="S240" s="1079">
        <f t="shared" si="44"/>
        <v>114004</v>
      </c>
      <c r="T240" s="1080">
        <f t="shared" si="44"/>
        <v>114004</v>
      </c>
      <c r="U240" s="1080">
        <f t="shared" si="44"/>
        <v>0</v>
      </c>
      <c r="V240" s="1079">
        <f t="shared" si="44"/>
        <v>0</v>
      </c>
      <c r="W240" s="1080">
        <f t="shared" si="44"/>
        <v>0</v>
      </c>
      <c r="X240" s="1080">
        <f t="shared" si="44"/>
        <v>0</v>
      </c>
    </row>
    <row r="241" spans="1:24" s="444" customFormat="1" ht="14.25" customHeight="1" hidden="1">
      <c r="A241" s="1087"/>
      <c r="B241" s="1095"/>
      <c r="C241" s="1085"/>
      <c r="D241" s="1105"/>
      <c r="E241" s="1090"/>
      <c r="F241" s="1090"/>
      <c r="G241" s="1095"/>
      <c r="H241" s="443">
        <v>0</v>
      </c>
      <c r="I241" s="443">
        <v>0</v>
      </c>
      <c r="J241" s="1082"/>
      <c r="K241" s="1079"/>
      <c r="L241" s="1079"/>
      <c r="M241" s="1080"/>
      <c r="N241" s="1080"/>
      <c r="O241" s="1079"/>
      <c r="P241" s="1079"/>
      <c r="Q241" s="1080"/>
      <c r="R241" s="1080"/>
      <c r="S241" s="1079"/>
      <c r="T241" s="1080"/>
      <c r="U241" s="1080"/>
      <c r="V241" s="1079"/>
      <c r="W241" s="1080"/>
      <c r="X241" s="1080"/>
    </row>
    <row r="242" spans="1:24" s="444" customFormat="1" ht="15" customHeight="1" hidden="1">
      <c r="A242" s="1087">
        <v>45</v>
      </c>
      <c r="B242" s="1093" t="s">
        <v>576</v>
      </c>
      <c r="C242" s="1085" t="s">
        <v>577</v>
      </c>
      <c r="D242" s="1103" t="s">
        <v>578</v>
      </c>
      <c r="E242" s="1088" t="s">
        <v>479</v>
      </c>
      <c r="F242" s="1088" t="s">
        <v>579</v>
      </c>
      <c r="G242" s="1093" t="s">
        <v>481</v>
      </c>
      <c r="H242" s="443">
        <f>H243+H244+H245+H246</f>
        <v>8550000</v>
      </c>
      <c r="I242" s="443">
        <f>I243+I244+I245+I246</f>
        <v>122053</v>
      </c>
      <c r="J242" s="1081" t="s">
        <v>20</v>
      </c>
      <c r="K242" s="1079">
        <f>L242+O242</f>
        <v>6604933</v>
      </c>
      <c r="L242" s="1079">
        <f>M242+N242</f>
        <v>5909434</v>
      </c>
      <c r="M242" s="1080">
        <v>5909434</v>
      </c>
      <c r="N242" s="1080">
        <v>0</v>
      </c>
      <c r="O242" s="1079">
        <f>P242+S242+V242</f>
        <v>695499</v>
      </c>
      <c r="P242" s="1079">
        <f>Q242+R242</f>
        <v>695499</v>
      </c>
      <c r="Q242" s="1080">
        <v>695499</v>
      </c>
      <c r="R242" s="1080">
        <v>0</v>
      </c>
      <c r="S242" s="1079">
        <f>T242+U242</f>
        <v>0</v>
      </c>
      <c r="T242" s="1080">
        <v>0</v>
      </c>
      <c r="U242" s="1080">
        <v>0</v>
      </c>
      <c r="V242" s="1079">
        <f>W242+X242</f>
        <v>0</v>
      </c>
      <c r="W242" s="1080">
        <v>0</v>
      </c>
      <c r="X242" s="1080">
        <v>0</v>
      </c>
    </row>
    <row r="243" spans="1:24" s="444" customFormat="1" ht="14.25" customHeight="1" hidden="1">
      <c r="A243" s="1087"/>
      <c r="B243" s="1094"/>
      <c r="C243" s="1085"/>
      <c r="D243" s="1104"/>
      <c r="E243" s="1089"/>
      <c r="F243" s="1089"/>
      <c r="G243" s="1094"/>
      <c r="H243" s="443">
        <v>7650000</v>
      </c>
      <c r="I243" s="443">
        <v>109200</v>
      </c>
      <c r="J243" s="1082"/>
      <c r="K243" s="1079"/>
      <c r="L243" s="1079"/>
      <c r="M243" s="1080"/>
      <c r="N243" s="1080"/>
      <c r="O243" s="1079"/>
      <c r="P243" s="1079"/>
      <c r="Q243" s="1080"/>
      <c r="R243" s="1080"/>
      <c r="S243" s="1079"/>
      <c r="T243" s="1080"/>
      <c r="U243" s="1080"/>
      <c r="V243" s="1079"/>
      <c r="W243" s="1080"/>
      <c r="X243" s="1080"/>
    </row>
    <row r="244" spans="1:24" s="444" customFormat="1" ht="14.25" customHeight="1" hidden="1">
      <c r="A244" s="1087"/>
      <c r="B244" s="1094"/>
      <c r="C244" s="1085"/>
      <c r="D244" s="1104"/>
      <c r="E244" s="1089"/>
      <c r="F244" s="1089"/>
      <c r="G244" s="1094"/>
      <c r="H244" s="443">
        <v>900000</v>
      </c>
      <c r="I244" s="443">
        <v>12853</v>
      </c>
      <c r="J244" s="443" t="s">
        <v>21</v>
      </c>
      <c r="K244" s="445">
        <f>L244+O244</f>
        <v>0</v>
      </c>
      <c r="L244" s="445">
        <f>M244+N244</f>
        <v>0</v>
      </c>
      <c r="M244" s="446">
        <v>0</v>
      </c>
      <c r="N244" s="446">
        <v>0</v>
      </c>
      <c r="O244" s="445">
        <f>P244+S244+V244</f>
        <v>0</v>
      </c>
      <c r="P244" s="445">
        <f>Q244+R244</f>
        <v>0</v>
      </c>
      <c r="Q244" s="446">
        <v>0</v>
      </c>
      <c r="R244" s="446">
        <v>0</v>
      </c>
      <c r="S244" s="445">
        <f>T244+U244</f>
        <v>0</v>
      </c>
      <c r="T244" s="446">
        <v>0</v>
      </c>
      <c r="U244" s="446">
        <v>0</v>
      </c>
      <c r="V244" s="445">
        <f>W244+X244</f>
        <v>0</v>
      </c>
      <c r="W244" s="446">
        <v>0</v>
      </c>
      <c r="X244" s="446">
        <v>0</v>
      </c>
    </row>
    <row r="245" spans="1:24" s="444" customFormat="1" ht="14.25" customHeight="1" hidden="1">
      <c r="A245" s="1087"/>
      <c r="B245" s="1094"/>
      <c r="C245" s="1085"/>
      <c r="D245" s="1104"/>
      <c r="E245" s="1089"/>
      <c r="F245" s="1089"/>
      <c r="G245" s="1094"/>
      <c r="H245" s="443">
        <v>0</v>
      </c>
      <c r="I245" s="443">
        <v>0</v>
      </c>
      <c r="J245" s="1081" t="s">
        <v>22</v>
      </c>
      <c r="K245" s="1079">
        <f aca="true" t="shared" si="45" ref="K245:X245">K242+K244</f>
        <v>6604933</v>
      </c>
      <c r="L245" s="1079">
        <f t="shared" si="45"/>
        <v>5909434</v>
      </c>
      <c r="M245" s="1080">
        <f t="shared" si="45"/>
        <v>5909434</v>
      </c>
      <c r="N245" s="1080">
        <f t="shared" si="45"/>
        <v>0</v>
      </c>
      <c r="O245" s="1079">
        <f t="shared" si="45"/>
        <v>695499</v>
      </c>
      <c r="P245" s="1079">
        <f t="shared" si="45"/>
        <v>695499</v>
      </c>
      <c r="Q245" s="1080">
        <f t="shared" si="45"/>
        <v>695499</v>
      </c>
      <c r="R245" s="1080">
        <f t="shared" si="45"/>
        <v>0</v>
      </c>
      <c r="S245" s="1079">
        <f t="shared" si="45"/>
        <v>0</v>
      </c>
      <c r="T245" s="1080">
        <f t="shared" si="45"/>
        <v>0</v>
      </c>
      <c r="U245" s="1080">
        <f t="shared" si="45"/>
        <v>0</v>
      </c>
      <c r="V245" s="1079">
        <f t="shared" si="45"/>
        <v>0</v>
      </c>
      <c r="W245" s="1080">
        <f t="shared" si="45"/>
        <v>0</v>
      </c>
      <c r="X245" s="1080">
        <f t="shared" si="45"/>
        <v>0</v>
      </c>
    </row>
    <row r="246" spans="1:24" s="444" customFormat="1" ht="14.25" customHeight="1" hidden="1">
      <c r="A246" s="1087"/>
      <c r="B246" s="1095"/>
      <c r="C246" s="1085"/>
      <c r="D246" s="1105"/>
      <c r="E246" s="1090"/>
      <c r="F246" s="1090"/>
      <c r="G246" s="1095"/>
      <c r="H246" s="443">
        <v>0</v>
      </c>
      <c r="I246" s="443">
        <v>0</v>
      </c>
      <c r="J246" s="1082"/>
      <c r="K246" s="1079"/>
      <c r="L246" s="1079"/>
      <c r="M246" s="1080"/>
      <c r="N246" s="1080"/>
      <c r="O246" s="1079"/>
      <c r="P246" s="1079"/>
      <c r="Q246" s="1080"/>
      <c r="R246" s="1080"/>
      <c r="S246" s="1079"/>
      <c r="T246" s="1080"/>
      <c r="U246" s="1080"/>
      <c r="V246" s="1079"/>
      <c r="W246" s="1080"/>
      <c r="X246" s="1080"/>
    </row>
    <row r="247" spans="1:24" s="444" customFormat="1" ht="15" customHeight="1" hidden="1">
      <c r="A247" s="1087">
        <v>46</v>
      </c>
      <c r="B247" s="1093" t="s">
        <v>580</v>
      </c>
      <c r="C247" s="1085" t="s">
        <v>581</v>
      </c>
      <c r="D247" s="1103" t="s">
        <v>582</v>
      </c>
      <c r="E247" s="1088" t="s">
        <v>479</v>
      </c>
      <c r="F247" s="1088" t="s">
        <v>583</v>
      </c>
      <c r="G247" s="1093" t="s">
        <v>481</v>
      </c>
      <c r="H247" s="443">
        <f>H248+H249+H250+H251</f>
        <v>5405120</v>
      </c>
      <c r="I247" s="443">
        <f>I248+I249+I250+I251</f>
        <v>115473</v>
      </c>
      <c r="J247" s="1081" t="s">
        <v>20</v>
      </c>
      <c r="K247" s="1079">
        <f>L247+O247</f>
        <v>3745917</v>
      </c>
      <c r="L247" s="1079">
        <f>M247+N247</f>
        <v>3351472</v>
      </c>
      <c r="M247" s="1080">
        <v>3351472</v>
      </c>
      <c r="N247" s="1080">
        <v>0</v>
      </c>
      <c r="O247" s="1079">
        <f>P247+S247+V247</f>
        <v>394445</v>
      </c>
      <c r="P247" s="1079">
        <f>Q247+R247</f>
        <v>394445</v>
      </c>
      <c r="Q247" s="1080">
        <v>394445</v>
      </c>
      <c r="R247" s="1080">
        <v>0</v>
      </c>
      <c r="S247" s="1079">
        <f>T247+U247</f>
        <v>0</v>
      </c>
      <c r="T247" s="1080">
        <v>0</v>
      </c>
      <c r="U247" s="1080">
        <v>0</v>
      </c>
      <c r="V247" s="1079">
        <f>W247+X247</f>
        <v>0</v>
      </c>
      <c r="W247" s="1080">
        <v>0</v>
      </c>
      <c r="X247" s="1080">
        <v>0</v>
      </c>
    </row>
    <row r="248" spans="1:24" s="444" customFormat="1" ht="14.25" customHeight="1" hidden="1">
      <c r="A248" s="1087"/>
      <c r="B248" s="1094"/>
      <c r="C248" s="1085"/>
      <c r="D248" s="1104"/>
      <c r="E248" s="1089"/>
      <c r="F248" s="1089"/>
      <c r="G248" s="1094"/>
      <c r="H248" s="443">
        <v>4836160</v>
      </c>
      <c r="I248" s="443">
        <v>103310</v>
      </c>
      <c r="J248" s="1082"/>
      <c r="K248" s="1079"/>
      <c r="L248" s="1079"/>
      <c r="M248" s="1080"/>
      <c r="N248" s="1080"/>
      <c r="O248" s="1079"/>
      <c r="P248" s="1079"/>
      <c r="Q248" s="1080"/>
      <c r="R248" s="1080"/>
      <c r="S248" s="1079"/>
      <c r="T248" s="1080"/>
      <c r="U248" s="1080"/>
      <c r="V248" s="1079"/>
      <c r="W248" s="1080"/>
      <c r="X248" s="1080"/>
    </row>
    <row r="249" spans="1:24" s="444" customFormat="1" ht="14.25" customHeight="1" hidden="1">
      <c r="A249" s="1087"/>
      <c r="B249" s="1094"/>
      <c r="C249" s="1085"/>
      <c r="D249" s="1104"/>
      <c r="E249" s="1089"/>
      <c r="F249" s="1089"/>
      <c r="G249" s="1094"/>
      <c r="H249" s="443">
        <v>568960</v>
      </c>
      <c r="I249" s="443">
        <v>12163</v>
      </c>
      <c r="J249" s="443" t="s">
        <v>21</v>
      </c>
      <c r="K249" s="445">
        <f>L249+O249</f>
        <v>0</v>
      </c>
      <c r="L249" s="445">
        <f>M249+N249</f>
        <v>0</v>
      </c>
      <c r="M249" s="446">
        <v>0</v>
      </c>
      <c r="N249" s="446">
        <v>0</v>
      </c>
      <c r="O249" s="445">
        <f>P249+S249+V249</f>
        <v>0</v>
      </c>
      <c r="P249" s="445">
        <f>Q249+R249</f>
        <v>0</v>
      </c>
      <c r="Q249" s="446">
        <v>0</v>
      </c>
      <c r="R249" s="446">
        <v>0</v>
      </c>
      <c r="S249" s="445">
        <f>T249+U249</f>
        <v>0</v>
      </c>
      <c r="T249" s="446">
        <v>0</v>
      </c>
      <c r="U249" s="446">
        <v>0</v>
      </c>
      <c r="V249" s="445">
        <f>W249+X249</f>
        <v>0</v>
      </c>
      <c r="W249" s="446">
        <v>0</v>
      </c>
      <c r="X249" s="446">
        <v>0</v>
      </c>
    </row>
    <row r="250" spans="1:24" s="444" customFormat="1" ht="14.25" customHeight="1" hidden="1">
      <c r="A250" s="1087"/>
      <c r="B250" s="1094"/>
      <c r="C250" s="1085"/>
      <c r="D250" s="1104"/>
      <c r="E250" s="1089"/>
      <c r="F250" s="1089"/>
      <c r="G250" s="1094"/>
      <c r="H250" s="443">
        <v>0</v>
      </c>
      <c r="I250" s="443">
        <v>0</v>
      </c>
      <c r="J250" s="1081" t="s">
        <v>22</v>
      </c>
      <c r="K250" s="1079">
        <f aca="true" t="shared" si="46" ref="K250:X250">K247+K249</f>
        <v>3745917</v>
      </c>
      <c r="L250" s="1079">
        <f t="shared" si="46"/>
        <v>3351472</v>
      </c>
      <c r="M250" s="1080">
        <f t="shared" si="46"/>
        <v>3351472</v>
      </c>
      <c r="N250" s="1080">
        <f t="shared" si="46"/>
        <v>0</v>
      </c>
      <c r="O250" s="1079">
        <f t="shared" si="46"/>
        <v>394445</v>
      </c>
      <c r="P250" s="1079">
        <f t="shared" si="46"/>
        <v>394445</v>
      </c>
      <c r="Q250" s="1080">
        <f t="shared" si="46"/>
        <v>394445</v>
      </c>
      <c r="R250" s="1080">
        <f t="shared" si="46"/>
        <v>0</v>
      </c>
      <c r="S250" s="1079">
        <f t="shared" si="46"/>
        <v>0</v>
      </c>
      <c r="T250" s="1080">
        <f t="shared" si="46"/>
        <v>0</v>
      </c>
      <c r="U250" s="1080">
        <f t="shared" si="46"/>
        <v>0</v>
      </c>
      <c r="V250" s="1079">
        <f t="shared" si="46"/>
        <v>0</v>
      </c>
      <c r="W250" s="1080">
        <f t="shared" si="46"/>
        <v>0</v>
      </c>
      <c r="X250" s="1080">
        <f t="shared" si="46"/>
        <v>0</v>
      </c>
    </row>
    <row r="251" spans="1:24" s="444" customFormat="1" ht="14.25" customHeight="1" hidden="1">
      <c r="A251" s="1087"/>
      <c r="B251" s="1095"/>
      <c r="C251" s="1085"/>
      <c r="D251" s="1105"/>
      <c r="E251" s="1090"/>
      <c r="F251" s="1090"/>
      <c r="G251" s="1095"/>
      <c r="H251" s="443">
        <v>0</v>
      </c>
      <c r="I251" s="443">
        <v>0</v>
      </c>
      <c r="J251" s="1082"/>
      <c r="K251" s="1079"/>
      <c r="L251" s="1079"/>
      <c r="M251" s="1080"/>
      <c r="N251" s="1080"/>
      <c r="O251" s="1079"/>
      <c r="P251" s="1079"/>
      <c r="Q251" s="1080"/>
      <c r="R251" s="1080"/>
      <c r="S251" s="1079"/>
      <c r="T251" s="1080"/>
      <c r="U251" s="1080"/>
      <c r="V251" s="1079"/>
      <c r="W251" s="1080"/>
      <c r="X251" s="1080"/>
    </row>
    <row r="252" spans="1:24" s="444" customFormat="1" ht="15" customHeight="1" hidden="1">
      <c r="A252" s="1087">
        <v>47</v>
      </c>
      <c r="B252" s="1093" t="s">
        <v>584</v>
      </c>
      <c r="C252" s="1085" t="s">
        <v>577</v>
      </c>
      <c r="D252" s="1103" t="s">
        <v>585</v>
      </c>
      <c r="E252" s="1088" t="s">
        <v>479</v>
      </c>
      <c r="F252" s="1088" t="s">
        <v>586</v>
      </c>
      <c r="G252" s="1093" t="s">
        <v>587</v>
      </c>
      <c r="H252" s="443">
        <f>H253+H254+H255+H256</f>
        <v>19999350</v>
      </c>
      <c r="I252" s="443">
        <f>I253+I254+I255+I256</f>
        <v>1503820</v>
      </c>
      <c r="J252" s="1081" t="s">
        <v>20</v>
      </c>
      <c r="K252" s="1079">
        <f>L252+O252</f>
        <v>3734860</v>
      </c>
      <c r="L252" s="1079">
        <f>M252+N252</f>
        <v>3174631</v>
      </c>
      <c r="M252" s="1080">
        <v>3174631</v>
      </c>
      <c r="N252" s="1080">
        <v>0</v>
      </c>
      <c r="O252" s="1079">
        <f>P252+S252+V252</f>
        <v>560229</v>
      </c>
      <c r="P252" s="1079">
        <f>Q252+R252</f>
        <v>560229</v>
      </c>
      <c r="Q252" s="1080">
        <v>560229</v>
      </c>
      <c r="R252" s="1080">
        <v>0</v>
      </c>
      <c r="S252" s="1079">
        <f>T252+U252</f>
        <v>0</v>
      </c>
      <c r="T252" s="1080">
        <v>0</v>
      </c>
      <c r="U252" s="1080">
        <v>0</v>
      </c>
      <c r="V252" s="1079">
        <f>W252+X252</f>
        <v>0</v>
      </c>
      <c r="W252" s="1080">
        <v>0</v>
      </c>
      <c r="X252" s="1080">
        <v>0</v>
      </c>
    </row>
    <row r="253" spans="1:24" s="444" customFormat="1" ht="14.25" customHeight="1" hidden="1">
      <c r="A253" s="1087"/>
      <c r="B253" s="1094"/>
      <c r="C253" s="1085"/>
      <c r="D253" s="1104"/>
      <c r="E253" s="1089"/>
      <c r="F253" s="1089"/>
      <c r="G253" s="1094"/>
      <c r="H253" s="443">
        <v>16999447</v>
      </c>
      <c r="I253" s="443">
        <v>1278247</v>
      </c>
      <c r="J253" s="1082"/>
      <c r="K253" s="1079"/>
      <c r="L253" s="1079"/>
      <c r="M253" s="1080"/>
      <c r="N253" s="1080"/>
      <c r="O253" s="1079"/>
      <c r="P253" s="1079"/>
      <c r="Q253" s="1080"/>
      <c r="R253" s="1080"/>
      <c r="S253" s="1079"/>
      <c r="T253" s="1080"/>
      <c r="U253" s="1080"/>
      <c r="V253" s="1079"/>
      <c r="W253" s="1080"/>
      <c r="X253" s="1080"/>
    </row>
    <row r="254" spans="1:24" s="444" customFormat="1" ht="14.25" customHeight="1" hidden="1">
      <c r="A254" s="1087"/>
      <c r="B254" s="1094"/>
      <c r="C254" s="1085"/>
      <c r="D254" s="1104"/>
      <c r="E254" s="1089"/>
      <c r="F254" s="1089"/>
      <c r="G254" s="1094"/>
      <c r="H254" s="443">
        <v>2999903</v>
      </c>
      <c r="I254" s="443">
        <v>225573</v>
      </c>
      <c r="J254" s="443" t="s">
        <v>21</v>
      </c>
      <c r="K254" s="445">
        <f>L254+O254</f>
        <v>0</v>
      </c>
      <c r="L254" s="445">
        <f>M254+N254</f>
        <v>0</v>
      </c>
      <c r="M254" s="446">
        <v>0</v>
      </c>
      <c r="N254" s="446">
        <v>0</v>
      </c>
      <c r="O254" s="445">
        <f>P254+S254+V254</f>
        <v>0</v>
      </c>
      <c r="P254" s="445">
        <f>Q254+R254</f>
        <v>0</v>
      </c>
      <c r="Q254" s="446">
        <v>0</v>
      </c>
      <c r="R254" s="446">
        <v>0</v>
      </c>
      <c r="S254" s="445">
        <f>T254+U254</f>
        <v>0</v>
      </c>
      <c r="T254" s="446">
        <v>0</v>
      </c>
      <c r="U254" s="446">
        <v>0</v>
      </c>
      <c r="V254" s="445">
        <f>W254+X254</f>
        <v>0</v>
      </c>
      <c r="W254" s="446">
        <v>0</v>
      </c>
      <c r="X254" s="446">
        <v>0</v>
      </c>
    </row>
    <row r="255" spans="1:24" s="444" customFormat="1" ht="14.25" customHeight="1" hidden="1">
      <c r="A255" s="1087"/>
      <c r="B255" s="1094"/>
      <c r="C255" s="1085"/>
      <c r="D255" s="1104"/>
      <c r="E255" s="1089"/>
      <c r="F255" s="1089"/>
      <c r="G255" s="1094"/>
      <c r="H255" s="443">
        <v>0</v>
      </c>
      <c r="I255" s="443">
        <v>0</v>
      </c>
      <c r="J255" s="1081" t="s">
        <v>22</v>
      </c>
      <c r="K255" s="1079">
        <f aca="true" t="shared" si="47" ref="K255:X255">K252+K254</f>
        <v>3734860</v>
      </c>
      <c r="L255" s="1079">
        <f t="shared" si="47"/>
        <v>3174631</v>
      </c>
      <c r="M255" s="1080">
        <f t="shared" si="47"/>
        <v>3174631</v>
      </c>
      <c r="N255" s="1080">
        <f t="shared" si="47"/>
        <v>0</v>
      </c>
      <c r="O255" s="1079">
        <f t="shared" si="47"/>
        <v>560229</v>
      </c>
      <c r="P255" s="1079">
        <f t="shared" si="47"/>
        <v>560229</v>
      </c>
      <c r="Q255" s="1080">
        <f t="shared" si="47"/>
        <v>560229</v>
      </c>
      <c r="R255" s="1080">
        <f t="shared" si="47"/>
        <v>0</v>
      </c>
      <c r="S255" s="1079">
        <f t="shared" si="47"/>
        <v>0</v>
      </c>
      <c r="T255" s="1080">
        <f t="shared" si="47"/>
        <v>0</v>
      </c>
      <c r="U255" s="1080">
        <f t="shared" si="47"/>
        <v>0</v>
      </c>
      <c r="V255" s="1079">
        <f t="shared" si="47"/>
        <v>0</v>
      </c>
      <c r="W255" s="1080">
        <f t="shared" si="47"/>
        <v>0</v>
      </c>
      <c r="X255" s="1080">
        <f t="shared" si="47"/>
        <v>0</v>
      </c>
    </row>
    <row r="256" spans="1:24" s="444" customFormat="1" ht="14.25" customHeight="1" hidden="1">
      <c r="A256" s="1087"/>
      <c r="B256" s="1095"/>
      <c r="C256" s="1085"/>
      <c r="D256" s="1105"/>
      <c r="E256" s="1090"/>
      <c r="F256" s="1090"/>
      <c r="G256" s="1095"/>
      <c r="H256" s="443">
        <v>0</v>
      </c>
      <c r="I256" s="443">
        <v>0</v>
      </c>
      <c r="J256" s="1082"/>
      <c r="K256" s="1079"/>
      <c r="L256" s="1079"/>
      <c r="M256" s="1080"/>
      <c r="N256" s="1080"/>
      <c r="O256" s="1079"/>
      <c r="P256" s="1079"/>
      <c r="Q256" s="1080"/>
      <c r="R256" s="1080"/>
      <c r="S256" s="1079"/>
      <c r="T256" s="1080"/>
      <c r="U256" s="1080"/>
      <c r="V256" s="1079"/>
      <c r="W256" s="1080"/>
      <c r="X256" s="1080"/>
    </row>
    <row r="257" spans="1:24" s="444" customFormat="1" ht="15" customHeight="1" hidden="1">
      <c r="A257" s="1087">
        <v>48</v>
      </c>
      <c r="B257" s="1093" t="s">
        <v>588</v>
      </c>
      <c r="C257" s="1085" t="s">
        <v>581</v>
      </c>
      <c r="D257" s="1103" t="s">
        <v>589</v>
      </c>
      <c r="E257" s="1088" t="s">
        <v>479</v>
      </c>
      <c r="F257" s="1088" t="s">
        <v>586</v>
      </c>
      <c r="G257" s="1093" t="s">
        <v>587</v>
      </c>
      <c r="H257" s="443">
        <f>H258+H259+H260+H261</f>
        <v>7997850</v>
      </c>
      <c r="I257" s="443">
        <f>I258+I259+I260+I261</f>
        <v>0</v>
      </c>
      <c r="J257" s="1081" t="s">
        <v>20</v>
      </c>
      <c r="K257" s="1079">
        <f>L257+O257</f>
        <v>634280</v>
      </c>
      <c r="L257" s="1079">
        <f>M257+N257</f>
        <v>539138</v>
      </c>
      <c r="M257" s="1080">
        <v>539138</v>
      </c>
      <c r="N257" s="1080">
        <v>0</v>
      </c>
      <c r="O257" s="1079">
        <f>P257+S257+V257</f>
        <v>95142</v>
      </c>
      <c r="P257" s="1079">
        <f>Q257+R257</f>
        <v>95142</v>
      </c>
      <c r="Q257" s="1080">
        <v>95142</v>
      </c>
      <c r="R257" s="1080">
        <v>0</v>
      </c>
      <c r="S257" s="1079">
        <f>T257+U257</f>
        <v>0</v>
      </c>
      <c r="T257" s="1080">
        <v>0</v>
      </c>
      <c r="U257" s="1080">
        <v>0</v>
      </c>
      <c r="V257" s="1079">
        <f>W257+X257</f>
        <v>0</v>
      </c>
      <c r="W257" s="1080">
        <v>0</v>
      </c>
      <c r="X257" s="1080">
        <v>0</v>
      </c>
    </row>
    <row r="258" spans="1:24" s="444" customFormat="1" ht="14.25" customHeight="1" hidden="1">
      <c r="A258" s="1087"/>
      <c r="B258" s="1094"/>
      <c r="C258" s="1085"/>
      <c r="D258" s="1104"/>
      <c r="E258" s="1089"/>
      <c r="F258" s="1089"/>
      <c r="G258" s="1094"/>
      <c r="H258" s="443">
        <v>6798172</v>
      </c>
      <c r="I258" s="443">
        <v>0</v>
      </c>
      <c r="J258" s="1082"/>
      <c r="K258" s="1079"/>
      <c r="L258" s="1079"/>
      <c r="M258" s="1080"/>
      <c r="N258" s="1080"/>
      <c r="O258" s="1079"/>
      <c r="P258" s="1079"/>
      <c r="Q258" s="1080"/>
      <c r="R258" s="1080"/>
      <c r="S258" s="1079"/>
      <c r="T258" s="1080"/>
      <c r="U258" s="1080"/>
      <c r="V258" s="1079"/>
      <c r="W258" s="1080"/>
      <c r="X258" s="1080"/>
    </row>
    <row r="259" spans="1:24" s="444" customFormat="1" ht="14.25" customHeight="1" hidden="1">
      <c r="A259" s="1087"/>
      <c r="B259" s="1094"/>
      <c r="C259" s="1085"/>
      <c r="D259" s="1104"/>
      <c r="E259" s="1089"/>
      <c r="F259" s="1089"/>
      <c r="G259" s="1094"/>
      <c r="H259" s="443">
        <v>1199678</v>
      </c>
      <c r="I259" s="443">
        <v>0</v>
      </c>
      <c r="J259" s="443" t="s">
        <v>21</v>
      </c>
      <c r="K259" s="445">
        <f>L259+O259</f>
        <v>0</v>
      </c>
      <c r="L259" s="445">
        <f>M259+N259</f>
        <v>0</v>
      </c>
      <c r="M259" s="446">
        <v>0</v>
      </c>
      <c r="N259" s="446">
        <v>0</v>
      </c>
      <c r="O259" s="445">
        <f>P259+S259+V259</f>
        <v>0</v>
      </c>
      <c r="P259" s="445">
        <f>Q259+R259</f>
        <v>0</v>
      </c>
      <c r="Q259" s="446">
        <v>0</v>
      </c>
      <c r="R259" s="446">
        <v>0</v>
      </c>
      <c r="S259" s="445">
        <f>T259+U259</f>
        <v>0</v>
      </c>
      <c r="T259" s="446">
        <v>0</v>
      </c>
      <c r="U259" s="446">
        <v>0</v>
      </c>
      <c r="V259" s="445">
        <f>W259+X259</f>
        <v>0</v>
      </c>
      <c r="W259" s="446">
        <v>0</v>
      </c>
      <c r="X259" s="446">
        <v>0</v>
      </c>
    </row>
    <row r="260" spans="1:24" s="444" customFormat="1" ht="14.25" customHeight="1" hidden="1">
      <c r="A260" s="1087"/>
      <c r="B260" s="1094"/>
      <c r="C260" s="1085"/>
      <c r="D260" s="1104"/>
      <c r="E260" s="1089"/>
      <c r="F260" s="1089"/>
      <c r="G260" s="1094"/>
      <c r="H260" s="443">
        <v>0</v>
      </c>
      <c r="I260" s="443">
        <v>0</v>
      </c>
      <c r="J260" s="1081" t="s">
        <v>22</v>
      </c>
      <c r="K260" s="1079">
        <f aca="true" t="shared" si="48" ref="K260:X260">K257+K259</f>
        <v>634280</v>
      </c>
      <c r="L260" s="1079">
        <f t="shared" si="48"/>
        <v>539138</v>
      </c>
      <c r="M260" s="1080">
        <f t="shared" si="48"/>
        <v>539138</v>
      </c>
      <c r="N260" s="1080">
        <f t="shared" si="48"/>
        <v>0</v>
      </c>
      <c r="O260" s="1079">
        <f t="shared" si="48"/>
        <v>95142</v>
      </c>
      <c r="P260" s="1079">
        <f t="shared" si="48"/>
        <v>95142</v>
      </c>
      <c r="Q260" s="1080">
        <f t="shared" si="48"/>
        <v>95142</v>
      </c>
      <c r="R260" s="1080">
        <f t="shared" si="48"/>
        <v>0</v>
      </c>
      <c r="S260" s="1079">
        <f t="shared" si="48"/>
        <v>0</v>
      </c>
      <c r="T260" s="1080">
        <f t="shared" si="48"/>
        <v>0</v>
      </c>
      <c r="U260" s="1080">
        <f t="shared" si="48"/>
        <v>0</v>
      </c>
      <c r="V260" s="1079">
        <f t="shared" si="48"/>
        <v>0</v>
      </c>
      <c r="W260" s="1080">
        <f t="shared" si="48"/>
        <v>0</v>
      </c>
      <c r="X260" s="1080">
        <f t="shared" si="48"/>
        <v>0</v>
      </c>
    </row>
    <row r="261" spans="1:24" s="444" customFormat="1" ht="14.25" customHeight="1" hidden="1">
      <c r="A261" s="1087"/>
      <c r="B261" s="1095"/>
      <c r="C261" s="1085"/>
      <c r="D261" s="1105"/>
      <c r="E261" s="1090"/>
      <c r="F261" s="1090"/>
      <c r="G261" s="1095"/>
      <c r="H261" s="443">
        <v>0</v>
      </c>
      <c r="I261" s="443">
        <v>0</v>
      </c>
      <c r="J261" s="1082"/>
      <c r="K261" s="1079"/>
      <c r="L261" s="1079"/>
      <c r="M261" s="1080"/>
      <c r="N261" s="1080"/>
      <c r="O261" s="1079"/>
      <c r="P261" s="1079"/>
      <c r="Q261" s="1080"/>
      <c r="R261" s="1080"/>
      <c r="S261" s="1079"/>
      <c r="T261" s="1080"/>
      <c r="U261" s="1080"/>
      <c r="V261" s="1079"/>
      <c r="W261" s="1080"/>
      <c r="X261" s="1080"/>
    </row>
    <row r="262" spans="1:24" s="444" customFormat="1" ht="15" customHeight="1" hidden="1">
      <c r="A262" s="1087">
        <v>49</v>
      </c>
      <c r="B262" s="1093" t="s">
        <v>590</v>
      </c>
      <c r="C262" s="1085" t="s">
        <v>591</v>
      </c>
      <c r="D262" s="1103" t="s">
        <v>592</v>
      </c>
      <c r="E262" s="1088" t="s">
        <v>479</v>
      </c>
      <c r="F262" s="1088" t="s">
        <v>593</v>
      </c>
      <c r="G262" s="1093" t="s">
        <v>481</v>
      </c>
      <c r="H262" s="443">
        <f>H263+H264+H265+H266</f>
        <v>18559059</v>
      </c>
      <c r="I262" s="443">
        <f>I263+I264+I265+I266</f>
        <v>219199</v>
      </c>
      <c r="J262" s="1081" t="s">
        <v>20</v>
      </c>
      <c r="K262" s="1079">
        <f>L262+O262</f>
        <v>9612060</v>
      </c>
      <c r="L262" s="1079">
        <f>M262+N262</f>
        <v>9078058</v>
      </c>
      <c r="M262" s="1080">
        <v>9078058</v>
      </c>
      <c r="N262" s="1080">
        <v>0</v>
      </c>
      <c r="O262" s="1079">
        <f>P262+S262+V262</f>
        <v>534002</v>
      </c>
      <c r="P262" s="1079">
        <f>Q262+R262</f>
        <v>534002</v>
      </c>
      <c r="Q262" s="1080">
        <v>534002</v>
      </c>
      <c r="R262" s="1080">
        <v>0</v>
      </c>
      <c r="S262" s="1079">
        <f>T262+U262</f>
        <v>0</v>
      </c>
      <c r="T262" s="1080">
        <v>0</v>
      </c>
      <c r="U262" s="1080">
        <v>0</v>
      </c>
      <c r="V262" s="1079">
        <f>W262+X262</f>
        <v>0</v>
      </c>
      <c r="W262" s="1080">
        <v>0</v>
      </c>
      <c r="X262" s="1080">
        <v>0</v>
      </c>
    </row>
    <row r="263" spans="1:24" s="444" customFormat="1" ht="14.25" customHeight="1" hidden="1">
      <c r="A263" s="1087"/>
      <c r="B263" s="1094"/>
      <c r="C263" s="1085"/>
      <c r="D263" s="1104"/>
      <c r="E263" s="1089"/>
      <c r="F263" s="1089"/>
      <c r="G263" s="1094"/>
      <c r="H263" s="443">
        <v>17528000</v>
      </c>
      <c r="I263" s="443">
        <v>207020</v>
      </c>
      <c r="J263" s="1082"/>
      <c r="K263" s="1079"/>
      <c r="L263" s="1079"/>
      <c r="M263" s="1080"/>
      <c r="N263" s="1080"/>
      <c r="O263" s="1079"/>
      <c r="P263" s="1079"/>
      <c r="Q263" s="1080"/>
      <c r="R263" s="1080"/>
      <c r="S263" s="1079"/>
      <c r="T263" s="1080"/>
      <c r="U263" s="1080"/>
      <c r="V263" s="1079"/>
      <c r="W263" s="1080"/>
      <c r="X263" s="1080"/>
    </row>
    <row r="264" spans="1:24" s="444" customFormat="1" ht="14.25" customHeight="1" hidden="1">
      <c r="A264" s="1087"/>
      <c r="B264" s="1094"/>
      <c r="C264" s="1085"/>
      <c r="D264" s="1104"/>
      <c r="E264" s="1089"/>
      <c r="F264" s="1089"/>
      <c r="G264" s="1094"/>
      <c r="H264" s="443">
        <v>1031059</v>
      </c>
      <c r="I264" s="443">
        <v>12179</v>
      </c>
      <c r="J264" s="443" t="s">
        <v>21</v>
      </c>
      <c r="K264" s="445">
        <f>L264+O264</f>
        <v>0</v>
      </c>
      <c r="L264" s="445">
        <f>M264+N264</f>
        <v>0</v>
      </c>
      <c r="M264" s="446">
        <v>0</v>
      </c>
      <c r="N264" s="446">
        <v>0</v>
      </c>
      <c r="O264" s="445">
        <f>P264+S264+V264</f>
        <v>0</v>
      </c>
      <c r="P264" s="445">
        <f>Q264+R264</f>
        <v>0</v>
      </c>
      <c r="Q264" s="446">
        <v>0</v>
      </c>
      <c r="R264" s="446">
        <v>0</v>
      </c>
      <c r="S264" s="445">
        <f>T264+U264</f>
        <v>0</v>
      </c>
      <c r="T264" s="446">
        <v>0</v>
      </c>
      <c r="U264" s="446">
        <v>0</v>
      </c>
      <c r="V264" s="445">
        <f>W264+X264</f>
        <v>0</v>
      </c>
      <c r="W264" s="446">
        <v>0</v>
      </c>
      <c r="X264" s="446">
        <v>0</v>
      </c>
    </row>
    <row r="265" spans="1:24" s="444" customFormat="1" ht="14.25" customHeight="1" hidden="1">
      <c r="A265" s="1087"/>
      <c r="B265" s="1094"/>
      <c r="C265" s="1085"/>
      <c r="D265" s="1104"/>
      <c r="E265" s="1089"/>
      <c r="F265" s="1089"/>
      <c r="G265" s="1094"/>
      <c r="H265" s="443">
        <v>0</v>
      </c>
      <c r="I265" s="443">
        <v>0</v>
      </c>
      <c r="J265" s="1081" t="s">
        <v>22</v>
      </c>
      <c r="K265" s="1079">
        <f aca="true" t="shared" si="49" ref="K265:X265">K262+K264</f>
        <v>9612060</v>
      </c>
      <c r="L265" s="1079">
        <f t="shared" si="49"/>
        <v>9078058</v>
      </c>
      <c r="M265" s="1080">
        <f t="shared" si="49"/>
        <v>9078058</v>
      </c>
      <c r="N265" s="1080">
        <f t="shared" si="49"/>
        <v>0</v>
      </c>
      <c r="O265" s="1079">
        <f t="shared" si="49"/>
        <v>534002</v>
      </c>
      <c r="P265" s="1079">
        <f t="shared" si="49"/>
        <v>534002</v>
      </c>
      <c r="Q265" s="1080">
        <f t="shared" si="49"/>
        <v>534002</v>
      </c>
      <c r="R265" s="1080">
        <f t="shared" si="49"/>
        <v>0</v>
      </c>
      <c r="S265" s="1079">
        <f t="shared" si="49"/>
        <v>0</v>
      </c>
      <c r="T265" s="1080">
        <f t="shared" si="49"/>
        <v>0</v>
      </c>
      <c r="U265" s="1080">
        <f t="shared" si="49"/>
        <v>0</v>
      </c>
      <c r="V265" s="1079">
        <f t="shared" si="49"/>
        <v>0</v>
      </c>
      <c r="W265" s="1080">
        <f t="shared" si="49"/>
        <v>0</v>
      </c>
      <c r="X265" s="1080">
        <f t="shared" si="49"/>
        <v>0</v>
      </c>
    </row>
    <row r="266" spans="1:24" s="444" customFormat="1" ht="14.25" customHeight="1" hidden="1">
      <c r="A266" s="1087"/>
      <c r="B266" s="1095"/>
      <c r="C266" s="1085"/>
      <c r="D266" s="1105"/>
      <c r="E266" s="1090"/>
      <c r="F266" s="1090"/>
      <c r="G266" s="1095"/>
      <c r="H266" s="443">
        <v>0</v>
      </c>
      <c r="I266" s="443">
        <v>0</v>
      </c>
      <c r="J266" s="1082"/>
      <c r="K266" s="1079"/>
      <c r="L266" s="1079"/>
      <c r="M266" s="1080"/>
      <c r="N266" s="1080"/>
      <c r="O266" s="1079"/>
      <c r="P266" s="1079"/>
      <c r="Q266" s="1080"/>
      <c r="R266" s="1080"/>
      <c r="S266" s="1079"/>
      <c r="T266" s="1080"/>
      <c r="U266" s="1080"/>
      <c r="V266" s="1079"/>
      <c r="W266" s="1080"/>
      <c r="X266" s="1080"/>
    </row>
    <row r="267" spans="1:24" s="448" customFormat="1" ht="14.25" customHeight="1">
      <c r="A267" s="1078" t="s">
        <v>594</v>
      </c>
      <c r="B267" s="1078"/>
      <c r="C267" s="1078"/>
      <c r="D267" s="1078"/>
      <c r="E267" s="1078"/>
      <c r="F267" s="1078"/>
      <c r="G267" s="1078"/>
      <c r="H267" s="447">
        <f>H17+H22+H27+H32+H37+H42+H47+H52+H57+H62+H67+H72+H77+H82+H87+H92+H97+H102+H112+H117+H122+H127+H132+H137+H142+H147+H152+H157+H162+H167+H172+H177+H182+H187+H192+H197+H202+H207+H212+H217+H222+H227+H232+H237+H242+H247+H252+H257+H262+H107</f>
        <v>1052466305</v>
      </c>
      <c r="I267" s="447">
        <f>I17+I22+I27+I32+I37+I42+I47+I52+I57+I62+I67+I72+I77+I82+I87+I92+I97+I102+I112+I117+I122+I127+I132+I137+I142+I147+I152+I157+I162+I167+I172+I177+I182+I187+I192+I197+I202+I207+I212+I217+I222+I227+I232+I237+I242+I247+I252+I257+I262+I107</f>
        <v>39918221</v>
      </c>
      <c r="J267" s="1075" t="s">
        <v>20</v>
      </c>
      <c r="K267" s="1074">
        <f>K17+K22+K27+K32+K37+K42+K47+K52+K57+K62+K67+K72+K77+K82+K87+K92+K97+K102+K112+K117+K122+K127+K132+K137+K142+K147+K152+K157+K162+K167+K172+K177+K182+K187+K192+K197+K202+K207+K212+K217+K222+K227+K232+K237+K242+K247+K252+K257+K262+K107</f>
        <v>212572750</v>
      </c>
      <c r="L267" s="1074">
        <f aca="true" t="shared" si="50" ref="L267:X267">L17+L22+L27+L32+L37+L42+L47+L52+L57+L62+L67+L72+L77+L82+L87+L92+L97+L102+L112+L117+L122+L127+L132+L137+L142+L147+L152+L157+L162+L167+L172+L177+L182+L187+L192+L197+L202+L207+L212+L217+L222+L227+L232+L237+L242+L247+L252+L257+L262+L107</f>
        <v>193781314</v>
      </c>
      <c r="M267" s="1074">
        <f t="shared" si="50"/>
        <v>51118912</v>
      </c>
      <c r="N267" s="1074">
        <f t="shared" si="50"/>
        <v>142662402</v>
      </c>
      <c r="O267" s="1074">
        <f t="shared" si="50"/>
        <v>18791436</v>
      </c>
      <c r="P267" s="1074">
        <f t="shared" si="50"/>
        <v>3287862</v>
      </c>
      <c r="Q267" s="1074">
        <f t="shared" si="50"/>
        <v>3287862</v>
      </c>
      <c r="R267" s="1074">
        <f t="shared" si="50"/>
        <v>0</v>
      </c>
      <c r="S267" s="1074">
        <f t="shared" si="50"/>
        <v>11368601</v>
      </c>
      <c r="T267" s="1074">
        <f t="shared" si="50"/>
        <v>1602252</v>
      </c>
      <c r="U267" s="1074">
        <f t="shared" si="50"/>
        <v>9766349</v>
      </c>
      <c r="V267" s="1074">
        <f t="shared" si="50"/>
        <v>4134973</v>
      </c>
      <c r="W267" s="1074">
        <f t="shared" si="50"/>
        <v>1233098</v>
      </c>
      <c r="X267" s="1074">
        <f t="shared" si="50"/>
        <v>2901875</v>
      </c>
    </row>
    <row r="268" spans="1:24" s="448" customFormat="1" ht="14.25" customHeight="1">
      <c r="A268" s="1078"/>
      <c r="B268" s="1078"/>
      <c r="C268" s="1078"/>
      <c r="D268" s="1078"/>
      <c r="E268" s="1078"/>
      <c r="F268" s="1078"/>
      <c r="G268" s="1078"/>
      <c r="H268" s="447">
        <f aca="true" t="shared" si="51" ref="H268:I271">H18+H23+H28+H33+H38+H43+H48+H53+H58+H63+H68+H73+H78+H83+H88+H93+H98+H103+H113+H118+H123+H128+H133+H138+H143+H148+H153+H158+H163+H168+H173+H178+H183+H188+H193+H198+H203+H208+H213+H218+H223+H228+H233+H238+H243+H248+H253+H258+H263+H108</f>
        <v>895780016</v>
      </c>
      <c r="I268" s="447">
        <f t="shared" si="51"/>
        <v>11777517</v>
      </c>
      <c r="J268" s="1076"/>
      <c r="K268" s="1074"/>
      <c r="L268" s="1074"/>
      <c r="M268" s="1074"/>
      <c r="N268" s="1074"/>
      <c r="O268" s="1074"/>
      <c r="P268" s="1074"/>
      <c r="Q268" s="1074"/>
      <c r="R268" s="1074"/>
      <c r="S268" s="1074"/>
      <c r="T268" s="1074"/>
      <c r="U268" s="1074"/>
      <c r="V268" s="1074"/>
      <c r="W268" s="1074"/>
      <c r="X268" s="1074"/>
    </row>
    <row r="269" spans="1:24" s="448" customFormat="1" ht="14.25" customHeight="1">
      <c r="A269" s="1078"/>
      <c r="B269" s="1078"/>
      <c r="C269" s="1078"/>
      <c r="D269" s="1078"/>
      <c r="E269" s="1078"/>
      <c r="F269" s="1078"/>
      <c r="G269" s="1078"/>
      <c r="H269" s="447">
        <f t="shared" si="51"/>
        <v>8780085</v>
      </c>
      <c r="I269" s="447">
        <f t="shared" si="51"/>
        <v>661690</v>
      </c>
      <c r="J269" s="449" t="s">
        <v>21</v>
      </c>
      <c r="K269" s="450">
        <f>K264+K259+K254+K249+K244+K239+K234+K229+K224+K219+K214+K209+K204+K199+K194+K189+K184+K179+K174+K169+K164+K159+K154+K149+K144+K139+K134+K129+K124+K119+K114+K104+K99+K94+K89+K84+K79+K74+K69+K64+K59+K54+K49+K44+K39+K34+K29+K24+K19+K109</f>
        <v>2097474</v>
      </c>
      <c r="L269" s="450">
        <f aca="true" t="shared" si="52" ref="L269:X269">L264+L259+L254+L249+L244+L239+L234+L229+L224+L219+L214+L209+L204+L199+L194+L189+L184+L179+L174+L169+L164+L159+L154+L149+L144+L139+L134+L129+L124+L119+L114+L104+L99+L94+L89+L84+L79+L74+L69+L64+L59+L54+L49+L44+L39+L34+L29+L24+L19+L109</f>
        <v>2024143</v>
      </c>
      <c r="M269" s="450">
        <f t="shared" si="52"/>
        <v>2030840</v>
      </c>
      <c r="N269" s="450">
        <f t="shared" si="52"/>
        <v>-6697</v>
      </c>
      <c r="O269" s="450">
        <f t="shared" si="52"/>
        <v>73331</v>
      </c>
      <c r="P269" s="450">
        <f t="shared" si="52"/>
        <v>0</v>
      </c>
      <c r="Q269" s="450">
        <f t="shared" si="52"/>
        <v>0</v>
      </c>
      <c r="R269" s="450">
        <f t="shared" si="52"/>
        <v>0</v>
      </c>
      <c r="S269" s="450">
        <f t="shared" si="52"/>
        <v>55375</v>
      </c>
      <c r="T269" s="450">
        <f t="shared" si="52"/>
        <v>93876</v>
      </c>
      <c r="U269" s="450">
        <f t="shared" si="52"/>
        <v>-38501</v>
      </c>
      <c r="V269" s="450">
        <f t="shared" si="52"/>
        <v>17956</v>
      </c>
      <c r="W269" s="450">
        <f t="shared" si="52"/>
        <v>-8398</v>
      </c>
      <c r="X269" s="450">
        <f t="shared" si="52"/>
        <v>26354</v>
      </c>
    </row>
    <row r="270" spans="1:24" s="448" customFormat="1" ht="14.25" customHeight="1">
      <c r="A270" s="1078"/>
      <c r="B270" s="1078"/>
      <c r="C270" s="1078"/>
      <c r="D270" s="1078"/>
      <c r="E270" s="1078"/>
      <c r="F270" s="1078"/>
      <c r="G270" s="1078"/>
      <c r="H270" s="447">
        <f t="shared" si="51"/>
        <v>137191158</v>
      </c>
      <c r="I270" s="447">
        <f t="shared" si="51"/>
        <v>27377655</v>
      </c>
      <c r="J270" s="1075" t="s">
        <v>22</v>
      </c>
      <c r="K270" s="1074">
        <f>K267+K269</f>
        <v>214670224</v>
      </c>
      <c r="L270" s="1074">
        <f aca="true" t="shared" si="53" ref="L270:X270">L267+L269</f>
        <v>195805457</v>
      </c>
      <c r="M270" s="1074">
        <f t="shared" si="53"/>
        <v>53149752</v>
      </c>
      <c r="N270" s="1074">
        <f t="shared" si="53"/>
        <v>142655705</v>
      </c>
      <c r="O270" s="1074">
        <f t="shared" si="53"/>
        <v>18864767</v>
      </c>
      <c r="P270" s="1074">
        <f t="shared" si="53"/>
        <v>3287862</v>
      </c>
      <c r="Q270" s="1074">
        <f t="shared" si="53"/>
        <v>3287862</v>
      </c>
      <c r="R270" s="1074">
        <f t="shared" si="53"/>
        <v>0</v>
      </c>
      <c r="S270" s="1074">
        <f t="shared" si="53"/>
        <v>11423976</v>
      </c>
      <c r="T270" s="1074">
        <f t="shared" si="53"/>
        <v>1696128</v>
      </c>
      <c r="U270" s="1074">
        <f t="shared" si="53"/>
        <v>9727848</v>
      </c>
      <c r="V270" s="1074">
        <f t="shared" si="53"/>
        <v>4152929</v>
      </c>
      <c r="W270" s="1074">
        <f t="shared" si="53"/>
        <v>1224700</v>
      </c>
      <c r="X270" s="1074">
        <f t="shared" si="53"/>
        <v>2928229</v>
      </c>
    </row>
    <row r="271" spans="1:24" s="448" customFormat="1" ht="14.25" customHeight="1">
      <c r="A271" s="1078"/>
      <c r="B271" s="1078"/>
      <c r="C271" s="1078"/>
      <c r="D271" s="1078"/>
      <c r="E271" s="1078"/>
      <c r="F271" s="1078"/>
      <c r="G271" s="1078"/>
      <c r="H271" s="447">
        <f t="shared" si="51"/>
        <v>10715046</v>
      </c>
      <c r="I271" s="447">
        <f t="shared" si="51"/>
        <v>101359</v>
      </c>
      <c r="J271" s="1076"/>
      <c r="K271" s="1074"/>
      <c r="L271" s="1074"/>
      <c r="M271" s="1074"/>
      <c r="N271" s="1074"/>
      <c r="O271" s="1074"/>
      <c r="P271" s="1074"/>
      <c r="Q271" s="1074"/>
      <c r="R271" s="1074"/>
      <c r="S271" s="1074"/>
      <c r="T271" s="1074"/>
      <c r="U271" s="1074"/>
      <c r="V271" s="1074"/>
      <c r="W271" s="1074"/>
      <c r="X271" s="1074"/>
    </row>
    <row r="272" spans="1:24" ht="11.25" customHeight="1" hidden="1">
      <c r="A272" s="1102"/>
      <c r="B272" s="1102"/>
      <c r="C272" s="1102"/>
      <c r="D272" s="1102"/>
      <c r="E272" s="1102"/>
      <c r="F272" s="1102"/>
      <c r="G272" s="1102"/>
      <c r="H272" s="1102"/>
      <c r="I272" s="1102"/>
      <c r="J272" s="1102"/>
      <c r="K272" s="1102"/>
      <c r="L272" s="1102"/>
      <c r="M272" s="1102"/>
      <c r="N272" s="1102"/>
      <c r="O272" s="1102"/>
      <c r="P272" s="1102"/>
      <c r="Q272" s="1102"/>
      <c r="R272" s="1102"/>
      <c r="S272" s="1102"/>
      <c r="T272" s="1102"/>
      <c r="U272" s="1102"/>
      <c r="V272" s="1102"/>
      <c r="W272" s="1102"/>
      <c r="X272" s="1102"/>
    </row>
    <row r="273" spans="1:25" s="440" customFormat="1" ht="18.75" hidden="1">
      <c r="A273" s="1091" t="s">
        <v>595</v>
      </c>
      <c r="B273" s="1091"/>
      <c r="C273" s="1091"/>
      <c r="D273" s="1091"/>
      <c r="E273" s="1091"/>
      <c r="F273" s="1091"/>
      <c r="G273" s="1091"/>
      <c r="H273" s="1091"/>
      <c r="I273" s="1091"/>
      <c r="J273" s="1091"/>
      <c r="K273" s="1091"/>
      <c r="L273" s="1091"/>
      <c r="M273" s="1091"/>
      <c r="N273" s="1091"/>
      <c r="O273" s="1091"/>
      <c r="P273" s="1091"/>
      <c r="Q273" s="1091"/>
      <c r="R273" s="1091"/>
      <c r="S273" s="1091"/>
      <c r="T273" s="1091"/>
      <c r="U273" s="1091"/>
      <c r="V273" s="1091"/>
      <c r="W273" s="1091"/>
      <c r="X273" s="1091"/>
      <c r="Y273" s="441"/>
    </row>
    <row r="274" spans="1:24" ht="9" customHeight="1" hidden="1">
      <c r="A274" s="1102"/>
      <c r="B274" s="1102"/>
      <c r="C274" s="1102"/>
      <c r="D274" s="1102"/>
      <c r="E274" s="1102"/>
      <c r="F274" s="1102"/>
      <c r="G274" s="1102"/>
      <c r="H274" s="1102"/>
      <c r="I274" s="1102"/>
      <c r="J274" s="1102"/>
      <c r="K274" s="1102"/>
      <c r="L274" s="1102"/>
      <c r="M274" s="1102"/>
      <c r="N274" s="1102"/>
      <c r="O274" s="1102"/>
      <c r="P274" s="1102"/>
      <c r="Q274" s="1102"/>
      <c r="R274" s="1102"/>
      <c r="S274" s="1102"/>
      <c r="T274" s="1102"/>
      <c r="U274" s="1102"/>
      <c r="V274" s="1102"/>
      <c r="W274" s="1102"/>
      <c r="X274" s="1102"/>
    </row>
    <row r="275" spans="1:24" ht="14.25" customHeight="1" hidden="1">
      <c r="A275" s="1083" t="s">
        <v>10</v>
      </c>
      <c r="B275" s="1084" t="s">
        <v>596</v>
      </c>
      <c r="C275" s="1083" t="s">
        <v>597</v>
      </c>
      <c r="D275" s="1086" t="s">
        <v>598</v>
      </c>
      <c r="E275" s="1083" t="s">
        <v>479</v>
      </c>
      <c r="F275" s="1087" t="s">
        <v>599</v>
      </c>
      <c r="G275" s="1087">
        <v>2017</v>
      </c>
      <c r="H275" s="443">
        <f>H276+H278+H277+H279</f>
        <v>34493529</v>
      </c>
      <c r="I275" s="443">
        <f>I276+I278+I277+I279</f>
        <v>0</v>
      </c>
      <c r="J275" s="1081" t="s">
        <v>20</v>
      </c>
      <c r="K275" s="1079">
        <f>L275+O275</f>
        <v>34493529</v>
      </c>
      <c r="L275" s="1079">
        <f>M275+N275</f>
        <v>29319500</v>
      </c>
      <c r="M275" s="1080">
        <v>29000500</v>
      </c>
      <c r="N275" s="1080">
        <v>319000</v>
      </c>
      <c r="O275" s="1079">
        <f>P275+S275+V275</f>
        <v>5174029</v>
      </c>
      <c r="P275" s="1079">
        <f>Q275+R275</f>
        <v>0</v>
      </c>
      <c r="Q275" s="1080">
        <v>0</v>
      </c>
      <c r="R275" s="1080">
        <v>0</v>
      </c>
      <c r="S275" s="1079">
        <f>T275+U275</f>
        <v>5174029</v>
      </c>
      <c r="T275" s="1080">
        <v>5117735</v>
      </c>
      <c r="U275" s="1080">
        <v>56294</v>
      </c>
      <c r="V275" s="1079">
        <f>W275+X275</f>
        <v>0</v>
      </c>
      <c r="W275" s="1080">
        <v>0</v>
      </c>
      <c r="X275" s="1080">
        <v>0</v>
      </c>
    </row>
    <row r="276" spans="1:24" ht="14.25" customHeight="1" hidden="1">
      <c r="A276" s="1083"/>
      <c r="B276" s="1084"/>
      <c r="C276" s="1083"/>
      <c r="D276" s="1086"/>
      <c r="E276" s="1083"/>
      <c r="F276" s="1087"/>
      <c r="G276" s="1087"/>
      <c r="H276" s="443">
        <f>L275</f>
        <v>29319500</v>
      </c>
      <c r="I276" s="443">
        <v>0</v>
      </c>
      <c r="J276" s="1082"/>
      <c r="K276" s="1079"/>
      <c r="L276" s="1079"/>
      <c r="M276" s="1080"/>
      <c r="N276" s="1080"/>
      <c r="O276" s="1079"/>
      <c r="P276" s="1079"/>
      <c r="Q276" s="1080"/>
      <c r="R276" s="1080"/>
      <c r="S276" s="1079"/>
      <c r="T276" s="1080"/>
      <c r="U276" s="1080"/>
      <c r="V276" s="1079"/>
      <c r="W276" s="1080"/>
      <c r="X276" s="1080"/>
    </row>
    <row r="277" spans="1:24" ht="14.25" customHeight="1" hidden="1">
      <c r="A277" s="1083"/>
      <c r="B277" s="1084"/>
      <c r="C277" s="1083"/>
      <c r="D277" s="1086"/>
      <c r="E277" s="1083"/>
      <c r="F277" s="1087"/>
      <c r="G277" s="1087"/>
      <c r="H277" s="443">
        <v>0</v>
      </c>
      <c r="I277" s="443">
        <v>0</v>
      </c>
      <c r="J277" s="443" t="s">
        <v>21</v>
      </c>
      <c r="K277" s="445">
        <f>L277+O277</f>
        <v>0</v>
      </c>
      <c r="L277" s="445">
        <f>M277+N277</f>
        <v>0</v>
      </c>
      <c r="M277" s="446">
        <v>0</v>
      </c>
      <c r="N277" s="446">
        <v>0</v>
      </c>
      <c r="O277" s="445">
        <f>P277+S277+V277</f>
        <v>0</v>
      </c>
      <c r="P277" s="445">
        <f>Q277+R277</f>
        <v>0</v>
      </c>
      <c r="Q277" s="446">
        <v>0</v>
      </c>
      <c r="R277" s="446">
        <v>0</v>
      </c>
      <c r="S277" s="445">
        <f>T277+U277</f>
        <v>0</v>
      </c>
      <c r="T277" s="446">
        <v>0</v>
      </c>
      <c r="U277" s="446">
        <v>0</v>
      </c>
      <c r="V277" s="445">
        <f>W277+X277</f>
        <v>0</v>
      </c>
      <c r="W277" s="446">
        <v>0</v>
      </c>
      <c r="X277" s="446">
        <v>0</v>
      </c>
    </row>
    <row r="278" spans="1:24" ht="14.25" customHeight="1" hidden="1">
      <c r="A278" s="1083"/>
      <c r="B278" s="1084"/>
      <c r="C278" s="1083"/>
      <c r="D278" s="1086"/>
      <c r="E278" s="1083"/>
      <c r="F278" s="1087"/>
      <c r="G278" s="1087"/>
      <c r="H278" s="443">
        <f>S275</f>
        <v>5174029</v>
      </c>
      <c r="I278" s="443">
        <v>0</v>
      </c>
      <c r="J278" s="1081" t="s">
        <v>22</v>
      </c>
      <c r="K278" s="1079">
        <f aca="true" t="shared" si="54" ref="K278:X278">K275+K277</f>
        <v>34493529</v>
      </c>
      <c r="L278" s="1079">
        <f t="shared" si="54"/>
        <v>29319500</v>
      </c>
      <c r="M278" s="1080">
        <f t="shared" si="54"/>
        <v>29000500</v>
      </c>
      <c r="N278" s="1080">
        <f t="shared" si="54"/>
        <v>319000</v>
      </c>
      <c r="O278" s="1079">
        <f t="shared" si="54"/>
        <v>5174029</v>
      </c>
      <c r="P278" s="1079">
        <f t="shared" si="54"/>
        <v>0</v>
      </c>
      <c r="Q278" s="1080">
        <f t="shared" si="54"/>
        <v>0</v>
      </c>
      <c r="R278" s="1080">
        <f t="shared" si="54"/>
        <v>0</v>
      </c>
      <c r="S278" s="1079">
        <f t="shared" si="54"/>
        <v>5174029</v>
      </c>
      <c r="T278" s="1080">
        <f t="shared" si="54"/>
        <v>5117735</v>
      </c>
      <c r="U278" s="1080">
        <f t="shared" si="54"/>
        <v>56294</v>
      </c>
      <c r="V278" s="1079">
        <f t="shared" si="54"/>
        <v>0</v>
      </c>
      <c r="W278" s="1080">
        <f t="shared" si="54"/>
        <v>0</v>
      </c>
      <c r="X278" s="1080">
        <f t="shared" si="54"/>
        <v>0</v>
      </c>
    </row>
    <row r="279" spans="1:24" ht="14.25" customHeight="1" hidden="1">
      <c r="A279" s="1083"/>
      <c r="B279" s="1084"/>
      <c r="C279" s="1083"/>
      <c r="D279" s="1086"/>
      <c r="E279" s="1083"/>
      <c r="F279" s="1087"/>
      <c r="G279" s="1087"/>
      <c r="H279" s="443">
        <v>0</v>
      </c>
      <c r="I279" s="443">
        <v>0</v>
      </c>
      <c r="J279" s="1082"/>
      <c r="K279" s="1079"/>
      <c r="L279" s="1079"/>
      <c r="M279" s="1080"/>
      <c r="N279" s="1080"/>
      <c r="O279" s="1079"/>
      <c r="P279" s="1079"/>
      <c r="Q279" s="1080"/>
      <c r="R279" s="1080"/>
      <c r="S279" s="1079"/>
      <c r="T279" s="1080"/>
      <c r="U279" s="1080"/>
      <c r="V279" s="1079"/>
      <c r="W279" s="1080"/>
      <c r="X279" s="1080"/>
    </row>
    <row r="280" spans="1:24" ht="14.25" customHeight="1" hidden="1">
      <c r="A280" s="1083" t="s">
        <v>11</v>
      </c>
      <c r="B280" s="1084" t="s">
        <v>596</v>
      </c>
      <c r="C280" s="1083" t="s">
        <v>597</v>
      </c>
      <c r="D280" s="1086" t="s">
        <v>598</v>
      </c>
      <c r="E280" s="1083" t="s">
        <v>600</v>
      </c>
      <c r="F280" s="1088" t="s">
        <v>601</v>
      </c>
      <c r="G280" s="1087">
        <v>2017</v>
      </c>
      <c r="H280" s="443">
        <f>H281+H283+H282+H284</f>
        <v>1424117</v>
      </c>
      <c r="I280" s="443">
        <f>I281+I283+I282+I284</f>
        <v>0</v>
      </c>
      <c r="J280" s="1081" t="s">
        <v>20</v>
      </c>
      <c r="K280" s="1079">
        <f>L280+O280</f>
        <v>1424117</v>
      </c>
      <c r="L280" s="1079">
        <f>M280+N280</f>
        <v>1210500</v>
      </c>
      <c r="M280" s="1080">
        <v>1188500</v>
      </c>
      <c r="N280" s="1080">
        <v>22000</v>
      </c>
      <c r="O280" s="1079">
        <f>P280+S280+V280</f>
        <v>213617</v>
      </c>
      <c r="P280" s="1079">
        <f>Q280+R280</f>
        <v>0</v>
      </c>
      <c r="Q280" s="1080">
        <v>0</v>
      </c>
      <c r="R280" s="1080">
        <v>0</v>
      </c>
      <c r="S280" s="1079">
        <f>T280+U280</f>
        <v>213617</v>
      </c>
      <c r="T280" s="1080">
        <v>209735</v>
      </c>
      <c r="U280" s="1080">
        <v>3882</v>
      </c>
      <c r="V280" s="1079">
        <f>W280+X280</f>
        <v>0</v>
      </c>
      <c r="W280" s="1080">
        <v>0</v>
      </c>
      <c r="X280" s="1080">
        <v>0</v>
      </c>
    </row>
    <row r="281" spans="1:24" ht="14.25" customHeight="1" hidden="1">
      <c r="A281" s="1083"/>
      <c r="B281" s="1084"/>
      <c r="C281" s="1083"/>
      <c r="D281" s="1086"/>
      <c r="E281" s="1083"/>
      <c r="F281" s="1089"/>
      <c r="G281" s="1087"/>
      <c r="H281" s="443">
        <f>L280</f>
        <v>1210500</v>
      </c>
      <c r="I281" s="443">
        <v>0</v>
      </c>
      <c r="J281" s="1082"/>
      <c r="K281" s="1079"/>
      <c r="L281" s="1079"/>
      <c r="M281" s="1080"/>
      <c r="N281" s="1080"/>
      <c r="O281" s="1079"/>
      <c r="P281" s="1079"/>
      <c r="Q281" s="1080"/>
      <c r="R281" s="1080"/>
      <c r="S281" s="1079"/>
      <c r="T281" s="1080"/>
      <c r="U281" s="1080"/>
      <c r="V281" s="1079"/>
      <c r="W281" s="1080"/>
      <c r="X281" s="1080"/>
    </row>
    <row r="282" spans="1:24" ht="14.25" customHeight="1" hidden="1">
      <c r="A282" s="1083"/>
      <c r="B282" s="1084"/>
      <c r="C282" s="1083"/>
      <c r="D282" s="1086"/>
      <c r="E282" s="1083"/>
      <c r="F282" s="1089"/>
      <c r="G282" s="1087"/>
      <c r="H282" s="443">
        <v>0</v>
      </c>
      <c r="I282" s="443">
        <v>0</v>
      </c>
      <c r="J282" s="443" t="s">
        <v>21</v>
      </c>
      <c r="K282" s="445">
        <f>L282+O282</f>
        <v>0</v>
      </c>
      <c r="L282" s="445">
        <f>M282+N282</f>
        <v>0</v>
      </c>
      <c r="M282" s="446">
        <v>0</v>
      </c>
      <c r="N282" s="446">
        <v>0</v>
      </c>
      <c r="O282" s="445">
        <f>P282+S282+V282</f>
        <v>0</v>
      </c>
      <c r="P282" s="445">
        <f>Q282+R282</f>
        <v>0</v>
      </c>
      <c r="Q282" s="446">
        <v>0</v>
      </c>
      <c r="R282" s="446">
        <v>0</v>
      </c>
      <c r="S282" s="445">
        <f>T282+U282</f>
        <v>0</v>
      </c>
      <c r="T282" s="446">
        <v>0</v>
      </c>
      <c r="U282" s="446">
        <v>0</v>
      </c>
      <c r="V282" s="445">
        <f>W282+X282</f>
        <v>0</v>
      </c>
      <c r="W282" s="446">
        <v>0</v>
      </c>
      <c r="X282" s="446">
        <v>0</v>
      </c>
    </row>
    <row r="283" spans="1:24" ht="14.25" customHeight="1" hidden="1">
      <c r="A283" s="1083"/>
      <c r="B283" s="1084"/>
      <c r="C283" s="1083"/>
      <c r="D283" s="1086"/>
      <c r="E283" s="1083"/>
      <c r="F283" s="1089"/>
      <c r="G283" s="1087"/>
      <c r="H283" s="443">
        <f>S280</f>
        <v>213617</v>
      </c>
      <c r="I283" s="443">
        <v>0</v>
      </c>
      <c r="J283" s="1081" t="s">
        <v>22</v>
      </c>
      <c r="K283" s="1079">
        <f aca="true" t="shared" si="55" ref="K283:X283">K280+K282</f>
        <v>1424117</v>
      </c>
      <c r="L283" s="1079">
        <f t="shared" si="55"/>
        <v>1210500</v>
      </c>
      <c r="M283" s="1080">
        <f t="shared" si="55"/>
        <v>1188500</v>
      </c>
      <c r="N283" s="1080">
        <f t="shared" si="55"/>
        <v>22000</v>
      </c>
      <c r="O283" s="1079">
        <f t="shared" si="55"/>
        <v>213617</v>
      </c>
      <c r="P283" s="1079">
        <f t="shared" si="55"/>
        <v>0</v>
      </c>
      <c r="Q283" s="1080">
        <f t="shared" si="55"/>
        <v>0</v>
      </c>
      <c r="R283" s="1080">
        <f t="shared" si="55"/>
        <v>0</v>
      </c>
      <c r="S283" s="1079">
        <f t="shared" si="55"/>
        <v>213617</v>
      </c>
      <c r="T283" s="1080">
        <f t="shared" si="55"/>
        <v>209735</v>
      </c>
      <c r="U283" s="1080">
        <f t="shared" si="55"/>
        <v>3882</v>
      </c>
      <c r="V283" s="1079">
        <f t="shared" si="55"/>
        <v>0</v>
      </c>
      <c r="W283" s="1080">
        <f t="shared" si="55"/>
        <v>0</v>
      </c>
      <c r="X283" s="1080">
        <f t="shared" si="55"/>
        <v>0</v>
      </c>
    </row>
    <row r="284" spans="1:24" ht="14.25" customHeight="1" hidden="1">
      <c r="A284" s="1083"/>
      <c r="B284" s="1084"/>
      <c r="C284" s="1083"/>
      <c r="D284" s="1086"/>
      <c r="E284" s="1083"/>
      <c r="F284" s="1090"/>
      <c r="G284" s="1087"/>
      <c r="H284" s="443">
        <v>0</v>
      </c>
      <c r="I284" s="443">
        <v>0</v>
      </c>
      <c r="J284" s="1082"/>
      <c r="K284" s="1079"/>
      <c r="L284" s="1079"/>
      <c r="M284" s="1080"/>
      <c r="N284" s="1080"/>
      <c r="O284" s="1079"/>
      <c r="P284" s="1079"/>
      <c r="Q284" s="1080"/>
      <c r="R284" s="1080"/>
      <c r="S284" s="1079"/>
      <c r="T284" s="1080"/>
      <c r="U284" s="1080"/>
      <c r="V284" s="1079"/>
      <c r="W284" s="1080"/>
      <c r="X284" s="1080"/>
    </row>
    <row r="285" spans="1:24" ht="14.25" customHeight="1" hidden="1">
      <c r="A285" s="1093" t="s">
        <v>12</v>
      </c>
      <c r="B285" s="1096" t="s">
        <v>602</v>
      </c>
      <c r="C285" s="1093">
        <v>123</v>
      </c>
      <c r="D285" s="1099" t="s">
        <v>603</v>
      </c>
      <c r="E285" s="1093" t="s">
        <v>479</v>
      </c>
      <c r="F285" s="1088" t="s">
        <v>599</v>
      </c>
      <c r="G285" s="1088">
        <v>2017</v>
      </c>
      <c r="H285" s="443">
        <f>H286+H288+H287+H289</f>
        <v>2110000</v>
      </c>
      <c r="I285" s="443">
        <f>I286+I288+I287+I289</f>
        <v>0</v>
      </c>
      <c r="J285" s="1081" t="s">
        <v>20</v>
      </c>
      <c r="K285" s="1079">
        <f>L285+O285</f>
        <v>2110000</v>
      </c>
      <c r="L285" s="1079">
        <f>M285+N285</f>
        <v>1793500</v>
      </c>
      <c r="M285" s="1080">
        <v>1793500</v>
      </c>
      <c r="N285" s="1080">
        <v>0</v>
      </c>
      <c r="O285" s="1079">
        <f>P285+S285+V285</f>
        <v>316500</v>
      </c>
      <c r="P285" s="1079">
        <f>Q285+R285</f>
        <v>0</v>
      </c>
      <c r="Q285" s="1080">
        <v>0</v>
      </c>
      <c r="R285" s="1080">
        <v>0</v>
      </c>
      <c r="S285" s="1079">
        <f>T285+U285</f>
        <v>316500</v>
      </c>
      <c r="T285" s="1080">
        <v>316500</v>
      </c>
      <c r="U285" s="1080">
        <v>0</v>
      </c>
      <c r="V285" s="1079">
        <f>W285+X285</f>
        <v>0</v>
      </c>
      <c r="W285" s="1080">
        <v>0</v>
      </c>
      <c r="X285" s="1080">
        <v>0</v>
      </c>
    </row>
    <row r="286" spans="1:24" ht="14.25" customHeight="1" hidden="1">
      <c r="A286" s="1094"/>
      <c r="B286" s="1097"/>
      <c r="C286" s="1094"/>
      <c r="D286" s="1100"/>
      <c r="E286" s="1094"/>
      <c r="F286" s="1089"/>
      <c r="G286" s="1089"/>
      <c r="H286" s="443">
        <f>L285</f>
        <v>1793500</v>
      </c>
      <c r="I286" s="443">
        <v>0</v>
      </c>
      <c r="J286" s="1082"/>
      <c r="K286" s="1079"/>
      <c r="L286" s="1079"/>
      <c r="M286" s="1080"/>
      <c r="N286" s="1080"/>
      <c r="O286" s="1079"/>
      <c r="P286" s="1079"/>
      <c r="Q286" s="1080"/>
      <c r="R286" s="1080"/>
      <c r="S286" s="1079"/>
      <c r="T286" s="1080"/>
      <c r="U286" s="1080"/>
      <c r="V286" s="1079"/>
      <c r="W286" s="1080"/>
      <c r="X286" s="1080"/>
    </row>
    <row r="287" spans="1:24" ht="14.25" customHeight="1" hidden="1">
      <c r="A287" s="1094"/>
      <c r="B287" s="1097"/>
      <c r="C287" s="1094"/>
      <c r="D287" s="1100"/>
      <c r="E287" s="1094"/>
      <c r="F287" s="1089"/>
      <c r="G287" s="1089"/>
      <c r="H287" s="443">
        <v>0</v>
      </c>
      <c r="I287" s="443">
        <v>0</v>
      </c>
      <c r="J287" s="443" t="s">
        <v>21</v>
      </c>
      <c r="K287" s="445">
        <f>L287+O287</f>
        <v>0</v>
      </c>
      <c r="L287" s="445">
        <f>M287+N287</f>
        <v>0</v>
      </c>
      <c r="M287" s="446">
        <v>0</v>
      </c>
      <c r="N287" s="446">
        <v>0</v>
      </c>
      <c r="O287" s="445">
        <f>P287+S287+V287</f>
        <v>0</v>
      </c>
      <c r="P287" s="445">
        <f>Q287+R287</f>
        <v>0</v>
      </c>
      <c r="Q287" s="446">
        <v>0</v>
      </c>
      <c r="R287" s="446">
        <v>0</v>
      </c>
      <c r="S287" s="445">
        <f>T287+U287</f>
        <v>0</v>
      </c>
      <c r="T287" s="446">
        <v>0</v>
      </c>
      <c r="U287" s="446">
        <v>0</v>
      </c>
      <c r="V287" s="445">
        <f>W287+X287</f>
        <v>0</v>
      </c>
      <c r="W287" s="446">
        <v>0</v>
      </c>
      <c r="X287" s="446">
        <v>0</v>
      </c>
    </row>
    <row r="288" spans="1:24" ht="14.25" customHeight="1" hidden="1">
      <c r="A288" s="1094"/>
      <c r="B288" s="1097"/>
      <c r="C288" s="1094"/>
      <c r="D288" s="1100"/>
      <c r="E288" s="1094"/>
      <c r="F288" s="1089"/>
      <c r="G288" s="1089"/>
      <c r="H288" s="443">
        <f>S285</f>
        <v>316500</v>
      </c>
      <c r="I288" s="443">
        <v>0</v>
      </c>
      <c r="J288" s="1081" t="s">
        <v>22</v>
      </c>
      <c r="K288" s="1079">
        <f aca="true" t="shared" si="56" ref="K288:X288">K285+K287</f>
        <v>2110000</v>
      </c>
      <c r="L288" s="1079">
        <f t="shared" si="56"/>
        <v>1793500</v>
      </c>
      <c r="M288" s="1080">
        <f t="shared" si="56"/>
        <v>1793500</v>
      </c>
      <c r="N288" s="1080">
        <f t="shared" si="56"/>
        <v>0</v>
      </c>
      <c r="O288" s="1079">
        <f t="shared" si="56"/>
        <v>316500</v>
      </c>
      <c r="P288" s="1079">
        <f t="shared" si="56"/>
        <v>0</v>
      </c>
      <c r="Q288" s="1080">
        <f t="shared" si="56"/>
        <v>0</v>
      </c>
      <c r="R288" s="1080">
        <f t="shared" si="56"/>
        <v>0</v>
      </c>
      <c r="S288" s="1079">
        <f t="shared" si="56"/>
        <v>316500</v>
      </c>
      <c r="T288" s="1080">
        <f t="shared" si="56"/>
        <v>316500</v>
      </c>
      <c r="U288" s="1080">
        <f t="shared" si="56"/>
        <v>0</v>
      </c>
      <c r="V288" s="1079">
        <f t="shared" si="56"/>
        <v>0</v>
      </c>
      <c r="W288" s="1080">
        <f t="shared" si="56"/>
        <v>0</v>
      </c>
      <c r="X288" s="1080">
        <f t="shared" si="56"/>
        <v>0</v>
      </c>
    </row>
    <row r="289" spans="1:24" ht="14.25" customHeight="1" hidden="1">
      <c r="A289" s="1095"/>
      <c r="B289" s="1098"/>
      <c r="C289" s="1095"/>
      <c r="D289" s="1101"/>
      <c r="E289" s="1095"/>
      <c r="F289" s="1090"/>
      <c r="G289" s="1090"/>
      <c r="H289" s="443">
        <v>0</v>
      </c>
      <c r="I289" s="443">
        <v>0</v>
      </c>
      <c r="J289" s="1082"/>
      <c r="K289" s="1079"/>
      <c r="L289" s="1079"/>
      <c r="M289" s="1080"/>
      <c r="N289" s="1080"/>
      <c r="O289" s="1079"/>
      <c r="P289" s="1079"/>
      <c r="Q289" s="1080"/>
      <c r="R289" s="1080"/>
      <c r="S289" s="1079"/>
      <c r="T289" s="1080"/>
      <c r="U289" s="1080"/>
      <c r="V289" s="1079"/>
      <c r="W289" s="1080"/>
      <c r="X289" s="1080"/>
    </row>
    <row r="290" spans="1:24" ht="14.25" customHeight="1" hidden="1">
      <c r="A290" s="1093" t="s">
        <v>13</v>
      </c>
      <c r="B290" s="1096" t="s">
        <v>602</v>
      </c>
      <c r="C290" s="1093">
        <v>123</v>
      </c>
      <c r="D290" s="1099" t="s">
        <v>603</v>
      </c>
      <c r="E290" s="1093" t="s">
        <v>600</v>
      </c>
      <c r="F290" s="1088" t="s">
        <v>601</v>
      </c>
      <c r="G290" s="1088">
        <v>2017</v>
      </c>
      <c r="H290" s="443">
        <f>H291+H293+H292+H294</f>
        <v>30000</v>
      </c>
      <c r="I290" s="443">
        <f>I291+I293+I292+I294</f>
        <v>0</v>
      </c>
      <c r="J290" s="1081" t="s">
        <v>20</v>
      </c>
      <c r="K290" s="1079">
        <f>L290+O290</f>
        <v>30000</v>
      </c>
      <c r="L290" s="1079">
        <f>M290+N290</f>
        <v>25500</v>
      </c>
      <c r="M290" s="1080">
        <v>25500</v>
      </c>
      <c r="N290" s="1080">
        <v>0</v>
      </c>
      <c r="O290" s="1079">
        <f>P290+S290+V290</f>
        <v>4500</v>
      </c>
      <c r="P290" s="1079">
        <f>Q290+R290</f>
        <v>0</v>
      </c>
      <c r="Q290" s="1080">
        <v>0</v>
      </c>
      <c r="R290" s="1080">
        <v>0</v>
      </c>
      <c r="S290" s="1079">
        <f>T290+U290</f>
        <v>4500</v>
      </c>
      <c r="T290" s="1080">
        <v>4500</v>
      </c>
      <c r="U290" s="1080">
        <v>0</v>
      </c>
      <c r="V290" s="1079">
        <f>W290+X290</f>
        <v>0</v>
      </c>
      <c r="W290" s="1080">
        <v>0</v>
      </c>
      <c r="X290" s="1080">
        <v>0</v>
      </c>
    </row>
    <row r="291" spans="1:24" ht="14.25" customHeight="1" hidden="1">
      <c r="A291" s="1094"/>
      <c r="B291" s="1097"/>
      <c r="C291" s="1094"/>
      <c r="D291" s="1100"/>
      <c r="E291" s="1094"/>
      <c r="F291" s="1089"/>
      <c r="G291" s="1089"/>
      <c r="H291" s="443">
        <f>L290</f>
        <v>25500</v>
      </c>
      <c r="I291" s="443">
        <v>0</v>
      </c>
      <c r="J291" s="1082"/>
      <c r="K291" s="1079"/>
      <c r="L291" s="1079"/>
      <c r="M291" s="1080"/>
      <c r="N291" s="1080"/>
      <c r="O291" s="1079"/>
      <c r="P291" s="1079"/>
      <c r="Q291" s="1080"/>
      <c r="R291" s="1080"/>
      <c r="S291" s="1079"/>
      <c r="T291" s="1080"/>
      <c r="U291" s="1080"/>
      <c r="V291" s="1079"/>
      <c r="W291" s="1080"/>
      <c r="X291" s="1080"/>
    </row>
    <row r="292" spans="1:24" ht="14.25" customHeight="1" hidden="1">
      <c r="A292" s="1094"/>
      <c r="B292" s="1097"/>
      <c r="C292" s="1094"/>
      <c r="D292" s="1100"/>
      <c r="E292" s="1094"/>
      <c r="F292" s="1089"/>
      <c r="G292" s="1089"/>
      <c r="H292" s="443">
        <v>0</v>
      </c>
      <c r="I292" s="443">
        <v>0</v>
      </c>
      <c r="J292" s="443" t="s">
        <v>21</v>
      </c>
      <c r="K292" s="445">
        <f>L292+O292</f>
        <v>0</v>
      </c>
      <c r="L292" s="445">
        <f>M292+N292</f>
        <v>0</v>
      </c>
      <c r="M292" s="446">
        <v>0</v>
      </c>
      <c r="N292" s="446">
        <v>0</v>
      </c>
      <c r="O292" s="445">
        <f>P292+S292+V292</f>
        <v>0</v>
      </c>
      <c r="P292" s="445">
        <f>Q292+R292</f>
        <v>0</v>
      </c>
      <c r="Q292" s="446">
        <v>0</v>
      </c>
      <c r="R292" s="446">
        <v>0</v>
      </c>
      <c r="S292" s="445">
        <f>T292+U292</f>
        <v>0</v>
      </c>
      <c r="T292" s="446">
        <v>0</v>
      </c>
      <c r="U292" s="446">
        <v>0</v>
      </c>
      <c r="V292" s="445">
        <f>W292+X292</f>
        <v>0</v>
      </c>
      <c r="W292" s="446">
        <v>0</v>
      </c>
      <c r="X292" s="446">
        <v>0</v>
      </c>
    </row>
    <row r="293" spans="1:24" ht="14.25" customHeight="1" hidden="1">
      <c r="A293" s="1094"/>
      <c r="B293" s="1097"/>
      <c r="C293" s="1094"/>
      <c r="D293" s="1100"/>
      <c r="E293" s="1094"/>
      <c r="F293" s="1089"/>
      <c r="G293" s="1089"/>
      <c r="H293" s="443">
        <f>S290</f>
        <v>4500</v>
      </c>
      <c r="I293" s="443">
        <v>0</v>
      </c>
      <c r="J293" s="1081" t="s">
        <v>22</v>
      </c>
      <c r="K293" s="1079">
        <f aca="true" t="shared" si="57" ref="K293:X293">K290+K292</f>
        <v>30000</v>
      </c>
      <c r="L293" s="1079">
        <f t="shared" si="57"/>
        <v>25500</v>
      </c>
      <c r="M293" s="1080">
        <f t="shared" si="57"/>
        <v>25500</v>
      </c>
      <c r="N293" s="1080">
        <f t="shared" si="57"/>
        <v>0</v>
      </c>
      <c r="O293" s="1079">
        <f t="shared" si="57"/>
        <v>4500</v>
      </c>
      <c r="P293" s="1079">
        <f t="shared" si="57"/>
        <v>0</v>
      </c>
      <c r="Q293" s="1080">
        <f t="shared" si="57"/>
        <v>0</v>
      </c>
      <c r="R293" s="1080">
        <f t="shared" si="57"/>
        <v>0</v>
      </c>
      <c r="S293" s="1079">
        <f t="shared" si="57"/>
        <v>4500</v>
      </c>
      <c r="T293" s="1080">
        <f t="shared" si="57"/>
        <v>4500</v>
      </c>
      <c r="U293" s="1080">
        <f t="shared" si="57"/>
        <v>0</v>
      </c>
      <c r="V293" s="1079">
        <f t="shared" si="57"/>
        <v>0</v>
      </c>
      <c r="W293" s="1080">
        <f t="shared" si="57"/>
        <v>0</v>
      </c>
      <c r="X293" s="1080">
        <f t="shared" si="57"/>
        <v>0</v>
      </c>
    </row>
    <row r="294" spans="1:24" ht="14.25" customHeight="1" hidden="1">
      <c r="A294" s="1095"/>
      <c r="B294" s="1098"/>
      <c r="C294" s="1095"/>
      <c r="D294" s="1101"/>
      <c r="E294" s="1095"/>
      <c r="F294" s="1090"/>
      <c r="G294" s="1090"/>
      <c r="H294" s="443">
        <v>0</v>
      </c>
      <c r="I294" s="443">
        <v>0</v>
      </c>
      <c r="J294" s="1082"/>
      <c r="K294" s="1079"/>
      <c r="L294" s="1079"/>
      <c r="M294" s="1080"/>
      <c r="N294" s="1080"/>
      <c r="O294" s="1079"/>
      <c r="P294" s="1079"/>
      <c r="Q294" s="1080"/>
      <c r="R294" s="1080"/>
      <c r="S294" s="1079"/>
      <c r="T294" s="1080"/>
      <c r="U294" s="1080"/>
      <c r="V294" s="1079"/>
      <c r="W294" s="1080"/>
      <c r="X294" s="1080"/>
    </row>
    <row r="295" spans="1:24" ht="14.25" customHeight="1" hidden="1">
      <c r="A295" s="1092" t="s">
        <v>604</v>
      </c>
      <c r="B295" s="1092"/>
      <c r="C295" s="1092"/>
      <c r="D295" s="1092"/>
      <c r="E295" s="1092"/>
      <c r="F295" s="1092"/>
      <c r="G295" s="1092"/>
      <c r="H295" s="452">
        <f>H275+H280+H285+H290</f>
        <v>38057646</v>
      </c>
      <c r="I295" s="452">
        <f aca="true" t="shared" si="58" ref="H295:I299">I275+I280+I285+I290</f>
        <v>0</v>
      </c>
      <c r="J295" s="1075" t="s">
        <v>20</v>
      </c>
      <c r="K295" s="1074">
        <f>K275+K280+K285+K290</f>
        <v>38057646</v>
      </c>
      <c r="L295" s="1074">
        <f aca="true" t="shared" si="59" ref="L295:X295">L275+L280+L285+L290</f>
        <v>32349000</v>
      </c>
      <c r="M295" s="1074">
        <f t="shared" si="59"/>
        <v>32008000</v>
      </c>
      <c r="N295" s="1074">
        <f t="shared" si="59"/>
        <v>341000</v>
      </c>
      <c r="O295" s="1074">
        <f t="shared" si="59"/>
        <v>5708646</v>
      </c>
      <c r="P295" s="1074">
        <f t="shared" si="59"/>
        <v>0</v>
      </c>
      <c r="Q295" s="1074">
        <f t="shared" si="59"/>
        <v>0</v>
      </c>
      <c r="R295" s="1074">
        <f t="shared" si="59"/>
        <v>0</v>
      </c>
      <c r="S295" s="1074">
        <f t="shared" si="59"/>
        <v>5708646</v>
      </c>
      <c r="T295" s="1074">
        <f t="shared" si="59"/>
        <v>5648470</v>
      </c>
      <c r="U295" s="1074">
        <f t="shared" si="59"/>
        <v>60176</v>
      </c>
      <c r="V295" s="1074">
        <f t="shared" si="59"/>
        <v>0</v>
      </c>
      <c r="W295" s="1074">
        <f t="shared" si="59"/>
        <v>0</v>
      </c>
      <c r="X295" s="1074">
        <f t="shared" si="59"/>
        <v>0</v>
      </c>
    </row>
    <row r="296" spans="1:24" ht="14.25" customHeight="1" hidden="1">
      <c r="A296" s="1092"/>
      <c r="B296" s="1092"/>
      <c r="C296" s="1092"/>
      <c r="D296" s="1092"/>
      <c r="E296" s="1092"/>
      <c r="F296" s="1092"/>
      <c r="G296" s="1092"/>
      <c r="H296" s="452">
        <f t="shared" si="58"/>
        <v>32349000</v>
      </c>
      <c r="I296" s="452">
        <f t="shared" si="58"/>
        <v>0</v>
      </c>
      <c r="J296" s="1076"/>
      <c r="K296" s="1074"/>
      <c r="L296" s="1074"/>
      <c r="M296" s="1074"/>
      <c r="N296" s="1074"/>
      <c r="O296" s="1074"/>
      <c r="P296" s="1074"/>
      <c r="Q296" s="1074"/>
      <c r="R296" s="1074"/>
      <c r="S296" s="1074"/>
      <c r="T296" s="1074"/>
      <c r="U296" s="1074"/>
      <c r="V296" s="1074"/>
      <c r="W296" s="1074"/>
      <c r="X296" s="1074"/>
    </row>
    <row r="297" spans="1:24" ht="15" hidden="1">
      <c r="A297" s="1092"/>
      <c r="B297" s="1092"/>
      <c r="C297" s="1092"/>
      <c r="D297" s="1092"/>
      <c r="E297" s="1092"/>
      <c r="F297" s="1092"/>
      <c r="G297" s="1092"/>
      <c r="H297" s="452">
        <f t="shared" si="58"/>
        <v>0</v>
      </c>
      <c r="I297" s="452">
        <f t="shared" si="58"/>
        <v>0</v>
      </c>
      <c r="J297" s="449" t="s">
        <v>21</v>
      </c>
      <c r="K297" s="450">
        <f>K277+K282+K287+K292</f>
        <v>0</v>
      </c>
      <c r="L297" s="450">
        <f aca="true" t="shared" si="60" ref="L297:X297">L277+L282+L287+L292</f>
        <v>0</v>
      </c>
      <c r="M297" s="450">
        <f t="shared" si="60"/>
        <v>0</v>
      </c>
      <c r="N297" s="450">
        <f t="shared" si="60"/>
        <v>0</v>
      </c>
      <c r="O297" s="450">
        <f t="shared" si="60"/>
        <v>0</v>
      </c>
      <c r="P297" s="450">
        <f t="shared" si="60"/>
        <v>0</v>
      </c>
      <c r="Q297" s="450">
        <f t="shared" si="60"/>
        <v>0</v>
      </c>
      <c r="R297" s="450">
        <f t="shared" si="60"/>
        <v>0</v>
      </c>
      <c r="S297" s="450">
        <f t="shared" si="60"/>
        <v>0</v>
      </c>
      <c r="T297" s="450">
        <f t="shared" si="60"/>
        <v>0</v>
      </c>
      <c r="U297" s="450">
        <f t="shared" si="60"/>
        <v>0</v>
      </c>
      <c r="V297" s="450">
        <f t="shared" si="60"/>
        <v>0</v>
      </c>
      <c r="W297" s="450">
        <f t="shared" si="60"/>
        <v>0</v>
      </c>
      <c r="X297" s="450">
        <f t="shared" si="60"/>
        <v>0</v>
      </c>
    </row>
    <row r="298" spans="1:24" ht="14.25" customHeight="1" hidden="1">
      <c r="A298" s="1092"/>
      <c r="B298" s="1092"/>
      <c r="C298" s="1092"/>
      <c r="D298" s="1092"/>
      <c r="E298" s="1092"/>
      <c r="F298" s="1092"/>
      <c r="G298" s="1092"/>
      <c r="H298" s="452">
        <f t="shared" si="58"/>
        <v>5708646</v>
      </c>
      <c r="I298" s="452">
        <f t="shared" si="58"/>
        <v>0</v>
      </c>
      <c r="J298" s="1075" t="s">
        <v>22</v>
      </c>
      <c r="K298" s="1074">
        <f>K295+K297</f>
        <v>38057646</v>
      </c>
      <c r="L298" s="1074">
        <f aca="true" t="shared" si="61" ref="L298:X298">L295+L297</f>
        <v>32349000</v>
      </c>
      <c r="M298" s="1074">
        <f t="shared" si="61"/>
        <v>32008000</v>
      </c>
      <c r="N298" s="1074">
        <f t="shared" si="61"/>
        <v>341000</v>
      </c>
      <c r="O298" s="1074">
        <f t="shared" si="61"/>
        <v>5708646</v>
      </c>
      <c r="P298" s="1074">
        <f t="shared" si="61"/>
        <v>0</v>
      </c>
      <c r="Q298" s="1074">
        <f t="shared" si="61"/>
        <v>0</v>
      </c>
      <c r="R298" s="1074">
        <f t="shared" si="61"/>
        <v>0</v>
      </c>
      <c r="S298" s="1074">
        <f t="shared" si="61"/>
        <v>5708646</v>
      </c>
      <c r="T298" s="1074">
        <f t="shared" si="61"/>
        <v>5648470</v>
      </c>
      <c r="U298" s="1074">
        <f t="shared" si="61"/>
        <v>60176</v>
      </c>
      <c r="V298" s="1074">
        <f t="shared" si="61"/>
        <v>0</v>
      </c>
      <c r="W298" s="1074">
        <f t="shared" si="61"/>
        <v>0</v>
      </c>
      <c r="X298" s="1074">
        <f t="shared" si="61"/>
        <v>0</v>
      </c>
    </row>
    <row r="299" spans="1:24" ht="14.25" customHeight="1" hidden="1">
      <c r="A299" s="1092"/>
      <c r="B299" s="1092"/>
      <c r="C299" s="1092"/>
      <c r="D299" s="1092"/>
      <c r="E299" s="1092"/>
      <c r="F299" s="1092"/>
      <c r="G299" s="1092"/>
      <c r="H299" s="452">
        <f t="shared" si="58"/>
        <v>0</v>
      </c>
      <c r="I299" s="452">
        <f t="shared" si="58"/>
        <v>0</v>
      </c>
      <c r="J299" s="1076"/>
      <c r="K299" s="1074"/>
      <c r="L299" s="1074"/>
      <c r="M299" s="1074"/>
      <c r="N299" s="1074"/>
      <c r="O299" s="1074"/>
      <c r="P299" s="1074"/>
      <c r="Q299" s="1074"/>
      <c r="R299" s="1074"/>
      <c r="S299" s="1074"/>
      <c r="T299" s="1074"/>
      <c r="U299" s="1074"/>
      <c r="V299" s="1074"/>
      <c r="W299" s="1074"/>
      <c r="X299" s="1074"/>
    </row>
    <row r="300" spans="1:25" s="454" customFormat="1" ht="6" customHeight="1" hidden="1">
      <c r="A300" s="1083"/>
      <c r="B300" s="1083"/>
      <c r="C300" s="1083"/>
      <c r="D300" s="1083"/>
      <c r="E300" s="1083"/>
      <c r="F300" s="1083"/>
      <c r="G300" s="1083"/>
      <c r="H300" s="1083"/>
      <c r="I300" s="1083"/>
      <c r="J300" s="1083"/>
      <c r="K300" s="1083"/>
      <c r="L300" s="1083"/>
      <c r="M300" s="1083"/>
      <c r="N300" s="1083"/>
      <c r="O300" s="1083"/>
      <c r="P300" s="1083"/>
      <c r="Q300" s="1083"/>
      <c r="R300" s="1083"/>
      <c r="S300" s="1083"/>
      <c r="T300" s="1083"/>
      <c r="U300" s="1083"/>
      <c r="V300" s="1083"/>
      <c r="W300" s="1083"/>
      <c r="X300" s="1083"/>
      <c r="Y300" s="453"/>
    </row>
    <row r="301" spans="1:25" s="440" customFormat="1" ht="18.75" customHeight="1" hidden="1">
      <c r="A301" s="1091" t="s">
        <v>605</v>
      </c>
      <c r="B301" s="1091"/>
      <c r="C301" s="1091"/>
      <c r="D301" s="1091"/>
      <c r="E301" s="1091"/>
      <c r="F301" s="1091"/>
      <c r="G301" s="1091"/>
      <c r="H301" s="1091"/>
      <c r="I301" s="1091"/>
      <c r="J301" s="1091"/>
      <c r="K301" s="1091"/>
      <c r="L301" s="1091"/>
      <c r="M301" s="1091"/>
      <c r="N301" s="1091"/>
      <c r="O301" s="1091"/>
      <c r="P301" s="1091"/>
      <c r="Q301" s="1091"/>
      <c r="R301" s="1091"/>
      <c r="S301" s="1091"/>
      <c r="T301" s="1091"/>
      <c r="U301" s="1091"/>
      <c r="V301" s="1091"/>
      <c r="W301" s="1091"/>
      <c r="X301" s="1091"/>
      <c r="Y301" s="441"/>
    </row>
    <row r="302" spans="1:25" s="454" customFormat="1" ht="7.5" customHeight="1" hidden="1">
      <c r="A302" s="1083"/>
      <c r="B302" s="1083"/>
      <c r="C302" s="1083"/>
      <c r="D302" s="1083"/>
      <c r="E302" s="1083"/>
      <c r="F302" s="1083"/>
      <c r="G302" s="1083"/>
      <c r="H302" s="1083"/>
      <c r="I302" s="1083"/>
      <c r="J302" s="1083"/>
      <c r="K302" s="1083"/>
      <c r="L302" s="1083"/>
      <c r="M302" s="1083"/>
      <c r="N302" s="1083"/>
      <c r="O302" s="1083"/>
      <c r="P302" s="1083"/>
      <c r="Q302" s="1083"/>
      <c r="R302" s="1083"/>
      <c r="S302" s="1083"/>
      <c r="T302" s="1083"/>
      <c r="U302" s="1083"/>
      <c r="V302" s="1083"/>
      <c r="W302" s="1083"/>
      <c r="X302" s="1083"/>
      <c r="Y302" s="453"/>
    </row>
    <row r="303" spans="1:24" ht="15.75" customHeight="1" hidden="1">
      <c r="A303" s="1083">
        <v>1</v>
      </c>
      <c r="B303" s="1084" t="s">
        <v>486</v>
      </c>
      <c r="C303" s="1085" t="s">
        <v>487</v>
      </c>
      <c r="D303" s="1086" t="s">
        <v>606</v>
      </c>
      <c r="E303" s="1083" t="s">
        <v>479</v>
      </c>
      <c r="F303" s="1087" t="s">
        <v>489</v>
      </c>
      <c r="G303" s="1087" t="s">
        <v>607</v>
      </c>
      <c r="H303" s="443" t="s">
        <v>55</v>
      </c>
      <c r="I303" s="443" t="s">
        <v>55</v>
      </c>
      <c r="J303" s="1081" t="s">
        <v>20</v>
      </c>
      <c r="K303" s="1079">
        <f>L303+O303</f>
        <v>1437360</v>
      </c>
      <c r="L303" s="1079">
        <f>M303+N303</f>
        <v>0</v>
      </c>
      <c r="M303" s="1080">
        <v>0</v>
      </c>
      <c r="N303" s="1080">
        <v>0</v>
      </c>
      <c r="O303" s="1079">
        <f>P303+S303+V303</f>
        <v>1437360</v>
      </c>
      <c r="P303" s="1079">
        <f>Q303+R303</f>
        <v>1437360</v>
      </c>
      <c r="Q303" s="1080">
        <v>0</v>
      </c>
      <c r="R303" s="1080">
        <v>1437360</v>
      </c>
      <c r="S303" s="1079">
        <f>T303+U303</f>
        <v>0</v>
      </c>
      <c r="T303" s="1080">
        <v>0</v>
      </c>
      <c r="U303" s="1080">
        <v>0</v>
      </c>
      <c r="V303" s="1079">
        <f>W303+X303</f>
        <v>0</v>
      </c>
      <c r="W303" s="1080">
        <v>0</v>
      </c>
      <c r="X303" s="1080">
        <v>0</v>
      </c>
    </row>
    <row r="304" spans="1:24" ht="15.75" customHeight="1" hidden="1">
      <c r="A304" s="1083"/>
      <c r="B304" s="1084"/>
      <c r="C304" s="1085"/>
      <c r="D304" s="1086"/>
      <c r="E304" s="1083"/>
      <c r="F304" s="1087"/>
      <c r="G304" s="1087"/>
      <c r="H304" s="443" t="s">
        <v>55</v>
      </c>
      <c r="I304" s="443" t="s">
        <v>55</v>
      </c>
      <c r="J304" s="1082"/>
      <c r="K304" s="1079"/>
      <c r="L304" s="1079"/>
      <c r="M304" s="1080"/>
      <c r="N304" s="1080"/>
      <c r="O304" s="1079"/>
      <c r="P304" s="1079"/>
      <c r="Q304" s="1080"/>
      <c r="R304" s="1080"/>
      <c r="S304" s="1079"/>
      <c r="T304" s="1080"/>
      <c r="U304" s="1080"/>
      <c r="V304" s="1079"/>
      <c r="W304" s="1080"/>
      <c r="X304" s="1080"/>
    </row>
    <row r="305" spans="1:24" ht="15.75" customHeight="1" hidden="1">
      <c r="A305" s="1083"/>
      <c r="B305" s="1084"/>
      <c r="C305" s="1085"/>
      <c r="D305" s="1086"/>
      <c r="E305" s="1083"/>
      <c r="F305" s="1087"/>
      <c r="G305" s="1087"/>
      <c r="H305" s="443" t="s">
        <v>55</v>
      </c>
      <c r="I305" s="443" t="s">
        <v>55</v>
      </c>
      <c r="J305" s="443" t="s">
        <v>21</v>
      </c>
      <c r="K305" s="445">
        <f>L305+O305</f>
        <v>0</v>
      </c>
      <c r="L305" s="445">
        <f>M305+N305</f>
        <v>0</v>
      </c>
      <c r="M305" s="446">
        <v>0</v>
      </c>
      <c r="N305" s="446">
        <v>0</v>
      </c>
      <c r="O305" s="445">
        <f>P305+S305+V305</f>
        <v>0</v>
      </c>
      <c r="P305" s="445">
        <f>Q305+R305</f>
        <v>0</v>
      </c>
      <c r="Q305" s="446">
        <v>0</v>
      </c>
      <c r="R305" s="446">
        <v>0</v>
      </c>
      <c r="S305" s="445">
        <f>T305+U305</f>
        <v>0</v>
      </c>
      <c r="T305" s="446">
        <v>0</v>
      </c>
      <c r="U305" s="446">
        <v>0</v>
      </c>
      <c r="V305" s="445">
        <f>W305+X305</f>
        <v>0</v>
      </c>
      <c r="W305" s="446">
        <v>0</v>
      </c>
      <c r="X305" s="446">
        <v>0</v>
      </c>
    </row>
    <row r="306" spans="1:24" ht="15.75" customHeight="1" hidden="1">
      <c r="A306" s="1083"/>
      <c r="B306" s="1084"/>
      <c r="C306" s="1085"/>
      <c r="D306" s="1086"/>
      <c r="E306" s="1083"/>
      <c r="F306" s="1087"/>
      <c r="G306" s="1087"/>
      <c r="H306" s="443" t="s">
        <v>55</v>
      </c>
      <c r="I306" s="443" t="s">
        <v>55</v>
      </c>
      <c r="J306" s="1081" t="s">
        <v>22</v>
      </c>
      <c r="K306" s="1079">
        <f aca="true" t="shared" si="62" ref="K306:X306">K303+K305</f>
        <v>1437360</v>
      </c>
      <c r="L306" s="1079">
        <f t="shared" si="62"/>
        <v>0</v>
      </c>
      <c r="M306" s="1080">
        <f t="shared" si="62"/>
        <v>0</v>
      </c>
      <c r="N306" s="1080">
        <f t="shared" si="62"/>
        <v>0</v>
      </c>
      <c r="O306" s="1079">
        <f t="shared" si="62"/>
        <v>1437360</v>
      </c>
      <c r="P306" s="1079">
        <f t="shared" si="62"/>
        <v>1437360</v>
      </c>
      <c r="Q306" s="1080">
        <f t="shared" si="62"/>
        <v>0</v>
      </c>
      <c r="R306" s="1080">
        <f t="shared" si="62"/>
        <v>1437360</v>
      </c>
      <c r="S306" s="1079">
        <f t="shared" si="62"/>
        <v>0</v>
      </c>
      <c r="T306" s="1080">
        <f t="shared" si="62"/>
        <v>0</v>
      </c>
      <c r="U306" s="1080">
        <f t="shared" si="62"/>
        <v>0</v>
      </c>
      <c r="V306" s="1079">
        <f t="shared" si="62"/>
        <v>0</v>
      </c>
      <c r="W306" s="1080">
        <f t="shared" si="62"/>
        <v>0</v>
      </c>
      <c r="X306" s="1080">
        <f t="shared" si="62"/>
        <v>0</v>
      </c>
    </row>
    <row r="307" spans="1:24" ht="15.75" customHeight="1" hidden="1">
      <c r="A307" s="1083"/>
      <c r="B307" s="1084"/>
      <c r="C307" s="1085"/>
      <c r="D307" s="1086"/>
      <c r="E307" s="1083"/>
      <c r="F307" s="1087"/>
      <c r="G307" s="1087"/>
      <c r="H307" s="443" t="s">
        <v>55</v>
      </c>
      <c r="I307" s="443" t="s">
        <v>55</v>
      </c>
      <c r="J307" s="1082"/>
      <c r="K307" s="1079"/>
      <c r="L307" s="1079"/>
      <c r="M307" s="1080"/>
      <c r="N307" s="1080"/>
      <c r="O307" s="1079"/>
      <c r="P307" s="1079"/>
      <c r="Q307" s="1080"/>
      <c r="R307" s="1080"/>
      <c r="S307" s="1079"/>
      <c r="T307" s="1080"/>
      <c r="U307" s="1080"/>
      <c r="V307" s="1079"/>
      <c r="W307" s="1080"/>
      <c r="X307" s="1080"/>
    </row>
    <row r="308" spans="1:24" ht="15.75" customHeight="1" hidden="1">
      <c r="A308" s="1083">
        <v>2</v>
      </c>
      <c r="B308" s="1084" t="s">
        <v>493</v>
      </c>
      <c r="C308" s="1085" t="s">
        <v>494</v>
      </c>
      <c r="D308" s="1086" t="s">
        <v>608</v>
      </c>
      <c r="E308" s="1083" t="s">
        <v>479</v>
      </c>
      <c r="F308" s="1087" t="s">
        <v>489</v>
      </c>
      <c r="G308" s="1087" t="s">
        <v>607</v>
      </c>
      <c r="H308" s="443" t="s">
        <v>55</v>
      </c>
      <c r="I308" s="443" t="s">
        <v>55</v>
      </c>
      <c r="J308" s="1081" t="s">
        <v>20</v>
      </c>
      <c r="K308" s="1079">
        <f>L308+O308</f>
        <v>522518</v>
      </c>
      <c r="L308" s="1079">
        <f>M308+N308</f>
        <v>0</v>
      </c>
      <c r="M308" s="1080">
        <v>0</v>
      </c>
      <c r="N308" s="1080">
        <v>0</v>
      </c>
      <c r="O308" s="1079">
        <f>P308+S308+V308</f>
        <v>522518</v>
      </c>
      <c r="P308" s="1079">
        <f>Q308+R308</f>
        <v>522518</v>
      </c>
      <c r="Q308" s="1080">
        <v>0</v>
      </c>
      <c r="R308" s="1080">
        <v>522518</v>
      </c>
      <c r="S308" s="1079">
        <f>T308+U308</f>
        <v>0</v>
      </c>
      <c r="T308" s="1080">
        <v>0</v>
      </c>
      <c r="U308" s="1080">
        <v>0</v>
      </c>
      <c r="V308" s="1079">
        <f>W308+X308</f>
        <v>0</v>
      </c>
      <c r="W308" s="1080">
        <v>0</v>
      </c>
      <c r="X308" s="1080">
        <v>0</v>
      </c>
    </row>
    <row r="309" spans="1:24" ht="15.75" customHeight="1" hidden="1">
      <c r="A309" s="1083"/>
      <c r="B309" s="1084"/>
      <c r="C309" s="1085"/>
      <c r="D309" s="1086"/>
      <c r="E309" s="1083"/>
      <c r="F309" s="1087"/>
      <c r="G309" s="1087"/>
      <c r="H309" s="443" t="s">
        <v>55</v>
      </c>
      <c r="I309" s="443" t="s">
        <v>55</v>
      </c>
      <c r="J309" s="1082"/>
      <c r="K309" s="1079"/>
      <c r="L309" s="1079"/>
      <c r="M309" s="1080"/>
      <c r="N309" s="1080"/>
      <c r="O309" s="1079"/>
      <c r="P309" s="1079"/>
      <c r="Q309" s="1080"/>
      <c r="R309" s="1080"/>
      <c r="S309" s="1079"/>
      <c r="T309" s="1080"/>
      <c r="U309" s="1080"/>
      <c r="V309" s="1079"/>
      <c r="W309" s="1080"/>
      <c r="X309" s="1080"/>
    </row>
    <row r="310" spans="1:24" ht="15.75" customHeight="1" hidden="1">
      <c r="A310" s="1083"/>
      <c r="B310" s="1084"/>
      <c r="C310" s="1085"/>
      <c r="D310" s="1086"/>
      <c r="E310" s="1083"/>
      <c r="F310" s="1087"/>
      <c r="G310" s="1087"/>
      <c r="H310" s="443" t="s">
        <v>55</v>
      </c>
      <c r="I310" s="443" t="s">
        <v>55</v>
      </c>
      <c r="J310" s="443" t="s">
        <v>21</v>
      </c>
      <c r="K310" s="445">
        <f>L310+O310</f>
        <v>0</v>
      </c>
      <c r="L310" s="445">
        <f>M310+N310</f>
        <v>0</v>
      </c>
      <c r="M310" s="446">
        <v>0</v>
      </c>
      <c r="N310" s="446">
        <v>0</v>
      </c>
      <c r="O310" s="445">
        <f>P310+S310+V310</f>
        <v>0</v>
      </c>
      <c r="P310" s="445">
        <f>Q310+R310</f>
        <v>0</v>
      </c>
      <c r="Q310" s="446">
        <v>0</v>
      </c>
      <c r="R310" s="446">
        <v>0</v>
      </c>
      <c r="S310" s="445">
        <f>T310+U310</f>
        <v>0</v>
      </c>
      <c r="T310" s="446">
        <v>0</v>
      </c>
      <c r="U310" s="446">
        <v>0</v>
      </c>
      <c r="V310" s="445">
        <f>W310+X310</f>
        <v>0</v>
      </c>
      <c r="W310" s="446">
        <v>0</v>
      </c>
      <c r="X310" s="446">
        <v>0</v>
      </c>
    </row>
    <row r="311" spans="1:24" ht="15.75" customHeight="1" hidden="1">
      <c r="A311" s="1083"/>
      <c r="B311" s="1084"/>
      <c r="C311" s="1085"/>
      <c r="D311" s="1086"/>
      <c r="E311" s="1083"/>
      <c r="F311" s="1087"/>
      <c r="G311" s="1087"/>
      <c r="H311" s="443" t="s">
        <v>55</v>
      </c>
      <c r="I311" s="443" t="s">
        <v>55</v>
      </c>
      <c r="J311" s="1081" t="s">
        <v>22</v>
      </c>
      <c r="K311" s="1079">
        <f aca="true" t="shared" si="63" ref="K311:X311">K308+K310</f>
        <v>522518</v>
      </c>
      <c r="L311" s="1079">
        <f t="shared" si="63"/>
        <v>0</v>
      </c>
      <c r="M311" s="1080">
        <f t="shared" si="63"/>
        <v>0</v>
      </c>
      <c r="N311" s="1080">
        <f t="shared" si="63"/>
        <v>0</v>
      </c>
      <c r="O311" s="1079">
        <f t="shared" si="63"/>
        <v>522518</v>
      </c>
      <c r="P311" s="1079">
        <f t="shared" si="63"/>
        <v>522518</v>
      </c>
      <c r="Q311" s="1080">
        <f t="shared" si="63"/>
        <v>0</v>
      </c>
      <c r="R311" s="1080">
        <f t="shared" si="63"/>
        <v>522518</v>
      </c>
      <c r="S311" s="1079">
        <f t="shared" si="63"/>
        <v>0</v>
      </c>
      <c r="T311" s="1080">
        <f t="shared" si="63"/>
        <v>0</v>
      </c>
      <c r="U311" s="1080">
        <f t="shared" si="63"/>
        <v>0</v>
      </c>
      <c r="V311" s="1079">
        <f t="shared" si="63"/>
        <v>0</v>
      </c>
      <c r="W311" s="1080">
        <f t="shared" si="63"/>
        <v>0</v>
      </c>
      <c r="X311" s="1080">
        <f t="shared" si="63"/>
        <v>0</v>
      </c>
    </row>
    <row r="312" spans="1:24" ht="15.75" customHeight="1" hidden="1">
      <c r="A312" s="1083"/>
      <c r="B312" s="1084"/>
      <c r="C312" s="1085"/>
      <c r="D312" s="1086"/>
      <c r="E312" s="1083"/>
      <c r="F312" s="1087"/>
      <c r="G312" s="1087"/>
      <c r="H312" s="443" t="s">
        <v>55</v>
      </c>
      <c r="I312" s="443" t="s">
        <v>55</v>
      </c>
      <c r="J312" s="1082"/>
      <c r="K312" s="1079"/>
      <c r="L312" s="1079"/>
      <c r="M312" s="1080"/>
      <c r="N312" s="1080"/>
      <c r="O312" s="1079"/>
      <c r="P312" s="1079"/>
      <c r="Q312" s="1080"/>
      <c r="R312" s="1080"/>
      <c r="S312" s="1079"/>
      <c r="T312" s="1080"/>
      <c r="U312" s="1080"/>
      <c r="V312" s="1079"/>
      <c r="W312" s="1080"/>
      <c r="X312" s="1080"/>
    </row>
    <row r="313" spans="1:24" ht="15.75" customHeight="1" hidden="1">
      <c r="A313" s="1083">
        <v>3</v>
      </c>
      <c r="B313" s="1084" t="s">
        <v>609</v>
      </c>
      <c r="C313" s="1085" t="s">
        <v>610</v>
      </c>
      <c r="D313" s="1086" t="s">
        <v>611</v>
      </c>
      <c r="E313" s="1083" t="s">
        <v>479</v>
      </c>
      <c r="F313" s="1087" t="s">
        <v>612</v>
      </c>
      <c r="G313" s="1087" t="s">
        <v>607</v>
      </c>
      <c r="H313" s="443" t="s">
        <v>55</v>
      </c>
      <c r="I313" s="443" t="s">
        <v>55</v>
      </c>
      <c r="J313" s="1081" t="s">
        <v>20</v>
      </c>
      <c r="K313" s="1079">
        <f>L313+O313</f>
        <v>2856645</v>
      </c>
      <c r="L313" s="1079">
        <f>M313+N313</f>
        <v>0</v>
      </c>
      <c r="M313" s="1080">
        <v>0</v>
      </c>
      <c r="N313" s="1080">
        <v>0</v>
      </c>
      <c r="O313" s="1079">
        <f>P313+S313+V313</f>
        <v>2856645</v>
      </c>
      <c r="P313" s="1079">
        <f>Q313+R313</f>
        <v>2856645</v>
      </c>
      <c r="Q313" s="1080">
        <v>0</v>
      </c>
      <c r="R313" s="1080">
        <v>2856645</v>
      </c>
      <c r="S313" s="1079">
        <f>T313+U313</f>
        <v>0</v>
      </c>
      <c r="T313" s="1080">
        <v>0</v>
      </c>
      <c r="U313" s="1080">
        <v>0</v>
      </c>
      <c r="V313" s="1079">
        <f>W313+X313</f>
        <v>0</v>
      </c>
      <c r="W313" s="1080">
        <v>0</v>
      </c>
      <c r="X313" s="1080">
        <v>0</v>
      </c>
    </row>
    <row r="314" spans="1:24" ht="15.75" customHeight="1" hidden="1">
      <c r="A314" s="1083"/>
      <c r="B314" s="1084"/>
      <c r="C314" s="1085"/>
      <c r="D314" s="1086"/>
      <c r="E314" s="1083"/>
      <c r="F314" s="1087"/>
      <c r="G314" s="1087"/>
      <c r="H314" s="443" t="s">
        <v>55</v>
      </c>
      <c r="I314" s="443" t="s">
        <v>55</v>
      </c>
      <c r="J314" s="1082"/>
      <c r="K314" s="1079"/>
      <c r="L314" s="1079"/>
      <c r="M314" s="1080"/>
      <c r="N314" s="1080"/>
      <c r="O314" s="1079"/>
      <c r="P314" s="1079"/>
      <c r="Q314" s="1080"/>
      <c r="R314" s="1080"/>
      <c r="S314" s="1079"/>
      <c r="T314" s="1080"/>
      <c r="U314" s="1080"/>
      <c r="V314" s="1079"/>
      <c r="W314" s="1080"/>
      <c r="X314" s="1080"/>
    </row>
    <row r="315" spans="1:24" ht="15.75" customHeight="1" hidden="1">
      <c r="A315" s="1083"/>
      <c r="B315" s="1084"/>
      <c r="C315" s="1085"/>
      <c r="D315" s="1086"/>
      <c r="E315" s="1083"/>
      <c r="F315" s="1087"/>
      <c r="G315" s="1087"/>
      <c r="H315" s="443" t="s">
        <v>55</v>
      </c>
      <c r="I315" s="443" t="s">
        <v>55</v>
      </c>
      <c r="J315" s="443" t="s">
        <v>21</v>
      </c>
      <c r="K315" s="445">
        <f>L315+O315</f>
        <v>0</v>
      </c>
      <c r="L315" s="445">
        <f>M315+N315</f>
        <v>0</v>
      </c>
      <c r="M315" s="446">
        <v>0</v>
      </c>
      <c r="N315" s="446">
        <v>0</v>
      </c>
      <c r="O315" s="445">
        <f>P315+S315+V315</f>
        <v>0</v>
      </c>
      <c r="P315" s="445">
        <f>Q315+R315</f>
        <v>0</v>
      </c>
      <c r="Q315" s="446">
        <v>0</v>
      </c>
      <c r="R315" s="446">
        <v>0</v>
      </c>
      <c r="S315" s="445">
        <f>T315+U315</f>
        <v>0</v>
      </c>
      <c r="T315" s="446">
        <v>0</v>
      </c>
      <c r="U315" s="446">
        <v>0</v>
      </c>
      <c r="V315" s="445">
        <f>W315+X315</f>
        <v>0</v>
      </c>
      <c r="W315" s="446">
        <v>0</v>
      </c>
      <c r="X315" s="446">
        <v>0</v>
      </c>
    </row>
    <row r="316" spans="1:24" ht="15.75" customHeight="1" hidden="1">
      <c r="A316" s="1083"/>
      <c r="B316" s="1084"/>
      <c r="C316" s="1085"/>
      <c r="D316" s="1086"/>
      <c r="E316" s="1083"/>
      <c r="F316" s="1087"/>
      <c r="G316" s="1087"/>
      <c r="H316" s="443" t="s">
        <v>55</v>
      </c>
      <c r="I316" s="443" t="s">
        <v>55</v>
      </c>
      <c r="J316" s="1081" t="s">
        <v>22</v>
      </c>
      <c r="K316" s="1079">
        <f aca="true" t="shared" si="64" ref="K316:X316">K313+K315</f>
        <v>2856645</v>
      </c>
      <c r="L316" s="1079">
        <f t="shared" si="64"/>
        <v>0</v>
      </c>
      <c r="M316" s="1080">
        <f t="shared" si="64"/>
        <v>0</v>
      </c>
      <c r="N316" s="1080">
        <f t="shared" si="64"/>
        <v>0</v>
      </c>
      <c r="O316" s="1079">
        <f t="shared" si="64"/>
        <v>2856645</v>
      </c>
      <c r="P316" s="1079">
        <f t="shared" si="64"/>
        <v>2856645</v>
      </c>
      <c r="Q316" s="1080">
        <f t="shared" si="64"/>
        <v>0</v>
      </c>
      <c r="R316" s="1080">
        <f t="shared" si="64"/>
        <v>2856645</v>
      </c>
      <c r="S316" s="1079">
        <f t="shared" si="64"/>
        <v>0</v>
      </c>
      <c r="T316" s="1080">
        <f t="shared" si="64"/>
        <v>0</v>
      </c>
      <c r="U316" s="1080">
        <f t="shared" si="64"/>
        <v>0</v>
      </c>
      <c r="V316" s="1079">
        <f t="shared" si="64"/>
        <v>0</v>
      </c>
      <c r="W316" s="1080">
        <f t="shared" si="64"/>
        <v>0</v>
      </c>
      <c r="X316" s="1080">
        <f t="shared" si="64"/>
        <v>0</v>
      </c>
    </row>
    <row r="317" spans="1:24" ht="15.75" customHeight="1" hidden="1">
      <c r="A317" s="1083"/>
      <c r="B317" s="1084"/>
      <c r="C317" s="1085"/>
      <c r="D317" s="1086"/>
      <c r="E317" s="1083"/>
      <c r="F317" s="1087"/>
      <c r="G317" s="1087"/>
      <c r="H317" s="443" t="s">
        <v>55</v>
      </c>
      <c r="I317" s="443" t="s">
        <v>55</v>
      </c>
      <c r="J317" s="1082"/>
      <c r="K317" s="1079"/>
      <c r="L317" s="1079"/>
      <c r="M317" s="1080"/>
      <c r="N317" s="1080"/>
      <c r="O317" s="1079"/>
      <c r="P317" s="1079"/>
      <c r="Q317" s="1080"/>
      <c r="R317" s="1080"/>
      <c r="S317" s="1079"/>
      <c r="T317" s="1080"/>
      <c r="U317" s="1080"/>
      <c r="V317" s="1079"/>
      <c r="W317" s="1080"/>
      <c r="X317" s="1080"/>
    </row>
    <row r="318" spans="1:24" ht="15" customHeight="1" hidden="1">
      <c r="A318" s="1083">
        <v>4</v>
      </c>
      <c r="B318" s="1084" t="s">
        <v>613</v>
      </c>
      <c r="C318" s="1085" t="s">
        <v>610</v>
      </c>
      <c r="D318" s="1086" t="s">
        <v>614</v>
      </c>
      <c r="E318" s="1083" t="s">
        <v>479</v>
      </c>
      <c r="F318" s="1087" t="s">
        <v>612</v>
      </c>
      <c r="G318" s="1087" t="s">
        <v>607</v>
      </c>
      <c r="H318" s="443" t="s">
        <v>55</v>
      </c>
      <c r="I318" s="443" t="s">
        <v>55</v>
      </c>
      <c r="J318" s="1081" t="s">
        <v>20</v>
      </c>
      <c r="K318" s="1079">
        <f>L318+O318</f>
        <v>2137198</v>
      </c>
      <c r="L318" s="1079">
        <f>M318+N318</f>
        <v>0</v>
      </c>
      <c r="M318" s="1080">
        <v>0</v>
      </c>
      <c r="N318" s="1080">
        <v>0</v>
      </c>
      <c r="O318" s="1079">
        <f>P318+S318+V318</f>
        <v>2137198</v>
      </c>
      <c r="P318" s="1079">
        <f>Q318+R318</f>
        <v>2137198</v>
      </c>
      <c r="Q318" s="1080">
        <v>0</v>
      </c>
      <c r="R318" s="1080">
        <v>2137198</v>
      </c>
      <c r="S318" s="1079">
        <f>T318+U318</f>
        <v>0</v>
      </c>
      <c r="T318" s="1080">
        <v>0</v>
      </c>
      <c r="U318" s="1080">
        <v>0</v>
      </c>
      <c r="V318" s="1079">
        <f>W318+X318</f>
        <v>0</v>
      </c>
      <c r="W318" s="1080">
        <v>0</v>
      </c>
      <c r="X318" s="1080">
        <v>0</v>
      </c>
    </row>
    <row r="319" spans="1:24" ht="15" customHeight="1" hidden="1">
      <c r="A319" s="1083"/>
      <c r="B319" s="1084"/>
      <c r="C319" s="1085"/>
      <c r="D319" s="1086"/>
      <c r="E319" s="1083"/>
      <c r="F319" s="1087"/>
      <c r="G319" s="1087"/>
      <c r="H319" s="443" t="s">
        <v>55</v>
      </c>
      <c r="I319" s="443" t="s">
        <v>55</v>
      </c>
      <c r="J319" s="1082"/>
      <c r="K319" s="1079"/>
      <c r="L319" s="1079"/>
      <c r="M319" s="1080"/>
      <c r="N319" s="1080"/>
      <c r="O319" s="1079"/>
      <c r="P319" s="1079"/>
      <c r="Q319" s="1080"/>
      <c r="R319" s="1080"/>
      <c r="S319" s="1079"/>
      <c r="T319" s="1080"/>
      <c r="U319" s="1080"/>
      <c r="V319" s="1079"/>
      <c r="W319" s="1080"/>
      <c r="X319" s="1080"/>
    </row>
    <row r="320" spans="1:24" ht="15" customHeight="1" hidden="1">
      <c r="A320" s="1083"/>
      <c r="B320" s="1084"/>
      <c r="C320" s="1085"/>
      <c r="D320" s="1086"/>
      <c r="E320" s="1083"/>
      <c r="F320" s="1087"/>
      <c r="G320" s="1087"/>
      <c r="H320" s="443" t="s">
        <v>55</v>
      </c>
      <c r="I320" s="443" t="s">
        <v>55</v>
      </c>
      <c r="J320" s="443" t="s">
        <v>21</v>
      </c>
      <c r="K320" s="445">
        <f>L320+O320</f>
        <v>0</v>
      </c>
      <c r="L320" s="445">
        <f>M320+N320</f>
        <v>0</v>
      </c>
      <c r="M320" s="446">
        <v>0</v>
      </c>
      <c r="N320" s="446">
        <v>0</v>
      </c>
      <c r="O320" s="445">
        <f>P320+S320+V320</f>
        <v>0</v>
      </c>
      <c r="P320" s="445">
        <f>Q320+R320</f>
        <v>0</v>
      </c>
      <c r="Q320" s="446">
        <v>0</v>
      </c>
      <c r="R320" s="446">
        <v>0</v>
      </c>
      <c r="S320" s="445">
        <f>T320+U320</f>
        <v>0</v>
      </c>
      <c r="T320" s="446">
        <v>0</v>
      </c>
      <c r="U320" s="446">
        <v>0</v>
      </c>
      <c r="V320" s="445">
        <f>W320+X320</f>
        <v>0</v>
      </c>
      <c r="W320" s="446">
        <v>0</v>
      </c>
      <c r="X320" s="446">
        <v>0</v>
      </c>
    </row>
    <row r="321" spans="1:24" ht="15" customHeight="1" hidden="1">
      <c r="A321" s="1083"/>
      <c r="B321" s="1084"/>
      <c r="C321" s="1085"/>
      <c r="D321" s="1086"/>
      <c r="E321" s="1083"/>
      <c r="F321" s="1087"/>
      <c r="G321" s="1087"/>
      <c r="H321" s="443" t="s">
        <v>55</v>
      </c>
      <c r="I321" s="443" t="s">
        <v>55</v>
      </c>
      <c r="J321" s="1081" t="s">
        <v>22</v>
      </c>
      <c r="K321" s="1079">
        <f aca="true" t="shared" si="65" ref="K321:X321">K318+K320</f>
        <v>2137198</v>
      </c>
      <c r="L321" s="1079">
        <f t="shared" si="65"/>
        <v>0</v>
      </c>
      <c r="M321" s="1080">
        <f t="shared" si="65"/>
        <v>0</v>
      </c>
      <c r="N321" s="1080">
        <f t="shared" si="65"/>
        <v>0</v>
      </c>
      <c r="O321" s="1079">
        <f t="shared" si="65"/>
        <v>2137198</v>
      </c>
      <c r="P321" s="1079">
        <f t="shared" si="65"/>
        <v>2137198</v>
      </c>
      <c r="Q321" s="1080">
        <f t="shared" si="65"/>
        <v>0</v>
      </c>
      <c r="R321" s="1080">
        <f t="shared" si="65"/>
        <v>2137198</v>
      </c>
      <c r="S321" s="1079">
        <f t="shared" si="65"/>
        <v>0</v>
      </c>
      <c r="T321" s="1080">
        <f t="shared" si="65"/>
        <v>0</v>
      </c>
      <c r="U321" s="1080">
        <f t="shared" si="65"/>
        <v>0</v>
      </c>
      <c r="V321" s="1079">
        <f t="shared" si="65"/>
        <v>0</v>
      </c>
      <c r="W321" s="1080">
        <f t="shared" si="65"/>
        <v>0</v>
      </c>
      <c r="X321" s="1080">
        <f t="shared" si="65"/>
        <v>0</v>
      </c>
    </row>
    <row r="322" spans="1:24" ht="15" customHeight="1" hidden="1">
      <c r="A322" s="1083"/>
      <c r="B322" s="1084"/>
      <c r="C322" s="1085"/>
      <c r="D322" s="1086"/>
      <c r="E322" s="1083"/>
      <c r="F322" s="1087"/>
      <c r="G322" s="1087"/>
      <c r="H322" s="443" t="s">
        <v>55</v>
      </c>
      <c r="I322" s="443" t="s">
        <v>55</v>
      </c>
      <c r="J322" s="1082"/>
      <c r="K322" s="1079"/>
      <c r="L322" s="1079"/>
      <c r="M322" s="1080"/>
      <c r="N322" s="1080"/>
      <c r="O322" s="1079"/>
      <c r="P322" s="1079"/>
      <c r="Q322" s="1080"/>
      <c r="R322" s="1080"/>
      <c r="S322" s="1079"/>
      <c r="T322" s="1080"/>
      <c r="U322" s="1080"/>
      <c r="V322" s="1079"/>
      <c r="W322" s="1080"/>
      <c r="X322" s="1080"/>
    </row>
    <row r="323" spans="1:24" ht="15" customHeight="1" hidden="1">
      <c r="A323" s="1083">
        <v>5</v>
      </c>
      <c r="B323" s="1084" t="s">
        <v>615</v>
      </c>
      <c r="C323" s="1085" t="s">
        <v>616</v>
      </c>
      <c r="D323" s="1086" t="s">
        <v>617</v>
      </c>
      <c r="E323" s="1083" t="s">
        <v>479</v>
      </c>
      <c r="F323" s="1087" t="s">
        <v>618</v>
      </c>
      <c r="G323" s="1087" t="s">
        <v>607</v>
      </c>
      <c r="H323" s="443" t="s">
        <v>55</v>
      </c>
      <c r="I323" s="443" t="s">
        <v>55</v>
      </c>
      <c r="J323" s="1081" t="s">
        <v>20</v>
      </c>
      <c r="K323" s="1079">
        <f>L323+O323</f>
        <v>222279</v>
      </c>
      <c r="L323" s="1079">
        <f>M323+N323</f>
        <v>0</v>
      </c>
      <c r="M323" s="1080">
        <v>0</v>
      </c>
      <c r="N323" s="1080">
        <v>0</v>
      </c>
      <c r="O323" s="1079">
        <f>P323+S323+V323</f>
        <v>222279</v>
      </c>
      <c r="P323" s="1079">
        <f>Q323+R323</f>
        <v>222279</v>
      </c>
      <c r="Q323" s="1080">
        <v>0</v>
      </c>
      <c r="R323" s="1080">
        <v>222279</v>
      </c>
      <c r="S323" s="1079">
        <f>T323+U323</f>
        <v>0</v>
      </c>
      <c r="T323" s="1080">
        <v>0</v>
      </c>
      <c r="U323" s="1080">
        <v>0</v>
      </c>
      <c r="V323" s="1079">
        <f>W323+X323</f>
        <v>0</v>
      </c>
      <c r="W323" s="1080">
        <v>0</v>
      </c>
      <c r="X323" s="1080">
        <v>0</v>
      </c>
    </row>
    <row r="324" spans="1:24" ht="15" customHeight="1" hidden="1">
      <c r="A324" s="1083"/>
      <c r="B324" s="1084"/>
      <c r="C324" s="1085"/>
      <c r="D324" s="1086"/>
      <c r="E324" s="1083"/>
      <c r="F324" s="1087"/>
      <c r="G324" s="1087"/>
      <c r="H324" s="443" t="s">
        <v>55</v>
      </c>
      <c r="I324" s="443" t="s">
        <v>55</v>
      </c>
      <c r="J324" s="1082"/>
      <c r="K324" s="1079"/>
      <c r="L324" s="1079"/>
      <c r="M324" s="1080"/>
      <c r="N324" s="1080"/>
      <c r="O324" s="1079"/>
      <c r="P324" s="1079"/>
      <c r="Q324" s="1080"/>
      <c r="R324" s="1080"/>
      <c r="S324" s="1079"/>
      <c r="T324" s="1080"/>
      <c r="U324" s="1080"/>
      <c r="V324" s="1079"/>
      <c r="W324" s="1080"/>
      <c r="X324" s="1080"/>
    </row>
    <row r="325" spans="1:24" ht="15" customHeight="1" hidden="1">
      <c r="A325" s="1083"/>
      <c r="B325" s="1084"/>
      <c r="C325" s="1085"/>
      <c r="D325" s="1086"/>
      <c r="E325" s="1083"/>
      <c r="F325" s="1087"/>
      <c r="G325" s="1087"/>
      <c r="H325" s="443" t="s">
        <v>55</v>
      </c>
      <c r="I325" s="443" t="s">
        <v>55</v>
      </c>
      <c r="J325" s="443" t="s">
        <v>21</v>
      </c>
      <c r="K325" s="445">
        <f>L325+O325</f>
        <v>0</v>
      </c>
      <c r="L325" s="445">
        <f>M325+N325</f>
        <v>0</v>
      </c>
      <c r="M325" s="446">
        <v>0</v>
      </c>
      <c r="N325" s="446">
        <v>0</v>
      </c>
      <c r="O325" s="445">
        <f>P325+S325+V325</f>
        <v>0</v>
      </c>
      <c r="P325" s="445">
        <f>Q325+R325</f>
        <v>0</v>
      </c>
      <c r="Q325" s="446">
        <v>0</v>
      </c>
      <c r="R325" s="446">
        <v>0</v>
      </c>
      <c r="S325" s="445">
        <f>T325+U325</f>
        <v>0</v>
      </c>
      <c r="T325" s="446">
        <v>0</v>
      </c>
      <c r="U325" s="446">
        <v>0</v>
      </c>
      <c r="V325" s="445">
        <f>W325+X325</f>
        <v>0</v>
      </c>
      <c r="W325" s="446">
        <v>0</v>
      </c>
      <c r="X325" s="446">
        <v>0</v>
      </c>
    </row>
    <row r="326" spans="1:24" ht="15" customHeight="1" hidden="1">
      <c r="A326" s="1083"/>
      <c r="B326" s="1084"/>
      <c r="C326" s="1085"/>
      <c r="D326" s="1086"/>
      <c r="E326" s="1083"/>
      <c r="F326" s="1087"/>
      <c r="G326" s="1087"/>
      <c r="H326" s="443" t="s">
        <v>55</v>
      </c>
      <c r="I326" s="443" t="s">
        <v>55</v>
      </c>
      <c r="J326" s="1081" t="s">
        <v>22</v>
      </c>
      <c r="K326" s="1079">
        <f aca="true" t="shared" si="66" ref="K326:X326">K323+K325</f>
        <v>222279</v>
      </c>
      <c r="L326" s="1079">
        <f t="shared" si="66"/>
        <v>0</v>
      </c>
      <c r="M326" s="1080">
        <f t="shared" si="66"/>
        <v>0</v>
      </c>
      <c r="N326" s="1080">
        <f t="shared" si="66"/>
        <v>0</v>
      </c>
      <c r="O326" s="1079">
        <f t="shared" si="66"/>
        <v>222279</v>
      </c>
      <c r="P326" s="1079">
        <f t="shared" si="66"/>
        <v>222279</v>
      </c>
      <c r="Q326" s="1080">
        <f t="shared" si="66"/>
        <v>0</v>
      </c>
      <c r="R326" s="1080">
        <f t="shared" si="66"/>
        <v>222279</v>
      </c>
      <c r="S326" s="1079">
        <f t="shared" si="66"/>
        <v>0</v>
      </c>
      <c r="T326" s="1080">
        <f t="shared" si="66"/>
        <v>0</v>
      </c>
      <c r="U326" s="1080">
        <f t="shared" si="66"/>
        <v>0</v>
      </c>
      <c r="V326" s="1079">
        <f t="shared" si="66"/>
        <v>0</v>
      </c>
      <c r="W326" s="1080">
        <f t="shared" si="66"/>
        <v>0</v>
      </c>
      <c r="X326" s="1080">
        <f t="shared" si="66"/>
        <v>0</v>
      </c>
    </row>
    <row r="327" spans="1:24" ht="15" customHeight="1" hidden="1">
      <c r="A327" s="1083"/>
      <c r="B327" s="1084"/>
      <c r="C327" s="1085"/>
      <c r="D327" s="1086"/>
      <c r="E327" s="1083"/>
      <c r="F327" s="1087"/>
      <c r="G327" s="1087"/>
      <c r="H327" s="443" t="s">
        <v>55</v>
      </c>
      <c r="I327" s="443" t="s">
        <v>55</v>
      </c>
      <c r="J327" s="1082"/>
      <c r="K327" s="1079"/>
      <c r="L327" s="1079"/>
      <c r="M327" s="1080"/>
      <c r="N327" s="1080"/>
      <c r="O327" s="1079"/>
      <c r="P327" s="1079"/>
      <c r="Q327" s="1080"/>
      <c r="R327" s="1080"/>
      <c r="S327" s="1079"/>
      <c r="T327" s="1080"/>
      <c r="U327" s="1080"/>
      <c r="V327" s="1079"/>
      <c r="W327" s="1080"/>
      <c r="X327" s="1080"/>
    </row>
    <row r="328" spans="1:24" ht="15" customHeight="1" hidden="1">
      <c r="A328" s="1083">
        <v>6</v>
      </c>
      <c r="B328" s="1084" t="s">
        <v>619</v>
      </c>
      <c r="C328" s="1083">
        <v>102</v>
      </c>
      <c r="D328" s="1086" t="s">
        <v>620</v>
      </c>
      <c r="E328" s="1083" t="s">
        <v>600</v>
      </c>
      <c r="F328" s="1088" t="s">
        <v>621</v>
      </c>
      <c r="G328" s="1087" t="s">
        <v>607</v>
      </c>
      <c r="H328" s="443" t="s">
        <v>55</v>
      </c>
      <c r="I328" s="443" t="s">
        <v>55</v>
      </c>
      <c r="J328" s="1081" t="s">
        <v>20</v>
      </c>
      <c r="K328" s="1079">
        <f>L328+O328</f>
        <v>1856522</v>
      </c>
      <c r="L328" s="1079">
        <f>M328+N328</f>
        <v>0</v>
      </c>
      <c r="M328" s="1080">
        <v>0</v>
      </c>
      <c r="N328" s="1080">
        <v>0</v>
      </c>
      <c r="O328" s="1079">
        <f>P328+S328+V328</f>
        <v>1856522</v>
      </c>
      <c r="P328" s="1079">
        <f>Q328+R328</f>
        <v>1856522</v>
      </c>
      <c r="Q328" s="1080">
        <v>1856522</v>
      </c>
      <c r="R328" s="1080">
        <v>0</v>
      </c>
      <c r="S328" s="1079">
        <f>T328+U328</f>
        <v>0</v>
      </c>
      <c r="T328" s="1080">
        <v>0</v>
      </c>
      <c r="U328" s="1080">
        <v>0</v>
      </c>
      <c r="V328" s="1079">
        <f>W328+X328</f>
        <v>0</v>
      </c>
      <c r="W328" s="1080">
        <v>0</v>
      </c>
      <c r="X328" s="1080">
        <v>0</v>
      </c>
    </row>
    <row r="329" spans="1:24" ht="15" customHeight="1" hidden="1">
      <c r="A329" s="1083"/>
      <c r="B329" s="1084"/>
      <c r="C329" s="1083"/>
      <c r="D329" s="1086"/>
      <c r="E329" s="1083"/>
      <c r="F329" s="1089"/>
      <c r="G329" s="1087"/>
      <c r="H329" s="443" t="s">
        <v>55</v>
      </c>
      <c r="I329" s="443" t="s">
        <v>55</v>
      </c>
      <c r="J329" s="1082"/>
      <c r="K329" s="1079"/>
      <c r="L329" s="1079"/>
      <c r="M329" s="1080"/>
      <c r="N329" s="1080"/>
      <c r="O329" s="1079"/>
      <c r="P329" s="1079"/>
      <c r="Q329" s="1080"/>
      <c r="R329" s="1080"/>
      <c r="S329" s="1079"/>
      <c r="T329" s="1080"/>
      <c r="U329" s="1080"/>
      <c r="V329" s="1079"/>
      <c r="W329" s="1080"/>
      <c r="X329" s="1080"/>
    </row>
    <row r="330" spans="1:24" ht="15" customHeight="1" hidden="1">
      <c r="A330" s="1083"/>
      <c r="B330" s="1084"/>
      <c r="C330" s="1083"/>
      <c r="D330" s="1086"/>
      <c r="E330" s="1083"/>
      <c r="F330" s="1089"/>
      <c r="G330" s="1087"/>
      <c r="H330" s="443" t="s">
        <v>55</v>
      </c>
      <c r="I330" s="443" t="s">
        <v>55</v>
      </c>
      <c r="J330" s="443" t="s">
        <v>21</v>
      </c>
      <c r="K330" s="445">
        <f>L330+O330</f>
        <v>0</v>
      </c>
      <c r="L330" s="445">
        <f>M330+N330</f>
        <v>0</v>
      </c>
      <c r="M330" s="446">
        <v>0</v>
      </c>
      <c r="N330" s="446">
        <v>0</v>
      </c>
      <c r="O330" s="445">
        <f>P330+S330+V330</f>
        <v>0</v>
      </c>
      <c r="P330" s="445">
        <f>Q330+R330</f>
        <v>0</v>
      </c>
      <c r="Q330" s="446">
        <v>0</v>
      </c>
      <c r="R330" s="446">
        <v>0</v>
      </c>
      <c r="S330" s="445">
        <f>T330+U330</f>
        <v>0</v>
      </c>
      <c r="T330" s="446">
        <v>0</v>
      </c>
      <c r="U330" s="446">
        <v>0</v>
      </c>
      <c r="V330" s="445">
        <f>W330+X330</f>
        <v>0</v>
      </c>
      <c r="W330" s="446">
        <v>0</v>
      </c>
      <c r="X330" s="446">
        <v>0</v>
      </c>
    </row>
    <row r="331" spans="1:24" ht="15" customHeight="1" hidden="1">
      <c r="A331" s="1083"/>
      <c r="B331" s="1084"/>
      <c r="C331" s="1083"/>
      <c r="D331" s="1086"/>
      <c r="E331" s="1083"/>
      <c r="F331" s="1089"/>
      <c r="G331" s="1087"/>
      <c r="H331" s="443" t="s">
        <v>55</v>
      </c>
      <c r="I331" s="443" t="s">
        <v>55</v>
      </c>
      <c r="J331" s="1081" t="s">
        <v>22</v>
      </c>
      <c r="K331" s="1079">
        <f aca="true" t="shared" si="67" ref="K331:X331">K328+K330</f>
        <v>1856522</v>
      </c>
      <c r="L331" s="1079">
        <f t="shared" si="67"/>
        <v>0</v>
      </c>
      <c r="M331" s="1080">
        <f t="shared" si="67"/>
        <v>0</v>
      </c>
      <c r="N331" s="1080">
        <f t="shared" si="67"/>
        <v>0</v>
      </c>
      <c r="O331" s="1079">
        <f t="shared" si="67"/>
        <v>1856522</v>
      </c>
      <c r="P331" s="1079">
        <f t="shared" si="67"/>
        <v>1856522</v>
      </c>
      <c r="Q331" s="1080">
        <f t="shared" si="67"/>
        <v>1856522</v>
      </c>
      <c r="R331" s="1080">
        <f t="shared" si="67"/>
        <v>0</v>
      </c>
      <c r="S331" s="1079">
        <f t="shared" si="67"/>
        <v>0</v>
      </c>
      <c r="T331" s="1080">
        <f t="shared" si="67"/>
        <v>0</v>
      </c>
      <c r="U331" s="1080">
        <f t="shared" si="67"/>
        <v>0</v>
      </c>
      <c r="V331" s="1079">
        <f t="shared" si="67"/>
        <v>0</v>
      </c>
      <c r="W331" s="1080">
        <f t="shared" si="67"/>
        <v>0</v>
      </c>
      <c r="X331" s="1080">
        <f t="shared" si="67"/>
        <v>0</v>
      </c>
    </row>
    <row r="332" spans="1:24" ht="15" customHeight="1" hidden="1">
      <c r="A332" s="1083"/>
      <c r="B332" s="1084"/>
      <c r="C332" s="1083"/>
      <c r="D332" s="1086"/>
      <c r="E332" s="1083"/>
      <c r="F332" s="1090"/>
      <c r="G332" s="1087"/>
      <c r="H332" s="443" t="s">
        <v>55</v>
      </c>
      <c r="I332" s="443" t="s">
        <v>55</v>
      </c>
      <c r="J332" s="1082"/>
      <c r="K332" s="1079"/>
      <c r="L332" s="1079"/>
      <c r="M332" s="1080"/>
      <c r="N332" s="1080"/>
      <c r="O332" s="1079"/>
      <c r="P332" s="1079"/>
      <c r="Q332" s="1080"/>
      <c r="R332" s="1080"/>
      <c r="S332" s="1079"/>
      <c r="T332" s="1080"/>
      <c r="U332" s="1080"/>
      <c r="V332" s="1079"/>
      <c r="W332" s="1080"/>
      <c r="X332" s="1080"/>
    </row>
    <row r="333" spans="1:24" ht="15" customHeight="1" hidden="1">
      <c r="A333" s="1083">
        <v>7</v>
      </c>
      <c r="B333" s="1084" t="s">
        <v>622</v>
      </c>
      <c r="C333" s="1085" t="s">
        <v>623</v>
      </c>
      <c r="D333" s="1086" t="s">
        <v>624</v>
      </c>
      <c r="E333" s="1083" t="s">
        <v>600</v>
      </c>
      <c r="F333" s="1088" t="s">
        <v>621</v>
      </c>
      <c r="G333" s="1087" t="s">
        <v>607</v>
      </c>
      <c r="H333" s="443" t="s">
        <v>55</v>
      </c>
      <c r="I333" s="443" t="s">
        <v>55</v>
      </c>
      <c r="J333" s="1081" t="s">
        <v>20</v>
      </c>
      <c r="K333" s="1079">
        <f>L333+O333</f>
        <v>187668</v>
      </c>
      <c r="L333" s="1079">
        <f>M333+N333</f>
        <v>0</v>
      </c>
      <c r="M333" s="1080">
        <v>0</v>
      </c>
      <c r="N333" s="1080">
        <v>0</v>
      </c>
      <c r="O333" s="1079">
        <f>P333+S333+V333</f>
        <v>187668</v>
      </c>
      <c r="P333" s="1079">
        <f>Q333+R333</f>
        <v>187668</v>
      </c>
      <c r="Q333" s="1080">
        <v>187668</v>
      </c>
      <c r="R333" s="1080">
        <v>0</v>
      </c>
      <c r="S333" s="1079">
        <f>T333+U333</f>
        <v>0</v>
      </c>
      <c r="T333" s="1080">
        <v>0</v>
      </c>
      <c r="U333" s="1080">
        <v>0</v>
      </c>
      <c r="V333" s="1079">
        <f>W333+X333</f>
        <v>0</v>
      </c>
      <c r="W333" s="1080">
        <v>0</v>
      </c>
      <c r="X333" s="1080">
        <v>0</v>
      </c>
    </row>
    <row r="334" spans="1:24" ht="15" customHeight="1" hidden="1">
      <c r="A334" s="1083"/>
      <c r="B334" s="1084"/>
      <c r="C334" s="1085"/>
      <c r="D334" s="1086"/>
      <c r="E334" s="1083"/>
      <c r="F334" s="1089"/>
      <c r="G334" s="1087"/>
      <c r="H334" s="443" t="s">
        <v>55</v>
      </c>
      <c r="I334" s="443" t="s">
        <v>55</v>
      </c>
      <c r="J334" s="1082"/>
      <c r="K334" s="1079"/>
      <c r="L334" s="1079"/>
      <c r="M334" s="1080"/>
      <c r="N334" s="1080"/>
      <c r="O334" s="1079"/>
      <c r="P334" s="1079"/>
      <c r="Q334" s="1080"/>
      <c r="R334" s="1080"/>
      <c r="S334" s="1079"/>
      <c r="T334" s="1080"/>
      <c r="U334" s="1080"/>
      <c r="V334" s="1079"/>
      <c r="W334" s="1080"/>
      <c r="X334" s="1080"/>
    </row>
    <row r="335" spans="1:24" ht="15" customHeight="1" hidden="1">
      <c r="A335" s="1083"/>
      <c r="B335" s="1084"/>
      <c r="C335" s="1085"/>
      <c r="D335" s="1086"/>
      <c r="E335" s="1083"/>
      <c r="F335" s="1089"/>
      <c r="G335" s="1087"/>
      <c r="H335" s="443" t="s">
        <v>55</v>
      </c>
      <c r="I335" s="443" t="s">
        <v>55</v>
      </c>
      <c r="J335" s="443" t="s">
        <v>21</v>
      </c>
      <c r="K335" s="445">
        <f>L335+O335</f>
        <v>0</v>
      </c>
      <c r="L335" s="445">
        <f>M335+N335</f>
        <v>0</v>
      </c>
      <c r="M335" s="446">
        <v>0</v>
      </c>
      <c r="N335" s="446">
        <v>0</v>
      </c>
      <c r="O335" s="445">
        <f>P335+S335+V335</f>
        <v>0</v>
      </c>
      <c r="P335" s="445">
        <f>Q335+R335</f>
        <v>0</v>
      </c>
      <c r="Q335" s="446">
        <v>0</v>
      </c>
      <c r="R335" s="446">
        <v>0</v>
      </c>
      <c r="S335" s="445">
        <f>T335+U335</f>
        <v>0</v>
      </c>
      <c r="T335" s="446">
        <v>0</v>
      </c>
      <c r="U335" s="446">
        <v>0</v>
      </c>
      <c r="V335" s="445">
        <f>W335+X335</f>
        <v>0</v>
      </c>
      <c r="W335" s="446">
        <v>0</v>
      </c>
      <c r="X335" s="446">
        <v>0</v>
      </c>
    </row>
    <row r="336" spans="1:24" ht="15" customHeight="1" hidden="1">
      <c r="A336" s="1083"/>
      <c r="B336" s="1084"/>
      <c r="C336" s="1085"/>
      <c r="D336" s="1086"/>
      <c r="E336" s="1083"/>
      <c r="F336" s="1089"/>
      <c r="G336" s="1087"/>
      <c r="H336" s="443" t="s">
        <v>55</v>
      </c>
      <c r="I336" s="443" t="s">
        <v>55</v>
      </c>
      <c r="J336" s="1081" t="s">
        <v>22</v>
      </c>
      <c r="K336" s="1079">
        <f aca="true" t="shared" si="68" ref="K336:X336">K333+K335</f>
        <v>187668</v>
      </c>
      <c r="L336" s="1079">
        <f t="shared" si="68"/>
        <v>0</v>
      </c>
      <c r="M336" s="1080">
        <f t="shared" si="68"/>
        <v>0</v>
      </c>
      <c r="N336" s="1080">
        <f t="shared" si="68"/>
        <v>0</v>
      </c>
      <c r="O336" s="1079">
        <f t="shared" si="68"/>
        <v>187668</v>
      </c>
      <c r="P336" s="1079">
        <f t="shared" si="68"/>
        <v>187668</v>
      </c>
      <c r="Q336" s="1080">
        <f t="shared" si="68"/>
        <v>187668</v>
      </c>
      <c r="R336" s="1080">
        <f t="shared" si="68"/>
        <v>0</v>
      </c>
      <c r="S336" s="1079">
        <f t="shared" si="68"/>
        <v>0</v>
      </c>
      <c r="T336" s="1080">
        <f t="shared" si="68"/>
        <v>0</v>
      </c>
      <c r="U336" s="1080">
        <f t="shared" si="68"/>
        <v>0</v>
      </c>
      <c r="V336" s="1079">
        <f t="shared" si="68"/>
        <v>0</v>
      </c>
      <c r="W336" s="1080">
        <f t="shared" si="68"/>
        <v>0</v>
      </c>
      <c r="X336" s="1080">
        <f t="shared" si="68"/>
        <v>0</v>
      </c>
    </row>
    <row r="337" spans="1:24" ht="15" customHeight="1" hidden="1">
      <c r="A337" s="1083"/>
      <c r="B337" s="1084"/>
      <c r="C337" s="1085"/>
      <c r="D337" s="1086"/>
      <c r="E337" s="1083"/>
      <c r="F337" s="1090"/>
      <c r="G337" s="1087"/>
      <c r="H337" s="443" t="s">
        <v>55</v>
      </c>
      <c r="I337" s="443" t="s">
        <v>55</v>
      </c>
      <c r="J337" s="1082"/>
      <c r="K337" s="1079"/>
      <c r="L337" s="1079"/>
      <c r="M337" s="1080"/>
      <c r="N337" s="1080"/>
      <c r="O337" s="1079"/>
      <c r="P337" s="1079"/>
      <c r="Q337" s="1080"/>
      <c r="R337" s="1080"/>
      <c r="S337" s="1079"/>
      <c r="T337" s="1080"/>
      <c r="U337" s="1080"/>
      <c r="V337" s="1079"/>
      <c r="W337" s="1080"/>
      <c r="X337" s="1080"/>
    </row>
    <row r="338" spans="1:24" ht="13.5" customHeight="1" hidden="1">
      <c r="A338" s="1083">
        <v>8</v>
      </c>
      <c r="B338" s="1084" t="s">
        <v>625</v>
      </c>
      <c r="C338" s="1085" t="s">
        <v>626</v>
      </c>
      <c r="D338" s="1086" t="s">
        <v>627</v>
      </c>
      <c r="E338" s="1083" t="s">
        <v>479</v>
      </c>
      <c r="F338" s="1088" t="s">
        <v>593</v>
      </c>
      <c r="G338" s="1087" t="s">
        <v>607</v>
      </c>
      <c r="H338" s="443" t="s">
        <v>55</v>
      </c>
      <c r="I338" s="443" t="s">
        <v>55</v>
      </c>
      <c r="J338" s="1081" t="s">
        <v>20</v>
      </c>
      <c r="K338" s="1079">
        <f>L338+O338</f>
        <v>466000</v>
      </c>
      <c r="L338" s="1079">
        <f>M338+N338</f>
        <v>0</v>
      </c>
      <c r="M338" s="1080">
        <v>0</v>
      </c>
      <c r="N338" s="1080">
        <v>0</v>
      </c>
      <c r="O338" s="1079">
        <f>P338+S338+V338</f>
        <v>466000</v>
      </c>
      <c r="P338" s="1079">
        <f>Q338+R338</f>
        <v>466000</v>
      </c>
      <c r="Q338" s="1080">
        <v>425000</v>
      </c>
      <c r="R338" s="1080">
        <v>41000</v>
      </c>
      <c r="S338" s="1079">
        <f>T338+U338</f>
        <v>0</v>
      </c>
      <c r="T338" s="1080">
        <v>0</v>
      </c>
      <c r="U338" s="1080">
        <v>0</v>
      </c>
      <c r="V338" s="1079">
        <f>W338+X338</f>
        <v>0</v>
      </c>
      <c r="W338" s="1080">
        <v>0</v>
      </c>
      <c r="X338" s="1080">
        <v>0</v>
      </c>
    </row>
    <row r="339" spans="1:24" ht="13.5" customHeight="1" hidden="1">
      <c r="A339" s="1083"/>
      <c r="B339" s="1084"/>
      <c r="C339" s="1085"/>
      <c r="D339" s="1086"/>
      <c r="E339" s="1083"/>
      <c r="F339" s="1089"/>
      <c r="G339" s="1087"/>
      <c r="H339" s="443" t="s">
        <v>55</v>
      </c>
      <c r="I339" s="443" t="s">
        <v>55</v>
      </c>
      <c r="J339" s="1082"/>
      <c r="K339" s="1079"/>
      <c r="L339" s="1079"/>
      <c r="M339" s="1080"/>
      <c r="N339" s="1080"/>
      <c r="O339" s="1079"/>
      <c r="P339" s="1079"/>
      <c r="Q339" s="1080"/>
      <c r="R339" s="1080"/>
      <c r="S339" s="1079"/>
      <c r="T339" s="1080"/>
      <c r="U339" s="1080"/>
      <c r="V339" s="1079"/>
      <c r="W339" s="1080"/>
      <c r="X339" s="1080"/>
    </row>
    <row r="340" spans="1:24" ht="13.5" customHeight="1" hidden="1">
      <c r="A340" s="1083"/>
      <c r="B340" s="1084"/>
      <c r="C340" s="1085"/>
      <c r="D340" s="1086"/>
      <c r="E340" s="1083"/>
      <c r="F340" s="1089"/>
      <c r="G340" s="1087"/>
      <c r="H340" s="443" t="s">
        <v>55</v>
      </c>
      <c r="I340" s="443" t="s">
        <v>55</v>
      </c>
      <c r="J340" s="443" t="s">
        <v>21</v>
      </c>
      <c r="K340" s="445">
        <f>L340+O340</f>
        <v>0</v>
      </c>
      <c r="L340" s="445">
        <f>M340+N340</f>
        <v>0</v>
      </c>
      <c r="M340" s="446">
        <v>0</v>
      </c>
      <c r="N340" s="446">
        <v>0</v>
      </c>
      <c r="O340" s="445">
        <f>P340+S340+V340</f>
        <v>0</v>
      </c>
      <c r="P340" s="445">
        <f>Q340+R340</f>
        <v>0</v>
      </c>
      <c r="Q340" s="446">
        <v>0</v>
      </c>
      <c r="R340" s="446">
        <v>0</v>
      </c>
      <c r="S340" s="445">
        <f>T340+U340</f>
        <v>0</v>
      </c>
      <c r="T340" s="446">
        <v>0</v>
      </c>
      <c r="U340" s="446">
        <v>0</v>
      </c>
      <c r="V340" s="445">
        <f>W340+X340</f>
        <v>0</v>
      </c>
      <c r="W340" s="446">
        <v>0</v>
      </c>
      <c r="X340" s="446">
        <v>0</v>
      </c>
    </row>
    <row r="341" spans="1:24" ht="13.5" customHeight="1" hidden="1">
      <c r="A341" s="1083"/>
      <c r="B341" s="1084"/>
      <c r="C341" s="1085"/>
      <c r="D341" s="1086"/>
      <c r="E341" s="1083"/>
      <c r="F341" s="1089"/>
      <c r="G341" s="1087"/>
      <c r="H341" s="443" t="s">
        <v>55</v>
      </c>
      <c r="I341" s="443" t="s">
        <v>55</v>
      </c>
      <c r="J341" s="1081" t="s">
        <v>22</v>
      </c>
      <c r="K341" s="1079">
        <f aca="true" t="shared" si="69" ref="K341:X341">K338+K340</f>
        <v>466000</v>
      </c>
      <c r="L341" s="1079">
        <f t="shared" si="69"/>
        <v>0</v>
      </c>
      <c r="M341" s="1080">
        <f t="shared" si="69"/>
        <v>0</v>
      </c>
      <c r="N341" s="1080">
        <f t="shared" si="69"/>
        <v>0</v>
      </c>
      <c r="O341" s="1079">
        <f t="shared" si="69"/>
        <v>466000</v>
      </c>
      <c r="P341" s="1079">
        <f t="shared" si="69"/>
        <v>466000</v>
      </c>
      <c r="Q341" s="1080">
        <f t="shared" si="69"/>
        <v>425000</v>
      </c>
      <c r="R341" s="1080">
        <f t="shared" si="69"/>
        <v>41000</v>
      </c>
      <c r="S341" s="1079">
        <f t="shared" si="69"/>
        <v>0</v>
      </c>
      <c r="T341" s="1080">
        <f t="shared" si="69"/>
        <v>0</v>
      </c>
      <c r="U341" s="1080">
        <f t="shared" si="69"/>
        <v>0</v>
      </c>
      <c r="V341" s="1079">
        <f t="shared" si="69"/>
        <v>0</v>
      </c>
      <c r="W341" s="1080">
        <f t="shared" si="69"/>
        <v>0</v>
      </c>
      <c r="X341" s="1080">
        <f t="shared" si="69"/>
        <v>0</v>
      </c>
    </row>
    <row r="342" spans="1:24" ht="13.5" customHeight="1" hidden="1">
      <c r="A342" s="1083"/>
      <c r="B342" s="1084"/>
      <c r="C342" s="1085"/>
      <c r="D342" s="1086"/>
      <c r="E342" s="1083"/>
      <c r="F342" s="1090"/>
      <c r="G342" s="1087"/>
      <c r="H342" s="443" t="s">
        <v>55</v>
      </c>
      <c r="I342" s="443" t="s">
        <v>55</v>
      </c>
      <c r="J342" s="1082"/>
      <c r="K342" s="1079"/>
      <c r="L342" s="1079"/>
      <c r="M342" s="1080"/>
      <c r="N342" s="1080"/>
      <c r="O342" s="1079"/>
      <c r="P342" s="1079"/>
      <c r="Q342" s="1080"/>
      <c r="R342" s="1080"/>
      <c r="S342" s="1079"/>
      <c r="T342" s="1080"/>
      <c r="U342" s="1080"/>
      <c r="V342" s="1079"/>
      <c r="W342" s="1080"/>
      <c r="X342" s="1080"/>
    </row>
    <row r="343" spans="1:24" ht="13.5" customHeight="1" hidden="1">
      <c r="A343" s="1083">
        <v>9</v>
      </c>
      <c r="B343" s="1084" t="s">
        <v>628</v>
      </c>
      <c r="C343" s="1085" t="s">
        <v>629</v>
      </c>
      <c r="D343" s="1086" t="s">
        <v>630</v>
      </c>
      <c r="E343" s="1083" t="s">
        <v>479</v>
      </c>
      <c r="F343" s="1088" t="s">
        <v>569</v>
      </c>
      <c r="G343" s="1087" t="s">
        <v>607</v>
      </c>
      <c r="H343" s="443" t="s">
        <v>55</v>
      </c>
      <c r="I343" s="443" t="s">
        <v>55</v>
      </c>
      <c r="J343" s="1081" t="s">
        <v>20</v>
      </c>
      <c r="K343" s="1079">
        <f>L343+O343</f>
        <v>400000</v>
      </c>
      <c r="L343" s="1079">
        <f>M343+N343</f>
        <v>0</v>
      </c>
      <c r="M343" s="1080">
        <v>0</v>
      </c>
      <c r="N343" s="1080">
        <v>0</v>
      </c>
      <c r="O343" s="1079">
        <f>P343+S343+V343</f>
        <v>400000</v>
      </c>
      <c r="P343" s="1079">
        <f>Q343+R343</f>
        <v>400000</v>
      </c>
      <c r="Q343" s="1080">
        <v>400000</v>
      </c>
      <c r="R343" s="1080">
        <v>0</v>
      </c>
      <c r="S343" s="1079">
        <f>T343+U343</f>
        <v>0</v>
      </c>
      <c r="T343" s="1080">
        <v>0</v>
      </c>
      <c r="U343" s="1080">
        <v>0</v>
      </c>
      <c r="V343" s="1079">
        <f>W343+X343</f>
        <v>0</v>
      </c>
      <c r="W343" s="1080">
        <v>0</v>
      </c>
      <c r="X343" s="1080">
        <v>0</v>
      </c>
    </row>
    <row r="344" spans="1:24" ht="13.5" customHeight="1" hidden="1">
      <c r="A344" s="1083"/>
      <c r="B344" s="1084"/>
      <c r="C344" s="1085"/>
      <c r="D344" s="1086"/>
      <c r="E344" s="1083"/>
      <c r="F344" s="1089"/>
      <c r="G344" s="1087"/>
      <c r="H344" s="443" t="s">
        <v>55</v>
      </c>
      <c r="I344" s="443" t="s">
        <v>55</v>
      </c>
      <c r="J344" s="1082"/>
      <c r="K344" s="1079"/>
      <c r="L344" s="1079"/>
      <c r="M344" s="1080"/>
      <c r="N344" s="1080"/>
      <c r="O344" s="1079"/>
      <c r="P344" s="1079"/>
      <c r="Q344" s="1080"/>
      <c r="R344" s="1080"/>
      <c r="S344" s="1079"/>
      <c r="T344" s="1080"/>
      <c r="U344" s="1080"/>
      <c r="V344" s="1079"/>
      <c r="W344" s="1080"/>
      <c r="X344" s="1080"/>
    </row>
    <row r="345" spans="1:24" ht="13.5" customHeight="1" hidden="1">
      <c r="A345" s="1083"/>
      <c r="B345" s="1084"/>
      <c r="C345" s="1085"/>
      <c r="D345" s="1086"/>
      <c r="E345" s="1083"/>
      <c r="F345" s="1089"/>
      <c r="G345" s="1087"/>
      <c r="H345" s="443" t="s">
        <v>55</v>
      </c>
      <c r="I345" s="443" t="s">
        <v>55</v>
      </c>
      <c r="J345" s="443" t="s">
        <v>21</v>
      </c>
      <c r="K345" s="445">
        <f>L345+O345</f>
        <v>0</v>
      </c>
      <c r="L345" s="445">
        <f>M345+N345</f>
        <v>0</v>
      </c>
      <c r="M345" s="446">
        <v>0</v>
      </c>
      <c r="N345" s="446">
        <v>0</v>
      </c>
      <c r="O345" s="445">
        <f>P345+S345+V345</f>
        <v>0</v>
      </c>
      <c r="P345" s="445">
        <f>Q345+R345</f>
        <v>0</v>
      </c>
      <c r="Q345" s="446">
        <v>0</v>
      </c>
      <c r="R345" s="446">
        <v>0</v>
      </c>
      <c r="S345" s="445">
        <f>T345+U345</f>
        <v>0</v>
      </c>
      <c r="T345" s="446">
        <v>0</v>
      </c>
      <c r="U345" s="446">
        <v>0</v>
      </c>
      <c r="V345" s="445">
        <f>W345+X345</f>
        <v>0</v>
      </c>
      <c r="W345" s="446">
        <v>0</v>
      </c>
      <c r="X345" s="446">
        <v>0</v>
      </c>
    </row>
    <row r="346" spans="1:24" ht="13.5" customHeight="1" hidden="1">
      <c r="A346" s="1083"/>
      <c r="B346" s="1084"/>
      <c r="C346" s="1085"/>
      <c r="D346" s="1086"/>
      <c r="E346" s="1083"/>
      <c r="F346" s="1089"/>
      <c r="G346" s="1087"/>
      <c r="H346" s="443" t="s">
        <v>55</v>
      </c>
      <c r="I346" s="443" t="s">
        <v>55</v>
      </c>
      <c r="J346" s="1081" t="s">
        <v>22</v>
      </c>
      <c r="K346" s="1079">
        <f aca="true" t="shared" si="70" ref="K346:X346">K343+K345</f>
        <v>400000</v>
      </c>
      <c r="L346" s="1079">
        <f t="shared" si="70"/>
        <v>0</v>
      </c>
      <c r="M346" s="1080">
        <f t="shared" si="70"/>
        <v>0</v>
      </c>
      <c r="N346" s="1080">
        <f t="shared" si="70"/>
        <v>0</v>
      </c>
      <c r="O346" s="1079">
        <f t="shared" si="70"/>
        <v>400000</v>
      </c>
      <c r="P346" s="1079">
        <f t="shared" si="70"/>
        <v>400000</v>
      </c>
      <c r="Q346" s="1080">
        <f t="shared" si="70"/>
        <v>400000</v>
      </c>
      <c r="R346" s="1080">
        <f t="shared" si="70"/>
        <v>0</v>
      </c>
      <c r="S346" s="1079">
        <f t="shared" si="70"/>
        <v>0</v>
      </c>
      <c r="T346" s="1080">
        <f t="shared" si="70"/>
        <v>0</v>
      </c>
      <c r="U346" s="1080">
        <f t="shared" si="70"/>
        <v>0</v>
      </c>
      <c r="V346" s="1079">
        <f t="shared" si="70"/>
        <v>0</v>
      </c>
      <c r="W346" s="1080">
        <f t="shared" si="70"/>
        <v>0</v>
      </c>
      <c r="X346" s="1080">
        <f t="shared" si="70"/>
        <v>0</v>
      </c>
    </row>
    <row r="347" spans="1:24" ht="13.5" customHeight="1" hidden="1">
      <c r="A347" s="1083"/>
      <c r="B347" s="1084"/>
      <c r="C347" s="1085"/>
      <c r="D347" s="1086"/>
      <c r="E347" s="1083"/>
      <c r="F347" s="1090"/>
      <c r="G347" s="1087"/>
      <c r="H347" s="443" t="s">
        <v>55</v>
      </c>
      <c r="I347" s="443" t="s">
        <v>55</v>
      </c>
      <c r="J347" s="1082"/>
      <c r="K347" s="1079"/>
      <c r="L347" s="1079"/>
      <c r="M347" s="1080"/>
      <c r="N347" s="1080"/>
      <c r="O347" s="1079"/>
      <c r="P347" s="1079"/>
      <c r="Q347" s="1080"/>
      <c r="R347" s="1080"/>
      <c r="S347" s="1079"/>
      <c r="T347" s="1080"/>
      <c r="U347" s="1080"/>
      <c r="V347" s="1079"/>
      <c r="W347" s="1080"/>
      <c r="X347" s="1080"/>
    </row>
    <row r="348" spans="1:24" ht="13.5" customHeight="1" hidden="1">
      <c r="A348" s="1083">
        <v>10</v>
      </c>
      <c r="B348" s="1084" t="s">
        <v>631</v>
      </c>
      <c r="C348" s="1085" t="s">
        <v>632</v>
      </c>
      <c r="D348" s="1086" t="s">
        <v>633</v>
      </c>
      <c r="E348" s="1083" t="s">
        <v>600</v>
      </c>
      <c r="F348" s="1088" t="s">
        <v>621</v>
      </c>
      <c r="G348" s="1087" t="s">
        <v>607</v>
      </c>
      <c r="H348" s="443" t="s">
        <v>55</v>
      </c>
      <c r="I348" s="443" t="s">
        <v>55</v>
      </c>
      <c r="J348" s="1081" t="s">
        <v>20</v>
      </c>
      <c r="K348" s="1079">
        <f>L348+O348</f>
        <v>340579</v>
      </c>
      <c r="L348" s="1079">
        <f>M348+N348</f>
        <v>0</v>
      </c>
      <c r="M348" s="1080">
        <v>0</v>
      </c>
      <c r="N348" s="1080">
        <v>0</v>
      </c>
      <c r="O348" s="1079">
        <f>P348+S348+V348</f>
        <v>340579</v>
      </c>
      <c r="P348" s="1079">
        <f>Q348+R348</f>
        <v>340579</v>
      </c>
      <c r="Q348" s="1080">
        <v>340579</v>
      </c>
      <c r="R348" s="1080">
        <v>0</v>
      </c>
      <c r="S348" s="1079">
        <f>T348+U348</f>
        <v>0</v>
      </c>
      <c r="T348" s="1080">
        <v>0</v>
      </c>
      <c r="U348" s="1080">
        <v>0</v>
      </c>
      <c r="V348" s="1079">
        <f>W348+X348</f>
        <v>0</v>
      </c>
      <c r="W348" s="1080">
        <v>0</v>
      </c>
      <c r="X348" s="1080">
        <v>0</v>
      </c>
    </row>
    <row r="349" spans="1:24" ht="13.5" customHeight="1" hidden="1">
      <c r="A349" s="1083"/>
      <c r="B349" s="1084"/>
      <c r="C349" s="1085"/>
      <c r="D349" s="1086"/>
      <c r="E349" s="1083"/>
      <c r="F349" s="1089"/>
      <c r="G349" s="1087"/>
      <c r="H349" s="443" t="s">
        <v>55</v>
      </c>
      <c r="I349" s="443" t="s">
        <v>55</v>
      </c>
      <c r="J349" s="1082"/>
      <c r="K349" s="1079"/>
      <c r="L349" s="1079"/>
      <c r="M349" s="1080"/>
      <c r="N349" s="1080"/>
      <c r="O349" s="1079"/>
      <c r="P349" s="1079"/>
      <c r="Q349" s="1080"/>
      <c r="R349" s="1080"/>
      <c r="S349" s="1079"/>
      <c r="T349" s="1080"/>
      <c r="U349" s="1080"/>
      <c r="V349" s="1079"/>
      <c r="W349" s="1080"/>
      <c r="X349" s="1080"/>
    </row>
    <row r="350" spans="1:24" ht="13.5" customHeight="1" hidden="1">
      <c r="A350" s="1083"/>
      <c r="B350" s="1084"/>
      <c r="C350" s="1085"/>
      <c r="D350" s="1086"/>
      <c r="E350" s="1083"/>
      <c r="F350" s="1089"/>
      <c r="G350" s="1087"/>
      <c r="H350" s="443" t="s">
        <v>55</v>
      </c>
      <c r="I350" s="443" t="s">
        <v>55</v>
      </c>
      <c r="J350" s="443" t="s">
        <v>21</v>
      </c>
      <c r="K350" s="445">
        <f>L350+O350</f>
        <v>0</v>
      </c>
      <c r="L350" s="445">
        <f>M350+N350</f>
        <v>0</v>
      </c>
      <c r="M350" s="446">
        <v>0</v>
      </c>
      <c r="N350" s="446">
        <v>0</v>
      </c>
      <c r="O350" s="445">
        <f>P350+S350+V350</f>
        <v>0</v>
      </c>
      <c r="P350" s="445">
        <f>Q350+R350</f>
        <v>0</v>
      </c>
      <c r="Q350" s="446">
        <v>0</v>
      </c>
      <c r="R350" s="446">
        <v>0</v>
      </c>
      <c r="S350" s="445">
        <f>T350+U350</f>
        <v>0</v>
      </c>
      <c r="T350" s="446">
        <v>0</v>
      </c>
      <c r="U350" s="446">
        <v>0</v>
      </c>
      <c r="V350" s="445">
        <f>W350+X350</f>
        <v>0</v>
      </c>
      <c r="W350" s="446">
        <v>0</v>
      </c>
      <c r="X350" s="446">
        <v>0</v>
      </c>
    </row>
    <row r="351" spans="1:24" ht="13.5" customHeight="1" hidden="1">
      <c r="A351" s="1083"/>
      <c r="B351" s="1084"/>
      <c r="C351" s="1085"/>
      <c r="D351" s="1086"/>
      <c r="E351" s="1083"/>
      <c r="F351" s="1089"/>
      <c r="G351" s="1087"/>
      <c r="H351" s="443" t="s">
        <v>55</v>
      </c>
      <c r="I351" s="443" t="s">
        <v>55</v>
      </c>
      <c r="J351" s="1081" t="s">
        <v>22</v>
      </c>
      <c r="K351" s="1079">
        <f aca="true" t="shared" si="71" ref="K351:X351">K348+K350</f>
        <v>340579</v>
      </c>
      <c r="L351" s="1079">
        <f t="shared" si="71"/>
        <v>0</v>
      </c>
      <c r="M351" s="1080">
        <f t="shared" si="71"/>
        <v>0</v>
      </c>
      <c r="N351" s="1080">
        <f t="shared" si="71"/>
        <v>0</v>
      </c>
      <c r="O351" s="1079">
        <f t="shared" si="71"/>
        <v>340579</v>
      </c>
      <c r="P351" s="1079">
        <f t="shared" si="71"/>
        <v>340579</v>
      </c>
      <c r="Q351" s="1080">
        <f t="shared" si="71"/>
        <v>340579</v>
      </c>
      <c r="R351" s="1080">
        <f t="shared" si="71"/>
        <v>0</v>
      </c>
      <c r="S351" s="1079">
        <f t="shared" si="71"/>
        <v>0</v>
      </c>
      <c r="T351" s="1080">
        <f t="shared" si="71"/>
        <v>0</v>
      </c>
      <c r="U351" s="1080">
        <f t="shared" si="71"/>
        <v>0</v>
      </c>
      <c r="V351" s="1079">
        <f t="shared" si="71"/>
        <v>0</v>
      </c>
      <c r="W351" s="1080">
        <f t="shared" si="71"/>
        <v>0</v>
      </c>
      <c r="X351" s="1080">
        <f t="shared" si="71"/>
        <v>0</v>
      </c>
    </row>
    <row r="352" spans="1:24" ht="13.5" customHeight="1" hidden="1">
      <c r="A352" s="1083"/>
      <c r="B352" s="1084"/>
      <c r="C352" s="1085"/>
      <c r="D352" s="1086"/>
      <c r="E352" s="1083"/>
      <c r="F352" s="1090"/>
      <c r="G352" s="1087"/>
      <c r="H352" s="443" t="s">
        <v>55</v>
      </c>
      <c r="I352" s="443" t="s">
        <v>55</v>
      </c>
      <c r="J352" s="1082"/>
      <c r="K352" s="1079"/>
      <c r="L352" s="1079"/>
      <c r="M352" s="1080"/>
      <c r="N352" s="1080"/>
      <c r="O352" s="1079"/>
      <c r="P352" s="1079"/>
      <c r="Q352" s="1080"/>
      <c r="R352" s="1080"/>
      <c r="S352" s="1079"/>
      <c r="T352" s="1080"/>
      <c r="U352" s="1080"/>
      <c r="V352" s="1079"/>
      <c r="W352" s="1080"/>
      <c r="X352" s="1080"/>
    </row>
    <row r="353" spans="1:24" ht="13.5" customHeight="1" hidden="1">
      <c r="A353" s="1083">
        <v>11</v>
      </c>
      <c r="B353" s="1084" t="s">
        <v>565</v>
      </c>
      <c r="C353" s="1085" t="s">
        <v>566</v>
      </c>
      <c r="D353" s="1086" t="s">
        <v>634</v>
      </c>
      <c r="E353" s="1083" t="s">
        <v>479</v>
      </c>
      <c r="F353" s="1087" t="s">
        <v>635</v>
      </c>
      <c r="G353" s="1087" t="s">
        <v>607</v>
      </c>
      <c r="H353" s="443" t="s">
        <v>55</v>
      </c>
      <c r="I353" s="443" t="s">
        <v>55</v>
      </c>
      <c r="J353" s="1081" t="s">
        <v>20</v>
      </c>
      <c r="K353" s="1079">
        <f>L353+O353</f>
        <v>20000</v>
      </c>
      <c r="L353" s="1079">
        <f>M353+N353</f>
        <v>0</v>
      </c>
      <c r="M353" s="1080">
        <v>0</v>
      </c>
      <c r="N353" s="1080">
        <v>0</v>
      </c>
      <c r="O353" s="1079">
        <f>P353+S353+V353</f>
        <v>20000</v>
      </c>
      <c r="P353" s="1079">
        <f>Q353+R353</f>
        <v>20000</v>
      </c>
      <c r="Q353" s="1080">
        <v>15000</v>
      </c>
      <c r="R353" s="1080">
        <v>5000</v>
      </c>
      <c r="S353" s="1079">
        <f>T353+U353</f>
        <v>0</v>
      </c>
      <c r="T353" s="1080">
        <v>0</v>
      </c>
      <c r="U353" s="1080">
        <v>0</v>
      </c>
      <c r="V353" s="1079">
        <f>W353+X353</f>
        <v>0</v>
      </c>
      <c r="W353" s="1080">
        <v>0</v>
      </c>
      <c r="X353" s="1080">
        <v>0</v>
      </c>
    </row>
    <row r="354" spans="1:24" ht="13.5" customHeight="1" hidden="1">
      <c r="A354" s="1083"/>
      <c r="B354" s="1084"/>
      <c r="C354" s="1085"/>
      <c r="D354" s="1086"/>
      <c r="E354" s="1083"/>
      <c r="F354" s="1087"/>
      <c r="G354" s="1087"/>
      <c r="H354" s="443" t="s">
        <v>55</v>
      </c>
      <c r="I354" s="443" t="s">
        <v>55</v>
      </c>
      <c r="J354" s="1082"/>
      <c r="K354" s="1079"/>
      <c r="L354" s="1079"/>
      <c r="M354" s="1080"/>
      <c r="N354" s="1080"/>
      <c r="O354" s="1079"/>
      <c r="P354" s="1079"/>
      <c r="Q354" s="1080"/>
      <c r="R354" s="1080"/>
      <c r="S354" s="1079"/>
      <c r="T354" s="1080"/>
      <c r="U354" s="1080"/>
      <c r="V354" s="1079"/>
      <c r="W354" s="1080"/>
      <c r="X354" s="1080"/>
    </row>
    <row r="355" spans="1:24" ht="13.5" customHeight="1" hidden="1">
      <c r="A355" s="1083"/>
      <c r="B355" s="1084"/>
      <c r="C355" s="1085"/>
      <c r="D355" s="1086"/>
      <c r="E355" s="1083"/>
      <c r="F355" s="1087"/>
      <c r="G355" s="1087"/>
      <c r="H355" s="443" t="s">
        <v>55</v>
      </c>
      <c r="I355" s="443" t="s">
        <v>55</v>
      </c>
      <c r="J355" s="443" t="s">
        <v>21</v>
      </c>
      <c r="K355" s="445">
        <f>L355+O355</f>
        <v>0</v>
      </c>
      <c r="L355" s="445">
        <f>M355+N355</f>
        <v>0</v>
      </c>
      <c r="M355" s="446">
        <v>0</v>
      </c>
      <c r="N355" s="446">
        <v>0</v>
      </c>
      <c r="O355" s="445">
        <f>P355+S355+V355</f>
        <v>0</v>
      </c>
      <c r="P355" s="445">
        <f>Q355+R355</f>
        <v>0</v>
      </c>
      <c r="Q355" s="446">
        <v>0</v>
      </c>
      <c r="R355" s="446">
        <v>0</v>
      </c>
      <c r="S355" s="445">
        <f>T355+U355</f>
        <v>0</v>
      </c>
      <c r="T355" s="446">
        <v>0</v>
      </c>
      <c r="U355" s="446">
        <v>0</v>
      </c>
      <c r="V355" s="445">
        <f>W355+X355</f>
        <v>0</v>
      </c>
      <c r="W355" s="446">
        <v>0</v>
      </c>
      <c r="X355" s="446">
        <v>0</v>
      </c>
    </row>
    <row r="356" spans="1:24" ht="13.5" customHeight="1" hidden="1">
      <c r="A356" s="1083"/>
      <c r="B356" s="1084"/>
      <c r="C356" s="1085"/>
      <c r="D356" s="1086"/>
      <c r="E356" s="1083"/>
      <c r="F356" s="1087"/>
      <c r="G356" s="1087"/>
      <c r="H356" s="443" t="s">
        <v>55</v>
      </c>
      <c r="I356" s="443" t="s">
        <v>55</v>
      </c>
      <c r="J356" s="1081" t="s">
        <v>22</v>
      </c>
      <c r="K356" s="1079">
        <f aca="true" t="shared" si="72" ref="K356:X356">K353+K355</f>
        <v>20000</v>
      </c>
      <c r="L356" s="1079">
        <f t="shared" si="72"/>
        <v>0</v>
      </c>
      <c r="M356" s="1080">
        <f t="shared" si="72"/>
        <v>0</v>
      </c>
      <c r="N356" s="1080">
        <f t="shared" si="72"/>
        <v>0</v>
      </c>
      <c r="O356" s="1079">
        <f t="shared" si="72"/>
        <v>20000</v>
      </c>
      <c r="P356" s="1079">
        <f t="shared" si="72"/>
        <v>20000</v>
      </c>
      <c r="Q356" s="1080">
        <f t="shared" si="72"/>
        <v>15000</v>
      </c>
      <c r="R356" s="1080">
        <f t="shared" si="72"/>
        <v>5000</v>
      </c>
      <c r="S356" s="1079">
        <f t="shared" si="72"/>
        <v>0</v>
      </c>
      <c r="T356" s="1080">
        <f t="shared" si="72"/>
        <v>0</v>
      </c>
      <c r="U356" s="1080">
        <f t="shared" si="72"/>
        <v>0</v>
      </c>
      <c r="V356" s="1079">
        <f t="shared" si="72"/>
        <v>0</v>
      </c>
      <c r="W356" s="1080">
        <f t="shared" si="72"/>
        <v>0</v>
      </c>
      <c r="X356" s="1080">
        <f t="shared" si="72"/>
        <v>0</v>
      </c>
    </row>
    <row r="357" spans="1:24" ht="13.5" customHeight="1" hidden="1">
      <c r="A357" s="1083"/>
      <c r="B357" s="1084"/>
      <c r="C357" s="1085"/>
      <c r="D357" s="1086"/>
      <c r="E357" s="1083"/>
      <c r="F357" s="1087"/>
      <c r="G357" s="1087"/>
      <c r="H357" s="443" t="s">
        <v>55</v>
      </c>
      <c r="I357" s="443" t="s">
        <v>55</v>
      </c>
      <c r="J357" s="1082"/>
      <c r="K357" s="1079"/>
      <c r="L357" s="1079"/>
      <c r="M357" s="1080"/>
      <c r="N357" s="1080"/>
      <c r="O357" s="1079"/>
      <c r="P357" s="1079"/>
      <c r="Q357" s="1080"/>
      <c r="R357" s="1080"/>
      <c r="S357" s="1079"/>
      <c r="T357" s="1080"/>
      <c r="U357" s="1080"/>
      <c r="V357" s="1079"/>
      <c r="W357" s="1080"/>
      <c r="X357" s="1080"/>
    </row>
    <row r="358" spans="1:24" ht="13.5" customHeight="1" hidden="1">
      <c r="A358" s="1083">
        <v>12</v>
      </c>
      <c r="B358" s="1084" t="s">
        <v>570</v>
      </c>
      <c r="C358" s="1085" t="s">
        <v>571</v>
      </c>
      <c r="D358" s="1086" t="s">
        <v>636</v>
      </c>
      <c r="E358" s="1083" t="s">
        <v>479</v>
      </c>
      <c r="F358" s="1087" t="s">
        <v>635</v>
      </c>
      <c r="G358" s="1087" t="s">
        <v>607</v>
      </c>
      <c r="H358" s="443" t="s">
        <v>55</v>
      </c>
      <c r="I358" s="443" t="s">
        <v>55</v>
      </c>
      <c r="J358" s="1081" t="s">
        <v>20</v>
      </c>
      <c r="K358" s="1079">
        <f>L358+O358</f>
        <v>410000</v>
      </c>
      <c r="L358" s="1079">
        <f>M358+N358</f>
        <v>0</v>
      </c>
      <c r="M358" s="1080">
        <v>0</v>
      </c>
      <c r="N358" s="1080">
        <v>0</v>
      </c>
      <c r="O358" s="1079">
        <f>P358+S358+V358</f>
        <v>410000</v>
      </c>
      <c r="P358" s="1079">
        <f>Q358+R358</f>
        <v>410000</v>
      </c>
      <c r="Q358" s="1080">
        <v>350000</v>
      </c>
      <c r="R358" s="1080">
        <v>60000</v>
      </c>
      <c r="S358" s="1079">
        <f>T358+U358</f>
        <v>0</v>
      </c>
      <c r="T358" s="1080">
        <v>0</v>
      </c>
      <c r="U358" s="1080">
        <v>0</v>
      </c>
      <c r="V358" s="1079">
        <f>W358+X358</f>
        <v>0</v>
      </c>
      <c r="W358" s="1080">
        <v>0</v>
      </c>
      <c r="X358" s="1080">
        <v>0</v>
      </c>
    </row>
    <row r="359" spans="1:24" ht="13.5" customHeight="1" hidden="1">
      <c r="A359" s="1083"/>
      <c r="B359" s="1084"/>
      <c r="C359" s="1085"/>
      <c r="D359" s="1086"/>
      <c r="E359" s="1083"/>
      <c r="F359" s="1087"/>
      <c r="G359" s="1087"/>
      <c r="H359" s="443" t="s">
        <v>55</v>
      </c>
      <c r="I359" s="443" t="s">
        <v>55</v>
      </c>
      <c r="J359" s="1082"/>
      <c r="K359" s="1079"/>
      <c r="L359" s="1079"/>
      <c r="M359" s="1080"/>
      <c r="N359" s="1080"/>
      <c r="O359" s="1079"/>
      <c r="P359" s="1079"/>
      <c r="Q359" s="1080"/>
      <c r="R359" s="1080"/>
      <c r="S359" s="1079"/>
      <c r="T359" s="1080"/>
      <c r="U359" s="1080"/>
      <c r="V359" s="1079"/>
      <c r="W359" s="1080"/>
      <c r="X359" s="1080"/>
    </row>
    <row r="360" spans="1:24" ht="13.5" customHeight="1" hidden="1">
      <c r="A360" s="1083"/>
      <c r="B360" s="1084"/>
      <c r="C360" s="1085"/>
      <c r="D360" s="1086"/>
      <c r="E360" s="1083"/>
      <c r="F360" s="1087"/>
      <c r="G360" s="1087"/>
      <c r="H360" s="443" t="s">
        <v>55</v>
      </c>
      <c r="I360" s="443" t="s">
        <v>55</v>
      </c>
      <c r="J360" s="443" t="s">
        <v>21</v>
      </c>
      <c r="K360" s="445">
        <f>L360+O360</f>
        <v>0</v>
      </c>
      <c r="L360" s="445">
        <f>M360+N360</f>
        <v>0</v>
      </c>
      <c r="M360" s="446">
        <v>0</v>
      </c>
      <c r="N360" s="446">
        <v>0</v>
      </c>
      <c r="O360" s="445">
        <f>P360+S360+V360</f>
        <v>0</v>
      </c>
      <c r="P360" s="445">
        <f>Q360+R360</f>
        <v>0</v>
      </c>
      <c r="Q360" s="446">
        <v>0</v>
      </c>
      <c r="R360" s="446">
        <v>0</v>
      </c>
      <c r="S360" s="445">
        <f>T360+U360</f>
        <v>0</v>
      </c>
      <c r="T360" s="446">
        <v>0</v>
      </c>
      <c r="U360" s="446">
        <v>0</v>
      </c>
      <c r="V360" s="445">
        <f>W360+X360</f>
        <v>0</v>
      </c>
      <c r="W360" s="446">
        <v>0</v>
      </c>
      <c r="X360" s="446">
        <v>0</v>
      </c>
    </row>
    <row r="361" spans="1:24" ht="13.5" customHeight="1" hidden="1">
      <c r="A361" s="1083"/>
      <c r="B361" s="1084"/>
      <c r="C361" s="1085"/>
      <c r="D361" s="1086"/>
      <c r="E361" s="1083"/>
      <c r="F361" s="1087"/>
      <c r="G361" s="1087"/>
      <c r="H361" s="443" t="s">
        <v>55</v>
      </c>
      <c r="I361" s="443" t="s">
        <v>55</v>
      </c>
      <c r="J361" s="1081" t="s">
        <v>22</v>
      </c>
      <c r="K361" s="1079">
        <f aca="true" t="shared" si="73" ref="K361:X361">K358+K360</f>
        <v>410000</v>
      </c>
      <c r="L361" s="1079">
        <f t="shared" si="73"/>
        <v>0</v>
      </c>
      <c r="M361" s="1080">
        <f t="shared" si="73"/>
        <v>0</v>
      </c>
      <c r="N361" s="1080">
        <f t="shared" si="73"/>
        <v>0</v>
      </c>
      <c r="O361" s="1079">
        <f t="shared" si="73"/>
        <v>410000</v>
      </c>
      <c r="P361" s="1079">
        <f t="shared" si="73"/>
        <v>410000</v>
      </c>
      <c r="Q361" s="1080">
        <f t="shared" si="73"/>
        <v>350000</v>
      </c>
      <c r="R361" s="1080">
        <f t="shared" si="73"/>
        <v>60000</v>
      </c>
      <c r="S361" s="1079">
        <f t="shared" si="73"/>
        <v>0</v>
      </c>
      <c r="T361" s="1080">
        <f t="shared" si="73"/>
        <v>0</v>
      </c>
      <c r="U361" s="1080">
        <f t="shared" si="73"/>
        <v>0</v>
      </c>
      <c r="V361" s="1079">
        <f t="shared" si="73"/>
        <v>0</v>
      </c>
      <c r="W361" s="1080">
        <f t="shared" si="73"/>
        <v>0</v>
      </c>
      <c r="X361" s="1080">
        <f t="shared" si="73"/>
        <v>0</v>
      </c>
    </row>
    <row r="362" spans="1:24" ht="13.5" customHeight="1" hidden="1">
      <c r="A362" s="1083"/>
      <c r="B362" s="1084"/>
      <c r="C362" s="1085"/>
      <c r="D362" s="1086"/>
      <c r="E362" s="1083"/>
      <c r="F362" s="1087"/>
      <c r="G362" s="1087"/>
      <c r="H362" s="443" t="s">
        <v>55</v>
      </c>
      <c r="I362" s="443" t="s">
        <v>55</v>
      </c>
      <c r="J362" s="1082"/>
      <c r="K362" s="1079"/>
      <c r="L362" s="1079"/>
      <c r="M362" s="1080"/>
      <c r="N362" s="1080"/>
      <c r="O362" s="1079"/>
      <c r="P362" s="1079"/>
      <c r="Q362" s="1080"/>
      <c r="R362" s="1080"/>
      <c r="S362" s="1079"/>
      <c r="T362" s="1080"/>
      <c r="U362" s="1080"/>
      <c r="V362" s="1079"/>
      <c r="W362" s="1080"/>
      <c r="X362" s="1080"/>
    </row>
    <row r="363" spans="1:24" ht="13.5" customHeight="1" hidden="1">
      <c r="A363" s="1083">
        <v>13</v>
      </c>
      <c r="B363" s="1084" t="s">
        <v>637</v>
      </c>
      <c r="C363" s="1085" t="s">
        <v>574</v>
      </c>
      <c r="D363" s="1086" t="s">
        <v>638</v>
      </c>
      <c r="E363" s="1083" t="s">
        <v>479</v>
      </c>
      <c r="F363" s="1087" t="s">
        <v>639</v>
      </c>
      <c r="G363" s="1087" t="s">
        <v>607</v>
      </c>
      <c r="H363" s="443" t="s">
        <v>55</v>
      </c>
      <c r="I363" s="443" t="s">
        <v>55</v>
      </c>
      <c r="J363" s="1081" t="s">
        <v>20</v>
      </c>
      <c r="K363" s="1079">
        <f>L363+O363</f>
        <v>562369</v>
      </c>
      <c r="L363" s="1079">
        <f>M363+N363</f>
        <v>0</v>
      </c>
      <c r="M363" s="1080">
        <v>0</v>
      </c>
      <c r="N363" s="1080">
        <v>0</v>
      </c>
      <c r="O363" s="1079">
        <f>P363+S363+V363</f>
        <v>562369</v>
      </c>
      <c r="P363" s="1079">
        <f>Q363+R363</f>
        <v>562369</v>
      </c>
      <c r="Q363" s="1080">
        <v>419369</v>
      </c>
      <c r="R363" s="1080">
        <v>143000</v>
      </c>
      <c r="S363" s="1079">
        <f>T363+U363</f>
        <v>0</v>
      </c>
      <c r="T363" s="1080">
        <v>0</v>
      </c>
      <c r="U363" s="1080">
        <v>0</v>
      </c>
      <c r="V363" s="1079">
        <f>W363+X363</f>
        <v>0</v>
      </c>
      <c r="W363" s="1080">
        <v>0</v>
      </c>
      <c r="X363" s="1080">
        <v>0</v>
      </c>
    </row>
    <row r="364" spans="1:24" ht="13.5" customHeight="1" hidden="1">
      <c r="A364" s="1083"/>
      <c r="B364" s="1084"/>
      <c r="C364" s="1085"/>
      <c r="D364" s="1086"/>
      <c r="E364" s="1083"/>
      <c r="F364" s="1087"/>
      <c r="G364" s="1087"/>
      <c r="H364" s="443" t="s">
        <v>55</v>
      </c>
      <c r="I364" s="443" t="s">
        <v>55</v>
      </c>
      <c r="J364" s="1082"/>
      <c r="K364" s="1079"/>
      <c r="L364" s="1079"/>
      <c r="M364" s="1080"/>
      <c r="N364" s="1080"/>
      <c r="O364" s="1079"/>
      <c r="P364" s="1079"/>
      <c r="Q364" s="1080"/>
      <c r="R364" s="1080"/>
      <c r="S364" s="1079"/>
      <c r="T364" s="1080"/>
      <c r="U364" s="1080"/>
      <c r="V364" s="1079"/>
      <c r="W364" s="1080"/>
      <c r="X364" s="1080"/>
    </row>
    <row r="365" spans="1:24" ht="13.5" customHeight="1" hidden="1">
      <c r="A365" s="1083"/>
      <c r="B365" s="1084"/>
      <c r="C365" s="1085"/>
      <c r="D365" s="1086"/>
      <c r="E365" s="1083"/>
      <c r="F365" s="1087"/>
      <c r="G365" s="1087"/>
      <c r="H365" s="443" t="s">
        <v>55</v>
      </c>
      <c r="I365" s="443" t="s">
        <v>55</v>
      </c>
      <c r="J365" s="443" t="s">
        <v>21</v>
      </c>
      <c r="K365" s="445">
        <f>L365+O365</f>
        <v>0</v>
      </c>
      <c r="L365" s="445">
        <f>M365+N365</f>
        <v>0</v>
      </c>
      <c r="M365" s="446">
        <v>0</v>
      </c>
      <c r="N365" s="446">
        <v>0</v>
      </c>
      <c r="O365" s="445">
        <f>P365+S365+V365</f>
        <v>0</v>
      </c>
      <c r="P365" s="445">
        <f>Q365+R365</f>
        <v>0</v>
      </c>
      <c r="Q365" s="446">
        <v>0</v>
      </c>
      <c r="R365" s="446">
        <v>0</v>
      </c>
      <c r="S365" s="445">
        <f>T365+U365</f>
        <v>0</v>
      </c>
      <c r="T365" s="446">
        <v>0</v>
      </c>
      <c r="U365" s="446">
        <v>0</v>
      </c>
      <c r="V365" s="445">
        <f>W365+X365</f>
        <v>0</v>
      </c>
      <c r="W365" s="446">
        <v>0</v>
      </c>
      <c r="X365" s="446">
        <v>0</v>
      </c>
    </row>
    <row r="366" spans="1:24" ht="13.5" customHeight="1" hidden="1">
      <c r="A366" s="1083"/>
      <c r="B366" s="1084"/>
      <c r="C366" s="1085"/>
      <c r="D366" s="1086"/>
      <c r="E366" s="1083"/>
      <c r="F366" s="1087"/>
      <c r="G366" s="1087"/>
      <c r="H366" s="443" t="s">
        <v>55</v>
      </c>
      <c r="I366" s="443" t="s">
        <v>55</v>
      </c>
      <c r="J366" s="1081" t="s">
        <v>22</v>
      </c>
      <c r="K366" s="1079">
        <f aca="true" t="shared" si="74" ref="K366:X366">K363+K365</f>
        <v>562369</v>
      </c>
      <c r="L366" s="1079">
        <f t="shared" si="74"/>
        <v>0</v>
      </c>
      <c r="M366" s="1080">
        <f t="shared" si="74"/>
        <v>0</v>
      </c>
      <c r="N366" s="1080">
        <f t="shared" si="74"/>
        <v>0</v>
      </c>
      <c r="O366" s="1079">
        <f t="shared" si="74"/>
        <v>562369</v>
      </c>
      <c r="P366" s="1079">
        <f t="shared" si="74"/>
        <v>562369</v>
      </c>
      <c r="Q366" s="1080">
        <f t="shared" si="74"/>
        <v>419369</v>
      </c>
      <c r="R366" s="1080">
        <f t="shared" si="74"/>
        <v>143000</v>
      </c>
      <c r="S366" s="1079">
        <f t="shared" si="74"/>
        <v>0</v>
      </c>
      <c r="T366" s="1080">
        <f t="shared" si="74"/>
        <v>0</v>
      </c>
      <c r="U366" s="1080">
        <f t="shared" si="74"/>
        <v>0</v>
      </c>
      <c r="V366" s="1079">
        <f t="shared" si="74"/>
        <v>0</v>
      </c>
      <c r="W366" s="1080">
        <f t="shared" si="74"/>
        <v>0</v>
      </c>
      <c r="X366" s="1080">
        <f t="shared" si="74"/>
        <v>0</v>
      </c>
    </row>
    <row r="367" spans="1:24" ht="13.5" customHeight="1" hidden="1">
      <c r="A367" s="1083"/>
      <c r="B367" s="1084"/>
      <c r="C367" s="1085"/>
      <c r="D367" s="1086"/>
      <c r="E367" s="1083"/>
      <c r="F367" s="1087"/>
      <c r="G367" s="1087"/>
      <c r="H367" s="443" t="s">
        <v>55</v>
      </c>
      <c r="I367" s="443" t="s">
        <v>55</v>
      </c>
      <c r="J367" s="1082"/>
      <c r="K367" s="1079"/>
      <c r="L367" s="1079"/>
      <c r="M367" s="1080"/>
      <c r="N367" s="1080"/>
      <c r="O367" s="1079"/>
      <c r="P367" s="1079"/>
      <c r="Q367" s="1080"/>
      <c r="R367" s="1080"/>
      <c r="S367" s="1079"/>
      <c r="T367" s="1080"/>
      <c r="U367" s="1080"/>
      <c r="V367" s="1079"/>
      <c r="W367" s="1080"/>
      <c r="X367" s="1080"/>
    </row>
    <row r="368" spans="1:24" ht="13.5" customHeight="1" hidden="1">
      <c r="A368" s="1083">
        <v>14</v>
      </c>
      <c r="B368" s="1084" t="s">
        <v>576</v>
      </c>
      <c r="C368" s="1085" t="s">
        <v>577</v>
      </c>
      <c r="D368" s="1086" t="s">
        <v>640</v>
      </c>
      <c r="E368" s="1083" t="s">
        <v>479</v>
      </c>
      <c r="F368" s="1087" t="s">
        <v>641</v>
      </c>
      <c r="G368" s="1087" t="s">
        <v>607</v>
      </c>
      <c r="H368" s="443" t="s">
        <v>55</v>
      </c>
      <c r="I368" s="443" t="s">
        <v>55</v>
      </c>
      <c r="J368" s="1081" t="s">
        <v>20</v>
      </c>
      <c r="K368" s="1079">
        <f>L368+O368</f>
        <v>425000</v>
      </c>
      <c r="L368" s="1079">
        <f>M368+N368</f>
        <v>0</v>
      </c>
      <c r="M368" s="1080">
        <v>0</v>
      </c>
      <c r="N368" s="1080">
        <v>0</v>
      </c>
      <c r="O368" s="1079">
        <f>P368+S368+V368</f>
        <v>425000</v>
      </c>
      <c r="P368" s="1079">
        <f>Q368+R368</f>
        <v>425000</v>
      </c>
      <c r="Q368" s="1080">
        <v>375000</v>
      </c>
      <c r="R368" s="1080">
        <v>50000</v>
      </c>
      <c r="S368" s="1079">
        <f>T368+U368</f>
        <v>0</v>
      </c>
      <c r="T368" s="1080">
        <v>0</v>
      </c>
      <c r="U368" s="1080">
        <v>0</v>
      </c>
      <c r="V368" s="1079">
        <f>W368+X368</f>
        <v>0</v>
      </c>
      <c r="W368" s="1080">
        <v>0</v>
      </c>
      <c r="X368" s="1080">
        <v>0</v>
      </c>
    </row>
    <row r="369" spans="1:24" ht="13.5" customHeight="1" hidden="1">
      <c r="A369" s="1083"/>
      <c r="B369" s="1084"/>
      <c r="C369" s="1085"/>
      <c r="D369" s="1086"/>
      <c r="E369" s="1083"/>
      <c r="F369" s="1087"/>
      <c r="G369" s="1087"/>
      <c r="H369" s="443" t="s">
        <v>55</v>
      </c>
      <c r="I369" s="443" t="s">
        <v>55</v>
      </c>
      <c r="J369" s="1082"/>
      <c r="K369" s="1079"/>
      <c r="L369" s="1079"/>
      <c r="M369" s="1080"/>
      <c r="N369" s="1080"/>
      <c r="O369" s="1079"/>
      <c r="P369" s="1079"/>
      <c r="Q369" s="1080"/>
      <c r="R369" s="1080"/>
      <c r="S369" s="1079"/>
      <c r="T369" s="1080"/>
      <c r="U369" s="1080"/>
      <c r="V369" s="1079"/>
      <c r="W369" s="1080"/>
      <c r="X369" s="1080"/>
    </row>
    <row r="370" spans="1:24" ht="13.5" customHeight="1" hidden="1">
      <c r="A370" s="1083"/>
      <c r="B370" s="1084"/>
      <c r="C370" s="1085"/>
      <c r="D370" s="1086"/>
      <c r="E370" s="1083"/>
      <c r="F370" s="1087"/>
      <c r="G370" s="1087"/>
      <c r="H370" s="443" t="s">
        <v>55</v>
      </c>
      <c r="I370" s="443" t="s">
        <v>55</v>
      </c>
      <c r="J370" s="443" t="s">
        <v>21</v>
      </c>
      <c r="K370" s="445">
        <f>L370+O370</f>
        <v>0</v>
      </c>
      <c r="L370" s="445">
        <f>M370+N370</f>
        <v>0</v>
      </c>
      <c r="M370" s="446">
        <v>0</v>
      </c>
      <c r="N370" s="446">
        <v>0</v>
      </c>
      <c r="O370" s="445">
        <f>P370+S370+V370</f>
        <v>0</v>
      </c>
      <c r="P370" s="445">
        <f>Q370+R370</f>
        <v>0</v>
      </c>
      <c r="Q370" s="446">
        <v>0</v>
      </c>
      <c r="R370" s="446">
        <v>0</v>
      </c>
      <c r="S370" s="445">
        <f>T370+U370</f>
        <v>0</v>
      </c>
      <c r="T370" s="446">
        <v>0</v>
      </c>
      <c r="U370" s="446">
        <v>0</v>
      </c>
      <c r="V370" s="445">
        <f>W370+X370</f>
        <v>0</v>
      </c>
      <c r="W370" s="446">
        <v>0</v>
      </c>
      <c r="X370" s="446">
        <v>0</v>
      </c>
    </row>
    <row r="371" spans="1:24" ht="13.5" customHeight="1" hidden="1">
      <c r="A371" s="1083"/>
      <c r="B371" s="1084"/>
      <c r="C371" s="1085"/>
      <c r="D371" s="1086"/>
      <c r="E371" s="1083"/>
      <c r="F371" s="1087"/>
      <c r="G371" s="1087"/>
      <c r="H371" s="443" t="s">
        <v>55</v>
      </c>
      <c r="I371" s="443" t="s">
        <v>55</v>
      </c>
      <c r="J371" s="1081" t="s">
        <v>22</v>
      </c>
      <c r="K371" s="1079">
        <f aca="true" t="shared" si="75" ref="K371:X371">K368+K370</f>
        <v>425000</v>
      </c>
      <c r="L371" s="1079">
        <f t="shared" si="75"/>
        <v>0</v>
      </c>
      <c r="M371" s="1080">
        <f t="shared" si="75"/>
        <v>0</v>
      </c>
      <c r="N371" s="1080">
        <f t="shared" si="75"/>
        <v>0</v>
      </c>
      <c r="O371" s="1079">
        <f t="shared" si="75"/>
        <v>425000</v>
      </c>
      <c r="P371" s="1079">
        <f t="shared" si="75"/>
        <v>425000</v>
      </c>
      <c r="Q371" s="1080">
        <f t="shared" si="75"/>
        <v>375000</v>
      </c>
      <c r="R371" s="1080">
        <f t="shared" si="75"/>
        <v>50000</v>
      </c>
      <c r="S371" s="1079">
        <f t="shared" si="75"/>
        <v>0</v>
      </c>
      <c r="T371" s="1080">
        <f t="shared" si="75"/>
        <v>0</v>
      </c>
      <c r="U371" s="1080">
        <f t="shared" si="75"/>
        <v>0</v>
      </c>
      <c r="V371" s="1079">
        <f t="shared" si="75"/>
        <v>0</v>
      </c>
      <c r="W371" s="1080">
        <f t="shared" si="75"/>
        <v>0</v>
      </c>
      <c r="X371" s="1080">
        <f t="shared" si="75"/>
        <v>0</v>
      </c>
    </row>
    <row r="372" spans="1:24" ht="13.5" customHeight="1" hidden="1">
      <c r="A372" s="1083"/>
      <c r="B372" s="1084"/>
      <c r="C372" s="1085"/>
      <c r="D372" s="1086"/>
      <c r="E372" s="1083"/>
      <c r="F372" s="1087"/>
      <c r="G372" s="1087"/>
      <c r="H372" s="443" t="s">
        <v>55</v>
      </c>
      <c r="I372" s="443" t="s">
        <v>55</v>
      </c>
      <c r="J372" s="1082"/>
      <c r="K372" s="1079"/>
      <c r="L372" s="1079"/>
      <c r="M372" s="1080"/>
      <c r="N372" s="1080"/>
      <c r="O372" s="1079"/>
      <c r="P372" s="1079"/>
      <c r="Q372" s="1080"/>
      <c r="R372" s="1080"/>
      <c r="S372" s="1079"/>
      <c r="T372" s="1080"/>
      <c r="U372" s="1080"/>
      <c r="V372" s="1079"/>
      <c r="W372" s="1080"/>
      <c r="X372" s="1080"/>
    </row>
    <row r="373" spans="1:24" ht="13.5" customHeight="1" hidden="1">
      <c r="A373" s="1083">
        <v>15</v>
      </c>
      <c r="B373" s="1084" t="s">
        <v>580</v>
      </c>
      <c r="C373" s="1085" t="s">
        <v>581</v>
      </c>
      <c r="D373" s="1086" t="s">
        <v>642</v>
      </c>
      <c r="E373" s="1083" t="s">
        <v>479</v>
      </c>
      <c r="F373" s="1087" t="s">
        <v>641</v>
      </c>
      <c r="G373" s="1087" t="s">
        <v>607</v>
      </c>
      <c r="H373" s="443" t="s">
        <v>55</v>
      </c>
      <c r="I373" s="443" t="s">
        <v>55</v>
      </c>
      <c r="J373" s="1081" t="s">
        <v>20</v>
      </c>
      <c r="K373" s="1079">
        <f>L373+O373</f>
        <v>775000</v>
      </c>
      <c r="L373" s="1079">
        <f>M373+N373</f>
        <v>0</v>
      </c>
      <c r="M373" s="1080">
        <v>0</v>
      </c>
      <c r="N373" s="1080">
        <v>0</v>
      </c>
      <c r="O373" s="1079">
        <f>P373+S373+V373</f>
        <v>775000</v>
      </c>
      <c r="P373" s="1079">
        <f>Q373+R373</f>
        <v>775000</v>
      </c>
      <c r="Q373" s="1080">
        <v>775000</v>
      </c>
      <c r="R373" s="1080">
        <v>0</v>
      </c>
      <c r="S373" s="1079">
        <f>T373+U373</f>
        <v>0</v>
      </c>
      <c r="T373" s="1080">
        <v>0</v>
      </c>
      <c r="U373" s="1080">
        <v>0</v>
      </c>
      <c r="V373" s="1079">
        <f>W373+X373</f>
        <v>0</v>
      </c>
      <c r="W373" s="1080">
        <v>0</v>
      </c>
      <c r="X373" s="1080">
        <v>0</v>
      </c>
    </row>
    <row r="374" spans="1:24" ht="13.5" customHeight="1" hidden="1">
      <c r="A374" s="1083"/>
      <c r="B374" s="1084"/>
      <c r="C374" s="1085"/>
      <c r="D374" s="1086"/>
      <c r="E374" s="1083"/>
      <c r="F374" s="1087"/>
      <c r="G374" s="1087"/>
      <c r="H374" s="443" t="s">
        <v>55</v>
      </c>
      <c r="I374" s="443" t="s">
        <v>55</v>
      </c>
      <c r="J374" s="1082"/>
      <c r="K374" s="1079"/>
      <c r="L374" s="1079"/>
      <c r="M374" s="1080"/>
      <c r="N374" s="1080"/>
      <c r="O374" s="1079"/>
      <c r="P374" s="1079"/>
      <c r="Q374" s="1080"/>
      <c r="R374" s="1080"/>
      <c r="S374" s="1079"/>
      <c r="T374" s="1080"/>
      <c r="U374" s="1080"/>
      <c r="V374" s="1079"/>
      <c r="W374" s="1080"/>
      <c r="X374" s="1080"/>
    </row>
    <row r="375" spans="1:24" ht="13.5" customHeight="1" hidden="1">
      <c r="A375" s="1083"/>
      <c r="B375" s="1084"/>
      <c r="C375" s="1085"/>
      <c r="D375" s="1086"/>
      <c r="E375" s="1083"/>
      <c r="F375" s="1087"/>
      <c r="G375" s="1087"/>
      <c r="H375" s="443" t="s">
        <v>55</v>
      </c>
      <c r="I375" s="443" t="s">
        <v>55</v>
      </c>
      <c r="J375" s="443" t="s">
        <v>21</v>
      </c>
      <c r="K375" s="445">
        <f>L375+O375</f>
        <v>0</v>
      </c>
      <c r="L375" s="445">
        <f>M375+N375</f>
        <v>0</v>
      </c>
      <c r="M375" s="446">
        <v>0</v>
      </c>
      <c r="N375" s="446">
        <v>0</v>
      </c>
      <c r="O375" s="445">
        <f>P375+S375+V375</f>
        <v>0</v>
      </c>
      <c r="P375" s="445">
        <f>Q375+R375</f>
        <v>0</v>
      </c>
      <c r="Q375" s="446">
        <v>0</v>
      </c>
      <c r="R375" s="446">
        <v>0</v>
      </c>
      <c r="S375" s="445">
        <f>T375+U375</f>
        <v>0</v>
      </c>
      <c r="T375" s="446">
        <v>0</v>
      </c>
      <c r="U375" s="446">
        <v>0</v>
      </c>
      <c r="V375" s="445">
        <f>W375+X375</f>
        <v>0</v>
      </c>
      <c r="W375" s="446">
        <v>0</v>
      </c>
      <c r="X375" s="446">
        <v>0</v>
      </c>
    </row>
    <row r="376" spans="1:24" ht="13.5" customHeight="1" hidden="1">
      <c r="A376" s="1083"/>
      <c r="B376" s="1084"/>
      <c r="C376" s="1085"/>
      <c r="D376" s="1086"/>
      <c r="E376" s="1083"/>
      <c r="F376" s="1087"/>
      <c r="G376" s="1087"/>
      <c r="H376" s="443" t="s">
        <v>55</v>
      </c>
      <c r="I376" s="443" t="s">
        <v>55</v>
      </c>
      <c r="J376" s="1081" t="s">
        <v>22</v>
      </c>
      <c r="K376" s="1079">
        <f aca="true" t="shared" si="76" ref="K376:X376">K373+K375</f>
        <v>775000</v>
      </c>
      <c r="L376" s="1079">
        <f t="shared" si="76"/>
        <v>0</v>
      </c>
      <c r="M376" s="1080">
        <f t="shared" si="76"/>
        <v>0</v>
      </c>
      <c r="N376" s="1080">
        <f t="shared" si="76"/>
        <v>0</v>
      </c>
      <c r="O376" s="1079">
        <f t="shared" si="76"/>
        <v>775000</v>
      </c>
      <c r="P376" s="1079">
        <f t="shared" si="76"/>
        <v>775000</v>
      </c>
      <c r="Q376" s="1080">
        <f t="shared" si="76"/>
        <v>775000</v>
      </c>
      <c r="R376" s="1080">
        <f t="shared" si="76"/>
        <v>0</v>
      </c>
      <c r="S376" s="1079">
        <f t="shared" si="76"/>
        <v>0</v>
      </c>
      <c r="T376" s="1080">
        <f t="shared" si="76"/>
        <v>0</v>
      </c>
      <c r="U376" s="1080">
        <f t="shared" si="76"/>
        <v>0</v>
      </c>
      <c r="V376" s="1079">
        <f t="shared" si="76"/>
        <v>0</v>
      </c>
      <c r="W376" s="1080">
        <f t="shared" si="76"/>
        <v>0</v>
      </c>
      <c r="X376" s="1080">
        <f t="shared" si="76"/>
        <v>0</v>
      </c>
    </row>
    <row r="377" spans="1:24" ht="13.5" customHeight="1" hidden="1">
      <c r="A377" s="1083"/>
      <c r="B377" s="1084"/>
      <c r="C377" s="1085"/>
      <c r="D377" s="1086"/>
      <c r="E377" s="1083"/>
      <c r="F377" s="1087"/>
      <c r="G377" s="1087"/>
      <c r="H377" s="443" t="s">
        <v>55</v>
      </c>
      <c r="I377" s="443" t="s">
        <v>55</v>
      </c>
      <c r="J377" s="1082"/>
      <c r="K377" s="1079"/>
      <c r="L377" s="1079"/>
      <c r="M377" s="1080"/>
      <c r="N377" s="1080"/>
      <c r="O377" s="1079"/>
      <c r="P377" s="1079"/>
      <c r="Q377" s="1080"/>
      <c r="R377" s="1080"/>
      <c r="S377" s="1079"/>
      <c r="T377" s="1080"/>
      <c r="U377" s="1080"/>
      <c r="V377" s="1079"/>
      <c r="W377" s="1080"/>
      <c r="X377" s="1080"/>
    </row>
    <row r="378" spans="1:24" ht="13.5" customHeight="1" hidden="1">
      <c r="A378" s="1083">
        <v>16</v>
      </c>
      <c r="B378" s="1084" t="s">
        <v>590</v>
      </c>
      <c r="C378" s="1085" t="s">
        <v>591</v>
      </c>
      <c r="D378" s="1086" t="s">
        <v>643</v>
      </c>
      <c r="E378" s="1083" t="s">
        <v>479</v>
      </c>
      <c r="F378" s="1087" t="s">
        <v>644</v>
      </c>
      <c r="G378" s="1087" t="s">
        <v>607</v>
      </c>
      <c r="H378" s="443" t="s">
        <v>55</v>
      </c>
      <c r="I378" s="443" t="s">
        <v>55</v>
      </c>
      <c r="J378" s="1081" t="s">
        <v>20</v>
      </c>
      <c r="K378" s="1079">
        <f>L378+O378</f>
        <v>375000</v>
      </c>
      <c r="L378" s="1079">
        <f>M378+N378</f>
        <v>0</v>
      </c>
      <c r="M378" s="1080">
        <v>0</v>
      </c>
      <c r="N378" s="1080">
        <v>0</v>
      </c>
      <c r="O378" s="1079">
        <f>P378+S378+V378</f>
        <v>375000</v>
      </c>
      <c r="P378" s="1079">
        <f>Q378+R378</f>
        <v>375000</v>
      </c>
      <c r="Q378" s="1080">
        <v>375000</v>
      </c>
      <c r="R378" s="1080">
        <v>0</v>
      </c>
      <c r="S378" s="1079">
        <f>T378+U378</f>
        <v>0</v>
      </c>
      <c r="T378" s="1080">
        <v>0</v>
      </c>
      <c r="U378" s="1080">
        <v>0</v>
      </c>
      <c r="V378" s="1079">
        <f>W378+X378</f>
        <v>0</v>
      </c>
      <c r="W378" s="1080">
        <v>0</v>
      </c>
      <c r="X378" s="1080">
        <v>0</v>
      </c>
    </row>
    <row r="379" spans="1:24" ht="13.5" customHeight="1" hidden="1">
      <c r="A379" s="1083"/>
      <c r="B379" s="1084"/>
      <c r="C379" s="1085"/>
      <c r="D379" s="1086"/>
      <c r="E379" s="1083"/>
      <c r="F379" s="1087"/>
      <c r="G379" s="1087"/>
      <c r="H379" s="443" t="s">
        <v>55</v>
      </c>
      <c r="I379" s="443" t="s">
        <v>55</v>
      </c>
      <c r="J379" s="1082"/>
      <c r="K379" s="1079"/>
      <c r="L379" s="1079"/>
      <c r="M379" s="1080"/>
      <c r="N379" s="1080"/>
      <c r="O379" s="1079"/>
      <c r="P379" s="1079"/>
      <c r="Q379" s="1080"/>
      <c r="R379" s="1080"/>
      <c r="S379" s="1079"/>
      <c r="T379" s="1080"/>
      <c r="U379" s="1080"/>
      <c r="V379" s="1079"/>
      <c r="W379" s="1080"/>
      <c r="X379" s="1080"/>
    </row>
    <row r="380" spans="1:24" ht="13.5" customHeight="1" hidden="1">
      <c r="A380" s="1083"/>
      <c r="B380" s="1084"/>
      <c r="C380" s="1085"/>
      <c r="D380" s="1086"/>
      <c r="E380" s="1083"/>
      <c r="F380" s="1087"/>
      <c r="G380" s="1087"/>
      <c r="H380" s="443" t="s">
        <v>55</v>
      </c>
      <c r="I380" s="443" t="s">
        <v>55</v>
      </c>
      <c r="J380" s="443" t="s">
        <v>21</v>
      </c>
      <c r="K380" s="445">
        <f>L380+O380</f>
        <v>0</v>
      </c>
      <c r="L380" s="445">
        <f>M380+N380</f>
        <v>0</v>
      </c>
      <c r="M380" s="446">
        <v>0</v>
      </c>
      <c r="N380" s="446">
        <v>0</v>
      </c>
      <c r="O380" s="445">
        <f>P380+S380+V380</f>
        <v>0</v>
      </c>
      <c r="P380" s="445">
        <f>Q380+R380</f>
        <v>0</v>
      </c>
      <c r="Q380" s="446">
        <v>0</v>
      </c>
      <c r="R380" s="446">
        <v>0</v>
      </c>
      <c r="S380" s="445">
        <f>T380+U380</f>
        <v>0</v>
      </c>
      <c r="T380" s="446">
        <v>0</v>
      </c>
      <c r="U380" s="446">
        <v>0</v>
      </c>
      <c r="V380" s="445">
        <f>W380+X380</f>
        <v>0</v>
      </c>
      <c r="W380" s="446">
        <v>0</v>
      </c>
      <c r="X380" s="446">
        <v>0</v>
      </c>
    </row>
    <row r="381" spans="1:24" ht="13.5" customHeight="1" hidden="1">
      <c r="A381" s="1083"/>
      <c r="B381" s="1084"/>
      <c r="C381" s="1085"/>
      <c r="D381" s="1086"/>
      <c r="E381" s="1083"/>
      <c r="F381" s="1087"/>
      <c r="G381" s="1087"/>
      <c r="H381" s="443" t="s">
        <v>55</v>
      </c>
      <c r="I381" s="443" t="s">
        <v>55</v>
      </c>
      <c r="J381" s="1081" t="s">
        <v>22</v>
      </c>
      <c r="K381" s="1079">
        <f aca="true" t="shared" si="77" ref="K381:X381">K378+K380</f>
        <v>375000</v>
      </c>
      <c r="L381" s="1079">
        <f t="shared" si="77"/>
        <v>0</v>
      </c>
      <c r="M381" s="1080">
        <f t="shared" si="77"/>
        <v>0</v>
      </c>
      <c r="N381" s="1080">
        <f t="shared" si="77"/>
        <v>0</v>
      </c>
      <c r="O381" s="1079">
        <f t="shared" si="77"/>
        <v>375000</v>
      </c>
      <c r="P381" s="1079">
        <f t="shared" si="77"/>
        <v>375000</v>
      </c>
      <c r="Q381" s="1080">
        <f t="shared" si="77"/>
        <v>375000</v>
      </c>
      <c r="R381" s="1080">
        <f t="shared" si="77"/>
        <v>0</v>
      </c>
      <c r="S381" s="1079">
        <f t="shared" si="77"/>
        <v>0</v>
      </c>
      <c r="T381" s="1080">
        <f t="shared" si="77"/>
        <v>0</v>
      </c>
      <c r="U381" s="1080">
        <f t="shared" si="77"/>
        <v>0</v>
      </c>
      <c r="V381" s="1079">
        <f t="shared" si="77"/>
        <v>0</v>
      </c>
      <c r="W381" s="1080">
        <f t="shared" si="77"/>
        <v>0</v>
      </c>
      <c r="X381" s="1080">
        <f t="shared" si="77"/>
        <v>0</v>
      </c>
    </row>
    <row r="382" spans="1:24" ht="13.5" customHeight="1" hidden="1">
      <c r="A382" s="1083"/>
      <c r="B382" s="1084"/>
      <c r="C382" s="1085"/>
      <c r="D382" s="1086"/>
      <c r="E382" s="1083"/>
      <c r="F382" s="1087"/>
      <c r="G382" s="1087"/>
      <c r="H382" s="443" t="s">
        <v>55</v>
      </c>
      <c r="I382" s="443" t="s">
        <v>55</v>
      </c>
      <c r="J382" s="1082"/>
      <c r="K382" s="1079"/>
      <c r="L382" s="1079"/>
      <c r="M382" s="1080"/>
      <c r="N382" s="1080"/>
      <c r="O382" s="1079"/>
      <c r="P382" s="1079"/>
      <c r="Q382" s="1080"/>
      <c r="R382" s="1080"/>
      <c r="S382" s="1079"/>
      <c r="T382" s="1080"/>
      <c r="U382" s="1080"/>
      <c r="V382" s="1079"/>
      <c r="W382" s="1080"/>
      <c r="X382" s="1080"/>
    </row>
    <row r="383" spans="1:24" s="455" customFormat="1" ht="14.25" customHeight="1" hidden="1">
      <c r="A383" s="1078" t="s">
        <v>645</v>
      </c>
      <c r="B383" s="1078"/>
      <c r="C383" s="1078"/>
      <c r="D383" s="1078"/>
      <c r="E383" s="1078"/>
      <c r="F383" s="1078"/>
      <c r="G383" s="1078"/>
      <c r="H383" s="443" t="s">
        <v>55</v>
      </c>
      <c r="I383" s="443" t="s">
        <v>55</v>
      </c>
      <c r="J383" s="1075" t="s">
        <v>20</v>
      </c>
      <c r="K383" s="1074">
        <f>K303+K308+K313+K318+K323+K328+K333+K338+K343+K348+K353+K358+K363+K368+K373+K378</f>
        <v>12994138</v>
      </c>
      <c r="L383" s="1074">
        <f aca="true" t="shared" si="78" ref="L383:X383">L303+L308+L313+L318+L323+L328+L333+L338+L343+L348+L353+L358+L363+L368+L373+L378</f>
        <v>0</v>
      </c>
      <c r="M383" s="1074">
        <f t="shared" si="78"/>
        <v>0</v>
      </c>
      <c r="N383" s="1074">
        <f t="shared" si="78"/>
        <v>0</v>
      </c>
      <c r="O383" s="1074">
        <f t="shared" si="78"/>
        <v>12994138</v>
      </c>
      <c r="P383" s="1074">
        <f t="shared" si="78"/>
        <v>12994138</v>
      </c>
      <c r="Q383" s="1074">
        <f t="shared" si="78"/>
        <v>5519138</v>
      </c>
      <c r="R383" s="1074">
        <f t="shared" si="78"/>
        <v>7475000</v>
      </c>
      <c r="S383" s="1074">
        <f t="shared" si="78"/>
        <v>0</v>
      </c>
      <c r="T383" s="1074">
        <f t="shared" si="78"/>
        <v>0</v>
      </c>
      <c r="U383" s="1074">
        <f t="shared" si="78"/>
        <v>0</v>
      </c>
      <c r="V383" s="1074">
        <f t="shared" si="78"/>
        <v>0</v>
      </c>
      <c r="W383" s="1074">
        <f t="shared" si="78"/>
        <v>0</v>
      </c>
      <c r="X383" s="1074">
        <f t="shared" si="78"/>
        <v>0</v>
      </c>
    </row>
    <row r="384" spans="1:24" s="456" customFormat="1" ht="14.25" customHeight="1" hidden="1">
      <c r="A384" s="1078"/>
      <c r="B384" s="1078"/>
      <c r="C384" s="1078"/>
      <c r="D384" s="1078"/>
      <c r="E384" s="1078"/>
      <c r="F384" s="1078"/>
      <c r="G384" s="1078"/>
      <c r="H384" s="443" t="s">
        <v>55</v>
      </c>
      <c r="I384" s="443" t="s">
        <v>55</v>
      </c>
      <c r="J384" s="1076"/>
      <c r="K384" s="1074"/>
      <c r="L384" s="1074"/>
      <c r="M384" s="1074"/>
      <c r="N384" s="1074"/>
      <c r="O384" s="1074"/>
      <c r="P384" s="1074"/>
      <c r="Q384" s="1074"/>
      <c r="R384" s="1074"/>
      <c r="S384" s="1074"/>
      <c r="T384" s="1074"/>
      <c r="U384" s="1074"/>
      <c r="V384" s="1074"/>
      <c r="W384" s="1074"/>
      <c r="X384" s="1074"/>
    </row>
    <row r="385" spans="1:24" s="456" customFormat="1" ht="14.25" customHeight="1" hidden="1">
      <c r="A385" s="1078"/>
      <c r="B385" s="1078"/>
      <c r="C385" s="1078"/>
      <c r="D385" s="1078"/>
      <c r="E385" s="1078"/>
      <c r="F385" s="1078"/>
      <c r="G385" s="1078"/>
      <c r="H385" s="443" t="s">
        <v>55</v>
      </c>
      <c r="I385" s="443" t="s">
        <v>55</v>
      </c>
      <c r="J385" s="449" t="s">
        <v>21</v>
      </c>
      <c r="K385" s="450">
        <f>K380+K375+K370+K365+K360+K355+K350+K345+K340+K335+K330+K325+K320+K315+K310+K305</f>
        <v>0</v>
      </c>
      <c r="L385" s="450">
        <f aca="true" t="shared" si="79" ref="L385:X385">L380+L375+L370+L365+L360+L355+L350+L345+L340+L335+L330+L325+L320+L315+L310+L305</f>
        <v>0</v>
      </c>
      <c r="M385" s="450">
        <f t="shared" si="79"/>
        <v>0</v>
      </c>
      <c r="N385" s="450">
        <f t="shared" si="79"/>
        <v>0</v>
      </c>
      <c r="O385" s="450">
        <f t="shared" si="79"/>
        <v>0</v>
      </c>
      <c r="P385" s="450">
        <f t="shared" si="79"/>
        <v>0</v>
      </c>
      <c r="Q385" s="450">
        <f t="shared" si="79"/>
        <v>0</v>
      </c>
      <c r="R385" s="450">
        <f t="shared" si="79"/>
        <v>0</v>
      </c>
      <c r="S385" s="450">
        <f t="shared" si="79"/>
        <v>0</v>
      </c>
      <c r="T385" s="450">
        <f t="shared" si="79"/>
        <v>0</v>
      </c>
      <c r="U385" s="450">
        <f t="shared" si="79"/>
        <v>0</v>
      </c>
      <c r="V385" s="450">
        <f t="shared" si="79"/>
        <v>0</v>
      </c>
      <c r="W385" s="450">
        <f t="shared" si="79"/>
        <v>0</v>
      </c>
      <c r="X385" s="450">
        <f t="shared" si="79"/>
        <v>0</v>
      </c>
    </row>
    <row r="386" spans="1:24" s="456" customFormat="1" ht="14.25" customHeight="1" hidden="1">
      <c r="A386" s="1078"/>
      <c r="B386" s="1078"/>
      <c r="C386" s="1078"/>
      <c r="D386" s="1078"/>
      <c r="E386" s="1078"/>
      <c r="F386" s="1078"/>
      <c r="G386" s="1078"/>
      <c r="H386" s="443" t="s">
        <v>55</v>
      </c>
      <c r="I386" s="443" t="s">
        <v>55</v>
      </c>
      <c r="J386" s="1075" t="s">
        <v>22</v>
      </c>
      <c r="K386" s="1074">
        <f>K383+K385</f>
        <v>12994138</v>
      </c>
      <c r="L386" s="1074">
        <f aca="true" t="shared" si="80" ref="L386:X386">L383+L385</f>
        <v>0</v>
      </c>
      <c r="M386" s="1074">
        <f t="shared" si="80"/>
        <v>0</v>
      </c>
      <c r="N386" s="1074">
        <f t="shared" si="80"/>
        <v>0</v>
      </c>
      <c r="O386" s="1074">
        <f t="shared" si="80"/>
        <v>12994138</v>
      </c>
      <c r="P386" s="1074">
        <f t="shared" si="80"/>
        <v>12994138</v>
      </c>
      <c r="Q386" s="1074">
        <f t="shared" si="80"/>
        <v>5519138</v>
      </c>
      <c r="R386" s="1074">
        <f t="shared" si="80"/>
        <v>7475000</v>
      </c>
      <c r="S386" s="1074">
        <f t="shared" si="80"/>
        <v>0</v>
      </c>
      <c r="T386" s="1074">
        <f t="shared" si="80"/>
        <v>0</v>
      </c>
      <c r="U386" s="1074">
        <f t="shared" si="80"/>
        <v>0</v>
      </c>
      <c r="V386" s="1074">
        <f t="shared" si="80"/>
        <v>0</v>
      </c>
      <c r="W386" s="1074">
        <f t="shared" si="80"/>
        <v>0</v>
      </c>
      <c r="X386" s="1074">
        <f t="shared" si="80"/>
        <v>0</v>
      </c>
    </row>
    <row r="387" spans="1:24" s="456" customFormat="1" ht="14.25" customHeight="1" hidden="1">
      <c r="A387" s="1078"/>
      <c r="B387" s="1078"/>
      <c r="C387" s="1078"/>
      <c r="D387" s="1078"/>
      <c r="E387" s="1078"/>
      <c r="F387" s="1078"/>
      <c r="G387" s="1078"/>
      <c r="H387" s="443" t="s">
        <v>55</v>
      </c>
      <c r="I387" s="443" t="s">
        <v>55</v>
      </c>
      <c r="J387" s="1076"/>
      <c r="K387" s="1074"/>
      <c r="L387" s="1074"/>
      <c r="M387" s="1074"/>
      <c r="N387" s="1074"/>
      <c r="O387" s="1074"/>
      <c r="P387" s="1074"/>
      <c r="Q387" s="1074"/>
      <c r="R387" s="1074"/>
      <c r="S387" s="1074"/>
      <c r="T387" s="1074"/>
      <c r="U387" s="1074"/>
      <c r="V387" s="1074"/>
      <c r="W387" s="1074"/>
      <c r="X387" s="1074"/>
    </row>
    <row r="388" spans="1:24" s="458" customFormat="1" ht="19.5" customHeight="1">
      <c r="A388" s="1077" t="s">
        <v>457</v>
      </c>
      <c r="B388" s="1077"/>
      <c r="C388" s="1077"/>
      <c r="D388" s="1077"/>
      <c r="E388" s="1077"/>
      <c r="F388" s="1077"/>
      <c r="G388" s="1077"/>
      <c r="H388" s="457">
        <f>H295+H267</f>
        <v>1090523951</v>
      </c>
      <c r="I388" s="457">
        <f>I295+I267</f>
        <v>39918221</v>
      </c>
      <c r="J388" s="1075" t="s">
        <v>20</v>
      </c>
      <c r="K388" s="1074">
        <f>K383+K295+K267</f>
        <v>263624534</v>
      </c>
      <c r="L388" s="1074">
        <f aca="true" t="shared" si="81" ref="L388:X388">L383+L295+L267</f>
        <v>226130314</v>
      </c>
      <c r="M388" s="1074">
        <f t="shared" si="81"/>
        <v>83126912</v>
      </c>
      <c r="N388" s="1074">
        <f t="shared" si="81"/>
        <v>143003402</v>
      </c>
      <c r="O388" s="1074">
        <f t="shared" si="81"/>
        <v>37494220</v>
      </c>
      <c r="P388" s="1074">
        <f t="shared" si="81"/>
        <v>16282000</v>
      </c>
      <c r="Q388" s="1074">
        <f t="shared" si="81"/>
        <v>8807000</v>
      </c>
      <c r="R388" s="1074">
        <f t="shared" si="81"/>
        <v>7475000</v>
      </c>
      <c r="S388" s="1074">
        <f t="shared" si="81"/>
        <v>17077247</v>
      </c>
      <c r="T388" s="1074">
        <f t="shared" si="81"/>
        <v>7250722</v>
      </c>
      <c r="U388" s="1074">
        <f t="shared" si="81"/>
        <v>9826525</v>
      </c>
      <c r="V388" s="1074">
        <f t="shared" si="81"/>
        <v>4134973</v>
      </c>
      <c r="W388" s="1074">
        <f t="shared" si="81"/>
        <v>1233098</v>
      </c>
      <c r="X388" s="1074">
        <f t="shared" si="81"/>
        <v>2901875</v>
      </c>
    </row>
    <row r="389" spans="1:24" s="459" customFormat="1" ht="19.5" customHeight="1">
      <c r="A389" s="1077"/>
      <c r="B389" s="1077"/>
      <c r="C389" s="1077"/>
      <c r="D389" s="1077"/>
      <c r="E389" s="1077"/>
      <c r="F389" s="1077"/>
      <c r="G389" s="1077"/>
      <c r="H389" s="457">
        <f aca="true" t="shared" si="82" ref="H389:I392">H296+H268</f>
        <v>928129016</v>
      </c>
      <c r="I389" s="457">
        <f t="shared" si="82"/>
        <v>11777517</v>
      </c>
      <c r="J389" s="1076"/>
      <c r="K389" s="1074"/>
      <c r="L389" s="1074"/>
      <c r="M389" s="1074"/>
      <c r="N389" s="1074"/>
      <c r="O389" s="1074"/>
      <c r="P389" s="1074"/>
      <c r="Q389" s="1074"/>
      <c r="R389" s="1074"/>
      <c r="S389" s="1074"/>
      <c r="T389" s="1074"/>
      <c r="U389" s="1074"/>
      <c r="V389" s="1074"/>
      <c r="W389" s="1074"/>
      <c r="X389" s="1074"/>
    </row>
    <row r="390" spans="1:24" s="459" customFormat="1" ht="19.5" customHeight="1">
      <c r="A390" s="1077"/>
      <c r="B390" s="1077"/>
      <c r="C390" s="1077"/>
      <c r="D390" s="1077"/>
      <c r="E390" s="1077"/>
      <c r="F390" s="1077"/>
      <c r="G390" s="1077"/>
      <c r="H390" s="457">
        <f t="shared" si="82"/>
        <v>8780085</v>
      </c>
      <c r="I390" s="457">
        <f t="shared" si="82"/>
        <v>661690</v>
      </c>
      <c r="J390" s="449" t="s">
        <v>21</v>
      </c>
      <c r="K390" s="450">
        <f>K385+K297+K269</f>
        <v>2097474</v>
      </c>
      <c r="L390" s="450">
        <f aca="true" t="shared" si="83" ref="L390:X390">L385+L297+L269</f>
        <v>2024143</v>
      </c>
      <c r="M390" s="450">
        <f t="shared" si="83"/>
        <v>2030840</v>
      </c>
      <c r="N390" s="450">
        <f t="shared" si="83"/>
        <v>-6697</v>
      </c>
      <c r="O390" s="450">
        <f t="shared" si="83"/>
        <v>73331</v>
      </c>
      <c r="P390" s="450">
        <f t="shared" si="83"/>
        <v>0</v>
      </c>
      <c r="Q390" s="450">
        <f t="shared" si="83"/>
        <v>0</v>
      </c>
      <c r="R390" s="450">
        <f t="shared" si="83"/>
        <v>0</v>
      </c>
      <c r="S390" s="450">
        <f t="shared" si="83"/>
        <v>55375</v>
      </c>
      <c r="T390" s="450">
        <f t="shared" si="83"/>
        <v>93876</v>
      </c>
      <c r="U390" s="450">
        <f t="shared" si="83"/>
        <v>-38501</v>
      </c>
      <c r="V390" s="450">
        <f t="shared" si="83"/>
        <v>17956</v>
      </c>
      <c r="W390" s="450">
        <f t="shared" si="83"/>
        <v>-8398</v>
      </c>
      <c r="X390" s="450">
        <f t="shared" si="83"/>
        <v>26354</v>
      </c>
    </row>
    <row r="391" spans="1:24" s="459" customFormat="1" ht="19.5" customHeight="1">
      <c r="A391" s="1077"/>
      <c r="B391" s="1077"/>
      <c r="C391" s="1077"/>
      <c r="D391" s="1077"/>
      <c r="E391" s="1077"/>
      <c r="F391" s="1077"/>
      <c r="G391" s="1077"/>
      <c r="H391" s="457">
        <f t="shared" si="82"/>
        <v>142899804</v>
      </c>
      <c r="I391" s="457">
        <f t="shared" si="82"/>
        <v>27377655</v>
      </c>
      <c r="J391" s="1075" t="s">
        <v>22</v>
      </c>
      <c r="K391" s="1074">
        <f>K388+K390</f>
        <v>265722008</v>
      </c>
      <c r="L391" s="1074">
        <f aca="true" t="shared" si="84" ref="L391:X391">L388+L390</f>
        <v>228154457</v>
      </c>
      <c r="M391" s="1074">
        <f t="shared" si="84"/>
        <v>85157752</v>
      </c>
      <c r="N391" s="1074">
        <f t="shared" si="84"/>
        <v>142996705</v>
      </c>
      <c r="O391" s="1074">
        <f t="shared" si="84"/>
        <v>37567551</v>
      </c>
      <c r="P391" s="1074">
        <f t="shared" si="84"/>
        <v>16282000</v>
      </c>
      <c r="Q391" s="1074">
        <f t="shared" si="84"/>
        <v>8807000</v>
      </c>
      <c r="R391" s="1074">
        <f t="shared" si="84"/>
        <v>7475000</v>
      </c>
      <c r="S391" s="1074">
        <f t="shared" si="84"/>
        <v>17132622</v>
      </c>
      <c r="T391" s="1074">
        <f t="shared" si="84"/>
        <v>7344598</v>
      </c>
      <c r="U391" s="1074">
        <f t="shared" si="84"/>
        <v>9788024</v>
      </c>
      <c r="V391" s="1074">
        <f t="shared" si="84"/>
        <v>4152929</v>
      </c>
      <c r="W391" s="1074">
        <f t="shared" si="84"/>
        <v>1224700</v>
      </c>
      <c r="X391" s="1074">
        <f t="shared" si="84"/>
        <v>2928229</v>
      </c>
    </row>
    <row r="392" spans="1:24" s="459" customFormat="1" ht="19.5" customHeight="1">
      <c r="A392" s="1077"/>
      <c r="B392" s="1077"/>
      <c r="C392" s="1077"/>
      <c r="D392" s="1077"/>
      <c r="E392" s="1077"/>
      <c r="F392" s="1077"/>
      <c r="G392" s="1077"/>
      <c r="H392" s="457">
        <f t="shared" si="82"/>
        <v>10715046</v>
      </c>
      <c r="I392" s="457">
        <f t="shared" si="82"/>
        <v>101359</v>
      </c>
      <c r="J392" s="1076"/>
      <c r="K392" s="1074"/>
      <c r="L392" s="1074"/>
      <c r="M392" s="1074"/>
      <c r="N392" s="1074"/>
      <c r="O392" s="1074"/>
      <c r="P392" s="1074"/>
      <c r="Q392" s="1074"/>
      <c r="R392" s="1074"/>
      <c r="S392" s="1074"/>
      <c r="T392" s="1074"/>
      <c r="U392" s="1074"/>
      <c r="V392" s="1074"/>
      <c r="W392" s="1074"/>
      <c r="X392" s="1074"/>
    </row>
    <row r="394" spans="1:2" ht="15">
      <c r="A394" s="460" t="s">
        <v>20</v>
      </c>
      <c r="B394" s="461" t="s">
        <v>646</v>
      </c>
    </row>
    <row r="395" spans="1:2" ht="15">
      <c r="A395" s="460" t="s">
        <v>21</v>
      </c>
      <c r="B395" s="461" t="s">
        <v>647</v>
      </c>
    </row>
    <row r="396" spans="1:2" ht="15">
      <c r="A396" s="460" t="s">
        <v>22</v>
      </c>
      <c r="B396" s="461" t="s">
        <v>648</v>
      </c>
    </row>
  </sheetData>
  <sheetProtection password="C25B" sheet="1"/>
  <mergeCells count="2756">
    <mergeCell ref="A5:X5"/>
    <mergeCell ref="A7:A12"/>
    <mergeCell ref="B7:B12"/>
    <mergeCell ref="C7:C12"/>
    <mergeCell ref="D7:D12"/>
    <mergeCell ref="E7:E12"/>
    <mergeCell ref="F7:F12"/>
    <mergeCell ref="G7:G12"/>
    <mergeCell ref="H7:H8"/>
    <mergeCell ref="I7:I8"/>
    <mergeCell ref="J7:J8"/>
    <mergeCell ref="K7:X8"/>
    <mergeCell ref="J9:J10"/>
    <mergeCell ref="K9:K12"/>
    <mergeCell ref="L9:N10"/>
    <mergeCell ref="O9:O12"/>
    <mergeCell ref="P9:X9"/>
    <mergeCell ref="P10:R10"/>
    <mergeCell ref="S10:U10"/>
    <mergeCell ref="V10:X10"/>
    <mergeCell ref="J11:J12"/>
    <mergeCell ref="L11:L12"/>
    <mergeCell ref="M11:M12"/>
    <mergeCell ref="N11:N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A14:X14"/>
    <mergeCell ref="A15:X15"/>
    <mergeCell ref="A16:X16"/>
    <mergeCell ref="A17:A21"/>
    <mergeCell ref="B17:B21"/>
    <mergeCell ref="C17:C21"/>
    <mergeCell ref="D17:D21"/>
    <mergeCell ref="E17:E21"/>
    <mergeCell ref="F17:F21"/>
    <mergeCell ref="G17:G21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A22:A26"/>
    <mergeCell ref="B22:B26"/>
    <mergeCell ref="C22:C26"/>
    <mergeCell ref="D22:D26"/>
    <mergeCell ref="E22:E26"/>
    <mergeCell ref="F22:F26"/>
    <mergeCell ref="G22:G26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A27:A31"/>
    <mergeCell ref="B27:B31"/>
    <mergeCell ref="C27:C31"/>
    <mergeCell ref="D27:D31"/>
    <mergeCell ref="E27:E31"/>
    <mergeCell ref="F27:F31"/>
    <mergeCell ref="G27:G31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A32:A36"/>
    <mergeCell ref="B32:B36"/>
    <mergeCell ref="C32:C36"/>
    <mergeCell ref="D32:D36"/>
    <mergeCell ref="E32:E36"/>
    <mergeCell ref="F32:F36"/>
    <mergeCell ref="G32:G36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X32:X33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A37:A41"/>
    <mergeCell ref="B37:B41"/>
    <mergeCell ref="C37:C41"/>
    <mergeCell ref="D37:D41"/>
    <mergeCell ref="E37:E41"/>
    <mergeCell ref="F37:F41"/>
    <mergeCell ref="G37:G41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A42:A46"/>
    <mergeCell ref="B42:B46"/>
    <mergeCell ref="C42:C46"/>
    <mergeCell ref="D42:D46"/>
    <mergeCell ref="E42:E46"/>
    <mergeCell ref="F42:F46"/>
    <mergeCell ref="G42:G46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A47:A51"/>
    <mergeCell ref="B47:B51"/>
    <mergeCell ref="C47:C51"/>
    <mergeCell ref="D47:D51"/>
    <mergeCell ref="E47:E51"/>
    <mergeCell ref="F47:F51"/>
    <mergeCell ref="G47:G51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A52:A56"/>
    <mergeCell ref="B52:B56"/>
    <mergeCell ref="C52:C56"/>
    <mergeCell ref="D52:D56"/>
    <mergeCell ref="E52:E56"/>
    <mergeCell ref="F52:F56"/>
    <mergeCell ref="G52:G56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57:A61"/>
    <mergeCell ref="B57:B61"/>
    <mergeCell ref="C57:C61"/>
    <mergeCell ref="D57:D61"/>
    <mergeCell ref="E57:E61"/>
    <mergeCell ref="F57:F61"/>
    <mergeCell ref="G57:G61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A62:A66"/>
    <mergeCell ref="B62:B66"/>
    <mergeCell ref="C62:C66"/>
    <mergeCell ref="D62:D66"/>
    <mergeCell ref="E62:E66"/>
    <mergeCell ref="F62:F66"/>
    <mergeCell ref="G62:G66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A67:A71"/>
    <mergeCell ref="B67:B71"/>
    <mergeCell ref="C67:C71"/>
    <mergeCell ref="D67:D71"/>
    <mergeCell ref="E67:E71"/>
    <mergeCell ref="F67:F71"/>
    <mergeCell ref="G67:G71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A72:A76"/>
    <mergeCell ref="B72:B76"/>
    <mergeCell ref="C72:C76"/>
    <mergeCell ref="D72:D76"/>
    <mergeCell ref="E72:E76"/>
    <mergeCell ref="F72:F76"/>
    <mergeCell ref="G72:G76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A77:A81"/>
    <mergeCell ref="B77:B81"/>
    <mergeCell ref="C77:C81"/>
    <mergeCell ref="D77:D81"/>
    <mergeCell ref="E77:E81"/>
    <mergeCell ref="F77:F81"/>
    <mergeCell ref="G77:G81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J80:J81"/>
    <mergeCell ref="K80:K81"/>
    <mergeCell ref="L80:L81"/>
    <mergeCell ref="M80:M81"/>
    <mergeCell ref="N80:N81"/>
    <mergeCell ref="O80:O81"/>
    <mergeCell ref="P80:P81"/>
    <mergeCell ref="Q80:Q81"/>
    <mergeCell ref="R80:R81"/>
    <mergeCell ref="S80:S81"/>
    <mergeCell ref="T80:T81"/>
    <mergeCell ref="U80:U81"/>
    <mergeCell ref="V80:V81"/>
    <mergeCell ref="W80:W81"/>
    <mergeCell ref="X80:X81"/>
    <mergeCell ref="A82:A86"/>
    <mergeCell ref="B82:B86"/>
    <mergeCell ref="C82:C86"/>
    <mergeCell ref="D82:D86"/>
    <mergeCell ref="E82:E86"/>
    <mergeCell ref="F82:F86"/>
    <mergeCell ref="G82:G86"/>
    <mergeCell ref="J82:J83"/>
    <mergeCell ref="K82:K83"/>
    <mergeCell ref="L82:L83"/>
    <mergeCell ref="M82:M83"/>
    <mergeCell ref="N82:N83"/>
    <mergeCell ref="O82:O83"/>
    <mergeCell ref="P82:P83"/>
    <mergeCell ref="Q82:Q83"/>
    <mergeCell ref="R82:R83"/>
    <mergeCell ref="S82:S83"/>
    <mergeCell ref="T82:T83"/>
    <mergeCell ref="U82:U83"/>
    <mergeCell ref="V82:V83"/>
    <mergeCell ref="W82:W83"/>
    <mergeCell ref="X82:X83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A87:A91"/>
    <mergeCell ref="B87:B91"/>
    <mergeCell ref="C87:C91"/>
    <mergeCell ref="D87:D91"/>
    <mergeCell ref="E87:E91"/>
    <mergeCell ref="F87:F91"/>
    <mergeCell ref="G87:G91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X90:X91"/>
    <mergeCell ref="A92:A96"/>
    <mergeCell ref="B92:B96"/>
    <mergeCell ref="C92:C96"/>
    <mergeCell ref="D92:D96"/>
    <mergeCell ref="E92:E96"/>
    <mergeCell ref="F92:F96"/>
    <mergeCell ref="G92:G96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X92:X93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A97:A101"/>
    <mergeCell ref="B97:B101"/>
    <mergeCell ref="C97:C101"/>
    <mergeCell ref="D97:D101"/>
    <mergeCell ref="E97:E101"/>
    <mergeCell ref="F97:F101"/>
    <mergeCell ref="G97:G101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J100:J101"/>
    <mergeCell ref="K100:K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A102:A106"/>
    <mergeCell ref="B102:B106"/>
    <mergeCell ref="C102:C106"/>
    <mergeCell ref="D102:D106"/>
    <mergeCell ref="E102:E106"/>
    <mergeCell ref="F102:F106"/>
    <mergeCell ref="G102:G106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V102:V103"/>
    <mergeCell ref="W102:W103"/>
    <mergeCell ref="X102:X103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A107:A111"/>
    <mergeCell ref="B107:B111"/>
    <mergeCell ref="C107:C111"/>
    <mergeCell ref="D107:D111"/>
    <mergeCell ref="E107:E111"/>
    <mergeCell ref="F107:F111"/>
    <mergeCell ref="G107:G111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A112:A116"/>
    <mergeCell ref="B112:B116"/>
    <mergeCell ref="C112:C116"/>
    <mergeCell ref="D112:D116"/>
    <mergeCell ref="E112:E116"/>
    <mergeCell ref="F112:F116"/>
    <mergeCell ref="G112:G116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U112:U113"/>
    <mergeCell ref="V112:V113"/>
    <mergeCell ref="W112:W113"/>
    <mergeCell ref="X112:X113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A117:A121"/>
    <mergeCell ref="B117:B121"/>
    <mergeCell ref="C117:C121"/>
    <mergeCell ref="D117:D121"/>
    <mergeCell ref="E117:E121"/>
    <mergeCell ref="F117:F121"/>
    <mergeCell ref="G117:G121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J120:J121"/>
    <mergeCell ref="K120:K121"/>
    <mergeCell ref="L120:L121"/>
    <mergeCell ref="M120:M121"/>
    <mergeCell ref="N120:N121"/>
    <mergeCell ref="O120:O121"/>
    <mergeCell ref="P120:P121"/>
    <mergeCell ref="Q120:Q121"/>
    <mergeCell ref="R120:R121"/>
    <mergeCell ref="S120:S121"/>
    <mergeCell ref="T120:T121"/>
    <mergeCell ref="U120:U121"/>
    <mergeCell ref="V120:V121"/>
    <mergeCell ref="W120:W121"/>
    <mergeCell ref="X120:X121"/>
    <mergeCell ref="A122:A126"/>
    <mergeCell ref="B122:B126"/>
    <mergeCell ref="C122:C126"/>
    <mergeCell ref="D122:D126"/>
    <mergeCell ref="E122:E126"/>
    <mergeCell ref="F122:F126"/>
    <mergeCell ref="G122:G126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A127:A131"/>
    <mergeCell ref="B127:B131"/>
    <mergeCell ref="C127:C131"/>
    <mergeCell ref="D127:D131"/>
    <mergeCell ref="E127:E131"/>
    <mergeCell ref="F127:F131"/>
    <mergeCell ref="G127:G131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A132:A136"/>
    <mergeCell ref="B132:B136"/>
    <mergeCell ref="C132:C136"/>
    <mergeCell ref="D132:D136"/>
    <mergeCell ref="E132:E136"/>
    <mergeCell ref="F132:F136"/>
    <mergeCell ref="G132:G136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A137:A141"/>
    <mergeCell ref="B137:B141"/>
    <mergeCell ref="C137:C141"/>
    <mergeCell ref="D137:D141"/>
    <mergeCell ref="E137:E141"/>
    <mergeCell ref="F137:F141"/>
    <mergeCell ref="G137:G141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A142:A146"/>
    <mergeCell ref="B142:B146"/>
    <mergeCell ref="C142:C146"/>
    <mergeCell ref="D142:D146"/>
    <mergeCell ref="E142:E146"/>
    <mergeCell ref="F142:F146"/>
    <mergeCell ref="G142:G146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A147:A151"/>
    <mergeCell ref="B147:B151"/>
    <mergeCell ref="C147:C151"/>
    <mergeCell ref="D147:D151"/>
    <mergeCell ref="E147:E151"/>
    <mergeCell ref="F147:F151"/>
    <mergeCell ref="G147:G151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J150:J151"/>
    <mergeCell ref="K150:K151"/>
    <mergeCell ref="L150:L151"/>
    <mergeCell ref="M150:M151"/>
    <mergeCell ref="N150:N151"/>
    <mergeCell ref="O150:O151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X150:X151"/>
    <mergeCell ref="A152:A156"/>
    <mergeCell ref="B152:B156"/>
    <mergeCell ref="C152:C156"/>
    <mergeCell ref="D152:D156"/>
    <mergeCell ref="E152:E156"/>
    <mergeCell ref="F152:F156"/>
    <mergeCell ref="G152:G156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A157:A161"/>
    <mergeCell ref="B157:B161"/>
    <mergeCell ref="C157:C161"/>
    <mergeCell ref="D157:D161"/>
    <mergeCell ref="E157:E161"/>
    <mergeCell ref="F157:F161"/>
    <mergeCell ref="G157:G161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J160:J161"/>
    <mergeCell ref="K160:K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T160:T161"/>
    <mergeCell ref="U160:U161"/>
    <mergeCell ref="V160:V161"/>
    <mergeCell ref="W160:W161"/>
    <mergeCell ref="X160:X161"/>
    <mergeCell ref="A162:A166"/>
    <mergeCell ref="B162:B166"/>
    <mergeCell ref="C162:C166"/>
    <mergeCell ref="D162:D166"/>
    <mergeCell ref="E162:E166"/>
    <mergeCell ref="F162:F166"/>
    <mergeCell ref="G162:G166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A167:A171"/>
    <mergeCell ref="B167:B171"/>
    <mergeCell ref="C167:C171"/>
    <mergeCell ref="D167:D171"/>
    <mergeCell ref="E167:E171"/>
    <mergeCell ref="F167:F171"/>
    <mergeCell ref="G167:G171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A172:A176"/>
    <mergeCell ref="B172:B176"/>
    <mergeCell ref="C172:C176"/>
    <mergeCell ref="D172:D176"/>
    <mergeCell ref="E172:E176"/>
    <mergeCell ref="F172:F176"/>
    <mergeCell ref="G172:G176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A177:A181"/>
    <mergeCell ref="B177:B181"/>
    <mergeCell ref="C177:C181"/>
    <mergeCell ref="D177:D181"/>
    <mergeCell ref="E177:E181"/>
    <mergeCell ref="F177:F181"/>
    <mergeCell ref="G177:G181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A182:A186"/>
    <mergeCell ref="B182:B186"/>
    <mergeCell ref="C182:C186"/>
    <mergeCell ref="D182:D186"/>
    <mergeCell ref="E182:E186"/>
    <mergeCell ref="F182:F186"/>
    <mergeCell ref="G182:G186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X185:X186"/>
    <mergeCell ref="A187:A191"/>
    <mergeCell ref="B187:B191"/>
    <mergeCell ref="C187:C191"/>
    <mergeCell ref="D187:D191"/>
    <mergeCell ref="E187:E191"/>
    <mergeCell ref="F187:F191"/>
    <mergeCell ref="G187:G191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X187:X188"/>
    <mergeCell ref="J190:J191"/>
    <mergeCell ref="K190:K191"/>
    <mergeCell ref="L190:L191"/>
    <mergeCell ref="M190:M191"/>
    <mergeCell ref="N190:N191"/>
    <mergeCell ref="O190:O191"/>
    <mergeCell ref="P190:P191"/>
    <mergeCell ref="Q190:Q191"/>
    <mergeCell ref="R190:R191"/>
    <mergeCell ref="S190:S191"/>
    <mergeCell ref="T190:T191"/>
    <mergeCell ref="U190:U191"/>
    <mergeCell ref="V190:V191"/>
    <mergeCell ref="W190:W191"/>
    <mergeCell ref="X190:X191"/>
    <mergeCell ref="A192:A196"/>
    <mergeCell ref="B192:B196"/>
    <mergeCell ref="C192:C196"/>
    <mergeCell ref="D192:D196"/>
    <mergeCell ref="E192:E196"/>
    <mergeCell ref="F192:F196"/>
    <mergeCell ref="G192:G196"/>
    <mergeCell ref="J192:J193"/>
    <mergeCell ref="K192:K193"/>
    <mergeCell ref="L192:L193"/>
    <mergeCell ref="M192:M193"/>
    <mergeCell ref="N192:N193"/>
    <mergeCell ref="O192:O193"/>
    <mergeCell ref="P192:P193"/>
    <mergeCell ref="Q192:Q193"/>
    <mergeCell ref="R192:R193"/>
    <mergeCell ref="S192:S193"/>
    <mergeCell ref="T192:T193"/>
    <mergeCell ref="U192:U193"/>
    <mergeCell ref="V192:V193"/>
    <mergeCell ref="W192:W193"/>
    <mergeCell ref="X192:X193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X195:X196"/>
    <mergeCell ref="A197:A201"/>
    <mergeCell ref="B197:B201"/>
    <mergeCell ref="C197:C201"/>
    <mergeCell ref="D197:D201"/>
    <mergeCell ref="E197:E201"/>
    <mergeCell ref="F197:F201"/>
    <mergeCell ref="G197:G201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X197:X198"/>
    <mergeCell ref="J200:J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A202:A206"/>
    <mergeCell ref="B202:B206"/>
    <mergeCell ref="C202:C206"/>
    <mergeCell ref="D202:D206"/>
    <mergeCell ref="E202:E206"/>
    <mergeCell ref="F202:F206"/>
    <mergeCell ref="G202:G206"/>
    <mergeCell ref="J202:J203"/>
    <mergeCell ref="K202:K203"/>
    <mergeCell ref="L202:L203"/>
    <mergeCell ref="M202:M203"/>
    <mergeCell ref="N202:N203"/>
    <mergeCell ref="O202:O203"/>
    <mergeCell ref="P202:P203"/>
    <mergeCell ref="Q202:Q203"/>
    <mergeCell ref="R202:R203"/>
    <mergeCell ref="S202:S203"/>
    <mergeCell ref="T202:T203"/>
    <mergeCell ref="U202:U203"/>
    <mergeCell ref="V202:V203"/>
    <mergeCell ref="W202:W203"/>
    <mergeCell ref="X202:X203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X205:X206"/>
    <mergeCell ref="A207:A211"/>
    <mergeCell ref="B207:B211"/>
    <mergeCell ref="C207:C211"/>
    <mergeCell ref="D207:D211"/>
    <mergeCell ref="E207:E211"/>
    <mergeCell ref="F207:F211"/>
    <mergeCell ref="G207:G211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X207:X208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A212:A216"/>
    <mergeCell ref="B212:B216"/>
    <mergeCell ref="C212:C216"/>
    <mergeCell ref="D212:D216"/>
    <mergeCell ref="E212:E216"/>
    <mergeCell ref="F212:F216"/>
    <mergeCell ref="G212:G216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R215:R216"/>
    <mergeCell ref="S215:S216"/>
    <mergeCell ref="T215:T216"/>
    <mergeCell ref="U215:U216"/>
    <mergeCell ref="V215:V216"/>
    <mergeCell ref="W215:W216"/>
    <mergeCell ref="X215:X216"/>
    <mergeCell ref="A217:A221"/>
    <mergeCell ref="B217:B221"/>
    <mergeCell ref="C217:C221"/>
    <mergeCell ref="D217:D221"/>
    <mergeCell ref="E217:E221"/>
    <mergeCell ref="F217:F221"/>
    <mergeCell ref="G217:G221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V217:V218"/>
    <mergeCell ref="W217:W218"/>
    <mergeCell ref="X217:X218"/>
    <mergeCell ref="J220:J221"/>
    <mergeCell ref="K220:K221"/>
    <mergeCell ref="L220:L221"/>
    <mergeCell ref="M220:M221"/>
    <mergeCell ref="N220:N221"/>
    <mergeCell ref="O220:O221"/>
    <mergeCell ref="P220:P221"/>
    <mergeCell ref="Q220:Q221"/>
    <mergeCell ref="R220:R221"/>
    <mergeCell ref="S220:S221"/>
    <mergeCell ref="T220:T221"/>
    <mergeCell ref="U220:U221"/>
    <mergeCell ref="V220:V221"/>
    <mergeCell ref="W220:W221"/>
    <mergeCell ref="X220:X221"/>
    <mergeCell ref="A222:A226"/>
    <mergeCell ref="B222:B226"/>
    <mergeCell ref="C222:C226"/>
    <mergeCell ref="D222:D226"/>
    <mergeCell ref="E222:E226"/>
    <mergeCell ref="F222:F226"/>
    <mergeCell ref="G222:G226"/>
    <mergeCell ref="J222:J223"/>
    <mergeCell ref="K222:K223"/>
    <mergeCell ref="L222:L223"/>
    <mergeCell ref="M222:M223"/>
    <mergeCell ref="N222:N223"/>
    <mergeCell ref="O222:O223"/>
    <mergeCell ref="P222:P223"/>
    <mergeCell ref="Q222:Q223"/>
    <mergeCell ref="R222:R223"/>
    <mergeCell ref="S222:S223"/>
    <mergeCell ref="T222:T223"/>
    <mergeCell ref="U222:U223"/>
    <mergeCell ref="V222:V223"/>
    <mergeCell ref="W222:W223"/>
    <mergeCell ref="X222:X223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A227:A231"/>
    <mergeCell ref="B227:B231"/>
    <mergeCell ref="C227:C231"/>
    <mergeCell ref="D227:D231"/>
    <mergeCell ref="E227:E231"/>
    <mergeCell ref="F227:F231"/>
    <mergeCell ref="G227:G231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J230:J231"/>
    <mergeCell ref="K230:K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T230:T231"/>
    <mergeCell ref="U230:U231"/>
    <mergeCell ref="V230:V231"/>
    <mergeCell ref="W230:W231"/>
    <mergeCell ref="X230:X231"/>
    <mergeCell ref="A232:A236"/>
    <mergeCell ref="B232:B236"/>
    <mergeCell ref="C232:C236"/>
    <mergeCell ref="D232:D236"/>
    <mergeCell ref="E232:E236"/>
    <mergeCell ref="F232:F236"/>
    <mergeCell ref="G232:G236"/>
    <mergeCell ref="J232:J233"/>
    <mergeCell ref="K232:K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T232:T233"/>
    <mergeCell ref="U232:U233"/>
    <mergeCell ref="V232:V233"/>
    <mergeCell ref="W232:W233"/>
    <mergeCell ref="X232:X233"/>
    <mergeCell ref="J235:J236"/>
    <mergeCell ref="K235:K236"/>
    <mergeCell ref="L235:L236"/>
    <mergeCell ref="M235:M236"/>
    <mergeCell ref="N235:N236"/>
    <mergeCell ref="O235:O236"/>
    <mergeCell ref="P235:P236"/>
    <mergeCell ref="Q235:Q236"/>
    <mergeCell ref="R235:R236"/>
    <mergeCell ref="S235:S236"/>
    <mergeCell ref="T235:T236"/>
    <mergeCell ref="U235:U236"/>
    <mergeCell ref="V235:V236"/>
    <mergeCell ref="W235:W236"/>
    <mergeCell ref="X235:X236"/>
    <mergeCell ref="A237:A241"/>
    <mergeCell ref="B237:B241"/>
    <mergeCell ref="C237:C241"/>
    <mergeCell ref="D237:D241"/>
    <mergeCell ref="E237:E241"/>
    <mergeCell ref="F237:F241"/>
    <mergeCell ref="G237:G241"/>
    <mergeCell ref="J237:J238"/>
    <mergeCell ref="K237:K238"/>
    <mergeCell ref="L237:L238"/>
    <mergeCell ref="M237:M238"/>
    <mergeCell ref="N237:N238"/>
    <mergeCell ref="O237:O238"/>
    <mergeCell ref="P237:P238"/>
    <mergeCell ref="Q237:Q238"/>
    <mergeCell ref="R237:R238"/>
    <mergeCell ref="S237:S238"/>
    <mergeCell ref="T237:T238"/>
    <mergeCell ref="U237:U238"/>
    <mergeCell ref="V237:V238"/>
    <mergeCell ref="W237:W238"/>
    <mergeCell ref="X237:X238"/>
    <mergeCell ref="J240:J241"/>
    <mergeCell ref="K240:K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U240:U241"/>
    <mergeCell ref="V240:V241"/>
    <mergeCell ref="W240:W241"/>
    <mergeCell ref="X240:X241"/>
    <mergeCell ref="A242:A246"/>
    <mergeCell ref="B242:B246"/>
    <mergeCell ref="C242:C246"/>
    <mergeCell ref="D242:D246"/>
    <mergeCell ref="E242:E246"/>
    <mergeCell ref="F242:F246"/>
    <mergeCell ref="G242:G246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T242:T243"/>
    <mergeCell ref="U242:U243"/>
    <mergeCell ref="V242:V243"/>
    <mergeCell ref="W242:W243"/>
    <mergeCell ref="X242:X243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A247:A251"/>
    <mergeCell ref="B247:B251"/>
    <mergeCell ref="C247:C251"/>
    <mergeCell ref="D247:D251"/>
    <mergeCell ref="E247:E251"/>
    <mergeCell ref="F247:F251"/>
    <mergeCell ref="G247:G251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J250:J251"/>
    <mergeCell ref="K250:K251"/>
    <mergeCell ref="L250:L251"/>
    <mergeCell ref="M250:M251"/>
    <mergeCell ref="N250:N251"/>
    <mergeCell ref="O250:O251"/>
    <mergeCell ref="P250:P251"/>
    <mergeCell ref="Q250:Q251"/>
    <mergeCell ref="R250:R251"/>
    <mergeCell ref="S250:S251"/>
    <mergeCell ref="T250:T251"/>
    <mergeCell ref="U250:U251"/>
    <mergeCell ref="V250:V251"/>
    <mergeCell ref="W250:W251"/>
    <mergeCell ref="X250:X251"/>
    <mergeCell ref="A252:A256"/>
    <mergeCell ref="B252:B256"/>
    <mergeCell ref="C252:C256"/>
    <mergeCell ref="D252:D256"/>
    <mergeCell ref="E252:E256"/>
    <mergeCell ref="F252:F256"/>
    <mergeCell ref="G252:G256"/>
    <mergeCell ref="J252:J253"/>
    <mergeCell ref="K252:K253"/>
    <mergeCell ref="L252:L253"/>
    <mergeCell ref="M252:M253"/>
    <mergeCell ref="N252:N253"/>
    <mergeCell ref="O252:O253"/>
    <mergeCell ref="P252:P253"/>
    <mergeCell ref="Q252:Q253"/>
    <mergeCell ref="R252:R253"/>
    <mergeCell ref="S252:S253"/>
    <mergeCell ref="T252:T253"/>
    <mergeCell ref="U252:U253"/>
    <mergeCell ref="V252:V253"/>
    <mergeCell ref="W252:W253"/>
    <mergeCell ref="X252:X253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A257:A261"/>
    <mergeCell ref="B257:B261"/>
    <mergeCell ref="C257:C261"/>
    <mergeCell ref="D257:D261"/>
    <mergeCell ref="E257:E261"/>
    <mergeCell ref="F257:F261"/>
    <mergeCell ref="G257:G261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J260:J261"/>
    <mergeCell ref="K260:K261"/>
    <mergeCell ref="L260:L261"/>
    <mergeCell ref="M260:M261"/>
    <mergeCell ref="N260:N261"/>
    <mergeCell ref="O260:O261"/>
    <mergeCell ref="P260:P261"/>
    <mergeCell ref="Q260:Q261"/>
    <mergeCell ref="R260:R261"/>
    <mergeCell ref="S260:S261"/>
    <mergeCell ref="T260:T261"/>
    <mergeCell ref="U260:U261"/>
    <mergeCell ref="V260:V261"/>
    <mergeCell ref="W260:W261"/>
    <mergeCell ref="X260:X261"/>
    <mergeCell ref="A262:A266"/>
    <mergeCell ref="B262:B266"/>
    <mergeCell ref="C262:C266"/>
    <mergeCell ref="D262:D266"/>
    <mergeCell ref="E262:E266"/>
    <mergeCell ref="F262:F266"/>
    <mergeCell ref="G262:G266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J265:J266"/>
    <mergeCell ref="K265:K266"/>
    <mergeCell ref="L265:L266"/>
    <mergeCell ref="M265:M266"/>
    <mergeCell ref="N265:N266"/>
    <mergeCell ref="O265:O266"/>
    <mergeCell ref="P265:P266"/>
    <mergeCell ref="Q265:Q266"/>
    <mergeCell ref="R265:R266"/>
    <mergeCell ref="S265:S266"/>
    <mergeCell ref="T265:T266"/>
    <mergeCell ref="U265:U266"/>
    <mergeCell ref="V265:V266"/>
    <mergeCell ref="W265:W266"/>
    <mergeCell ref="X265:X266"/>
    <mergeCell ref="A267:G271"/>
    <mergeCell ref="J267:J268"/>
    <mergeCell ref="K267:K268"/>
    <mergeCell ref="L267:L268"/>
    <mergeCell ref="M267:M268"/>
    <mergeCell ref="N267:N268"/>
    <mergeCell ref="O267:O268"/>
    <mergeCell ref="P267:P268"/>
    <mergeCell ref="Q267:Q268"/>
    <mergeCell ref="R267:R268"/>
    <mergeCell ref="S267:S268"/>
    <mergeCell ref="T267:T268"/>
    <mergeCell ref="U267:U268"/>
    <mergeCell ref="V267:V268"/>
    <mergeCell ref="W267:W268"/>
    <mergeCell ref="X267:X268"/>
    <mergeCell ref="J270:J271"/>
    <mergeCell ref="K270:K271"/>
    <mergeCell ref="L270:L271"/>
    <mergeCell ref="M270:M271"/>
    <mergeCell ref="N270:N271"/>
    <mergeCell ref="O270:O271"/>
    <mergeCell ref="P270:P271"/>
    <mergeCell ref="Q270:Q271"/>
    <mergeCell ref="R270:R271"/>
    <mergeCell ref="S270:S271"/>
    <mergeCell ref="T270:T271"/>
    <mergeCell ref="U270:U271"/>
    <mergeCell ref="V270:V271"/>
    <mergeCell ref="W270:W271"/>
    <mergeCell ref="X270:X271"/>
    <mergeCell ref="A272:X272"/>
    <mergeCell ref="A273:X273"/>
    <mergeCell ref="A274:X274"/>
    <mergeCell ref="A275:A279"/>
    <mergeCell ref="B275:B279"/>
    <mergeCell ref="C275:C279"/>
    <mergeCell ref="D275:D279"/>
    <mergeCell ref="E275:E279"/>
    <mergeCell ref="F275:F279"/>
    <mergeCell ref="G275:G279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X275:X276"/>
    <mergeCell ref="J278:J279"/>
    <mergeCell ref="K278:K279"/>
    <mergeCell ref="L278:L279"/>
    <mergeCell ref="M278:M279"/>
    <mergeCell ref="N278:N279"/>
    <mergeCell ref="O278:O279"/>
    <mergeCell ref="P278:P279"/>
    <mergeCell ref="Q278:Q279"/>
    <mergeCell ref="R278:R279"/>
    <mergeCell ref="S278:S279"/>
    <mergeCell ref="T278:T279"/>
    <mergeCell ref="U278:U279"/>
    <mergeCell ref="V278:V279"/>
    <mergeCell ref="W278:W279"/>
    <mergeCell ref="X278:X279"/>
    <mergeCell ref="A280:A284"/>
    <mergeCell ref="B280:B284"/>
    <mergeCell ref="C280:C284"/>
    <mergeCell ref="D280:D284"/>
    <mergeCell ref="E280:E284"/>
    <mergeCell ref="F280:F284"/>
    <mergeCell ref="G280:G284"/>
    <mergeCell ref="J280:J281"/>
    <mergeCell ref="K280:K281"/>
    <mergeCell ref="L280:L281"/>
    <mergeCell ref="M280:M281"/>
    <mergeCell ref="N280:N281"/>
    <mergeCell ref="O280:O281"/>
    <mergeCell ref="P280:P281"/>
    <mergeCell ref="Q280:Q281"/>
    <mergeCell ref="R280:R281"/>
    <mergeCell ref="S280:S281"/>
    <mergeCell ref="T280:T281"/>
    <mergeCell ref="U280:U281"/>
    <mergeCell ref="V280:V281"/>
    <mergeCell ref="W280:W281"/>
    <mergeCell ref="X280:X281"/>
    <mergeCell ref="J283:J284"/>
    <mergeCell ref="K283:K284"/>
    <mergeCell ref="L283:L284"/>
    <mergeCell ref="M283:M284"/>
    <mergeCell ref="N283:N284"/>
    <mergeCell ref="O283:O284"/>
    <mergeCell ref="P283:P284"/>
    <mergeCell ref="Q283:Q284"/>
    <mergeCell ref="R283:R284"/>
    <mergeCell ref="S283:S284"/>
    <mergeCell ref="T283:T284"/>
    <mergeCell ref="U283:U284"/>
    <mergeCell ref="V283:V284"/>
    <mergeCell ref="W283:W284"/>
    <mergeCell ref="X283:X284"/>
    <mergeCell ref="A285:A289"/>
    <mergeCell ref="B285:B289"/>
    <mergeCell ref="C285:C289"/>
    <mergeCell ref="D285:D289"/>
    <mergeCell ref="E285:E289"/>
    <mergeCell ref="F285:F289"/>
    <mergeCell ref="G285:G289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J288:J289"/>
    <mergeCell ref="K288:K289"/>
    <mergeCell ref="L288:L289"/>
    <mergeCell ref="M288:M289"/>
    <mergeCell ref="N288:N289"/>
    <mergeCell ref="O288:O289"/>
    <mergeCell ref="P288:P289"/>
    <mergeCell ref="Q288:Q289"/>
    <mergeCell ref="R288:R289"/>
    <mergeCell ref="S288:S289"/>
    <mergeCell ref="T288:T289"/>
    <mergeCell ref="U288:U289"/>
    <mergeCell ref="V288:V289"/>
    <mergeCell ref="W288:W289"/>
    <mergeCell ref="X288:X289"/>
    <mergeCell ref="A290:A294"/>
    <mergeCell ref="B290:B294"/>
    <mergeCell ref="C290:C294"/>
    <mergeCell ref="D290:D294"/>
    <mergeCell ref="E290:E294"/>
    <mergeCell ref="F290:F294"/>
    <mergeCell ref="G290:G294"/>
    <mergeCell ref="J290:J291"/>
    <mergeCell ref="K290:K291"/>
    <mergeCell ref="L290:L291"/>
    <mergeCell ref="M290:M291"/>
    <mergeCell ref="N290:N291"/>
    <mergeCell ref="O290:O291"/>
    <mergeCell ref="P290:P291"/>
    <mergeCell ref="Q290:Q291"/>
    <mergeCell ref="R290:R291"/>
    <mergeCell ref="S290:S291"/>
    <mergeCell ref="T290:T291"/>
    <mergeCell ref="U290:U291"/>
    <mergeCell ref="V290:V291"/>
    <mergeCell ref="W290:W291"/>
    <mergeCell ref="X290:X291"/>
    <mergeCell ref="J293:J294"/>
    <mergeCell ref="K293:K294"/>
    <mergeCell ref="L293:L294"/>
    <mergeCell ref="M293:M294"/>
    <mergeCell ref="N293:N294"/>
    <mergeCell ref="O293:O294"/>
    <mergeCell ref="P293:P294"/>
    <mergeCell ref="Q293:Q294"/>
    <mergeCell ref="R293:R294"/>
    <mergeCell ref="S293:S294"/>
    <mergeCell ref="T293:T294"/>
    <mergeCell ref="U293:U294"/>
    <mergeCell ref="V293:V294"/>
    <mergeCell ref="W293:W294"/>
    <mergeCell ref="X293:X294"/>
    <mergeCell ref="A295:G299"/>
    <mergeCell ref="J295:J296"/>
    <mergeCell ref="K295:K296"/>
    <mergeCell ref="L295:L296"/>
    <mergeCell ref="M295:M296"/>
    <mergeCell ref="N295:N296"/>
    <mergeCell ref="O295:O296"/>
    <mergeCell ref="P295:P296"/>
    <mergeCell ref="Q295:Q296"/>
    <mergeCell ref="R295:R296"/>
    <mergeCell ref="S295:S296"/>
    <mergeCell ref="T295:T296"/>
    <mergeCell ref="J298:J299"/>
    <mergeCell ref="K298:K299"/>
    <mergeCell ref="L298:L299"/>
    <mergeCell ref="M298:M299"/>
    <mergeCell ref="N298:N299"/>
    <mergeCell ref="O298:O299"/>
    <mergeCell ref="T298:T299"/>
    <mergeCell ref="U298:U299"/>
    <mergeCell ref="U295:U296"/>
    <mergeCell ref="V295:V296"/>
    <mergeCell ref="W295:W296"/>
    <mergeCell ref="X295:X296"/>
    <mergeCell ref="V298:V299"/>
    <mergeCell ref="W298:W299"/>
    <mergeCell ref="X298:X299"/>
    <mergeCell ref="A300:X300"/>
    <mergeCell ref="A301:X301"/>
    <mergeCell ref="A302:X302"/>
    <mergeCell ref="P298:P299"/>
    <mergeCell ref="Q298:Q299"/>
    <mergeCell ref="R298:R299"/>
    <mergeCell ref="S298:S299"/>
    <mergeCell ref="A303:A307"/>
    <mergeCell ref="B303:B307"/>
    <mergeCell ref="C303:C307"/>
    <mergeCell ref="D303:D307"/>
    <mergeCell ref="E303:E307"/>
    <mergeCell ref="F303:F307"/>
    <mergeCell ref="G303:G307"/>
    <mergeCell ref="J303:J304"/>
    <mergeCell ref="K303:K304"/>
    <mergeCell ref="L303:L304"/>
    <mergeCell ref="M303:M304"/>
    <mergeCell ref="N303:N304"/>
    <mergeCell ref="O303:O304"/>
    <mergeCell ref="P303:P304"/>
    <mergeCell ref="Q303:Q304"/>
    <mergeCell ref="R303:R304"/>
    <mergeCell ref="S303:S304"/>
    <mergeCell ref="T303:T304"/>
    <mergeCell ref="U303:U304"/>
    <mergeCell ref="V303:V304"/>
    <mergeCell ref="W303:W304"/>
    <mergeCell ref="X303:X304"/>
    <mergeCell ref="J306:J307"/>
    <mergeCell ref="K306:K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T306:T307"/>
    <mergeCell ref="U306:U307"/>
    <mergeCell ref="V306:V307"/>
    <mergeCell ref="W306:W307"/>
    <mergeCell ref="X306:X307"/>
    <mergeCell ref="A308:A312"/>
    <mergeCell ref="B308:B312"/>
    <mergeCell ref="C308:C312"/>
    <mergeCell ref="D308:D312"/>
    <mergeCell ref="E308:E312"/>
    <mergeCell ref="F308:F312"/>
    <mergeCell ref="G308:G312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T308:T309"/>
    <mergeCell ref="U308:U309"/>
    <mergeCell ref="V308:V309"/>
    <mergeCell ref="W308:W309"/>
    <mergeCell ref="X308:X309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A313:A317"/>
    <mergeCell ref="B313:B317"/>
    <mergeCell ref="C313:C317"/>
    <mergeCell ref="D313:D317"/>
    <mergeCell ref="E313:E317"/>
    <mergeCell ref="F313:F317"/>
    <mergeCell ref="G313:G317"/>
    <mergeCell ref="J313:J314"/>
    <mergeCell ref="K313:K314"/>
    <mergeCell ref="L313:L314"/>
    <mergeCell ref="M313:M314"/>
    <mergeCell ref="N313:N314"/>
    <mergeCell ref="O313:O314"/>
    <mergeCell ref="P313:P314"/>
    <mergeCell ref="Q313:Q314"/>
    <mergeCell ref="R313:R314"/>
    <mergeCell ref="S313:S314"/>
    <mergeCell ref="T313:T314"/>
    <mergeCell ref="U313:U314"/>
    <mergeCell ref="V313:V314"/>
    <mergeCell ref="W313:W314"/>
    <mergeCell ref="X313:X314"/>
    <mergeCell ref="J316:J317"/>
    <mergeCell ref="K316:K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T316:T317"/>
    <mergeCell ref="U316:U317"/>
    <mergeCell ref="V316:V317"/>
    <mergeCell ref="W316:W317"/>
    <mergeCell ref="X316:X317"/>
    <mergeCell ref="A318:A322"/>
    <mergeCell ref="B318:B322"/>
    <mergeCell ref="C318:C322"/>
    <mergeCell ref="D318:D322"/>
    <mergeCell ref="E318:E322"/>
    <mergeCell ref="F318:F322"/>
    <mergeCell ref="G318:G322"/>
    <mergeCell ref="J318:J319"/>
    <mergeCell ref="K318:K319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T318:T319"/>
    <mergeCell ref="U318:U319"/>
    <mergeCell ref="V318:V319"/>
    <mergeCell ref="W318:W319"/>
    <mergeCell ref="X318:X319"/>
    <mergeCell ref="J321:J322"/>
    <mergeCell ref="K321:K322"/>
    <mergeCell ref="L321:L322"/>
    <mergeCell ref="M321:M322"/>
    <mergeCell ref="N321:N322"/>
    <mergeCell ref="O321:O322"/>
    <mergeCell ref="P321:P322"/>
    <mergeCell ref="Q321:Q322"/>
    <mergeCell ref="R321:R322"/>
    <mergeCell ref="S321:S322"/>
    <mergeCell ref="T321:T322"/>
    <mergeCell ref="U321:U322"/>
    <mergeCell ref="V321:V322"/>
    <mergeCell ref="W321:W322"/>
    <mergeCell ref="X321:X322"/>
    <mergeCell ref="A323:A327"/>
    <mergeCell ref="B323:B327"/>
    <mergeCell ref="C323:C327"/>
    <mergeCell ref="D323:D327"/>
    <mergeCell ref="E323:E327"/>
    <mergeCell ref="F323:F327"/>
    <mergeCell ref="G323:G327"/>
    <mergeCell ref="J323:J324"/>
    <mergeCell ref="K323:K324"/>
    <mergeCell ref="L323:L324"/>
    <mergeCell ref="M323:M324"/>
    <mergeCell ref="N323:N324"/>
    <mergeCell ref="O323:O324"/>
    <mergeCell ref="P323:P324"/>
    <mergeCell ref="Q323:Q324"/>
    <mergeCell ref="R323:R324"/>
    <mergeCell ref="S323:S324"/>
    <mergeCell ref="T323:T324"/>
    <mergeCell ref="U323:U324"/>
    <mergeCell ref="V323:V324"/>
    <mergeCell ref="W323:W324"/>
    <mergeCell ref="X323:X324"/>
    <mergeCell ref="J326:J327"/>
    <mergeCell ref="K326:K327"/>
    <mergeCell ref="L326:L327"/>
    <mergeCell ref="M326:M327"/>
    <mergeCell ref="N326:N327"/>
    <mergeCell ref="O326:O327"/>
    <mergeCell ref="P326:P327"/>
    <mergeCell ref="Q326:Q327"/>
    <mergeCell ref="R326:R327"/>
    <mergeCell ref="S326:S327"/>
    <mergeCell ref="T326:T327"/>
    <mergeCell ref="U326:U327"/>
    <mergeCell ref="V326:V327"/>
    <mergeCell ref="W326:W327"/>
    <mergeCell ref="X326:X327"/>
    <mergeCell ref="A328:A332"/>
    <mergeCell ref="B328:B332"/>
    <mergeCell ref="C328:C332"/>
    <mergeCell ref="D328:D332"/>
    <mergeCell ref="E328:E332"/>
    <mergeCell ref="F328:F332"/>
    <mergeCell ref="G328:G332"/>
    <mergeCell ref="J328:J329"/>
    <mergeCell ref="K328:K329"/>
    <mergeCell ref="L328:L329"/>
    <mergeCell ref="M328:M329"/>
    <mergeCell ref="N328:N329"/>
    <mergeCell ref="O328:O329"/>
    <mergeCell ref="P328:P329"/>
    <mergeCell ref="Q328:Q329"/>
    <mergeCell ref="R328:R329"/>
    <mergeCell ref="S328:S329"/>
    <mergeCell ref="T328:T329"/>
    <mergeCell ref="U328:U329"/>
    <mergeCell ref="V328:V329"/>
    <mergeCell ref="W328:W329"/>
    <mergeCell ref="X328:X329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A333:A337"/>
    <mergeCell ref="B333:B337"/>
    <mergeCell ref="C333:C337"/>
    <mergeCell ref="D333:D337"/>
    <mergeCell ref="E333:E337"/>
    <mergeCell ref="F333:F337"/>
    <mergeCell ref="G333:G337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S336:S337"/>
    <mergeCell ref="T336:T337"/>
    <mergeCell ref="U336:U337"/>
    <mergeCell ref="V336:V337"/>
    <mergeCell ref="W336:W337"/>
    <mergeCell ref="X336:X337"/>
    <mergeCell ref="A338:A342"/>
    <mergeCell ref="B338:B342"/>
    <mergeCell ref="C338:C342"/>
    <mergeCell ref="D338:D342"/>
    <mergeCell ref="E338:E342"/>
    <mergeCell ref="F338:F342"/>
    <mergeCell ref="G338:G342"/>
    <mergeCell ref="J338:J339"/>
    <mergeCell ref="K338:K339"/>
    <mergeCell ref="L338:L339"/>
    <mergeCell ref="M338:M339"/>
    <mergeCell ref="N338:N339"/>
    <mergeCell ref="O338:O339"/>
    <mergeCell ref="P338:P339"/>
    <mergeCell ref="Q338:Q339"/>
    <mergeCell ref="R338:R339"/>
    <mergeCell ref="S338:S339"/>
    <mergeCell ref="T338:T339"/>
    <mergeCell ref="U338:U339"/>
    <mergeCell ref="V338:V339"/>
    <mergeCell ref="W338:W339"/>
    <mergeCell ref="X338:X339"/>
    <mergeCell ref="J341:J342"/>
    <mergeCell ref="K341:K342"/>
    <mergeCell ref="L341:L342"/>
    <mergeCell ref="M341:M342"/>
    <mergeCell ref="N341:N342"/>
    <mergeCell ref="O341:O342"/>
    <mergeCell ref="P341:P342"/>
    <mergeCell ref="Q341:Q342"/>
    <mergeCell ref="R341:R342"/>
    <mergeCell ref="S341:S342"/>
    <mergeCell ref="T341:T342"/>
    <mergeCell ref="U341:U342"/>
    <mergeCell ref="V341:V342"/>
    <mergeCell ref="W341:W342"/>
    <mergeCell ref="X341:X342"/>
    <mergeCell ref="A343:A347"/>
    <mergeCell ref="B343:B347"/>
    <mergeCell ref="C343:C347"/>
    <mergeCell ref="D343:D347"/>
    <mergeCell ref="E343:E347"/>
    <mergeCell ref="F343:F347"/>
    <mergeCell ref="G343:G347"/>
    <mergeCell ref="J343:J344"/>
    <mergeCell ref="K343:K344"/>
    <mergeCell ref="L343:L344"/>
    <mergeCell ref="M343:M344"/>
    <mergeCell ref="N343:N344"/>
    <mergeCell ref="O343:O344"/>
    <mergeCell ref="P343:P344"/>
    <mergeCell ref="Q343:Q344"/>
    <mergeCell ref="R343:R344"/>
    <mergeCell ref="S343:S344"/>
    <mergeCell ref="T343:T344"/>
    <mergeCell ref="U343:U344"/>
    <mergeCell ref="V343:V344"/>
    <mergeCell ref="W343:W344"/>
    <mergeCell ref="X343:X344"/>
    <mergeCell ref="J346:J347"/>
    <mergeCell ref="K346:K347"/>
    <mergeCell ref="L346:L347"/>
    <mergeCell ref="M346:M347"/>
    <mergeCell ref="N346:N347"/>
    <mergeCell ref="O346:O347"/>
    <mergeCell ref="P346:P347"/>
    <mergeCell ref="Q346:Q347"/>
    <mergeCell ref="R346:R347"/>
    <mergeCell ref="S346:S347"/>
    <mergeCell ref="T346:T347"/>
    <mergeCell ref="U346:U347"/>
    <mergeCell ref="V346:V347"/>
    <mergeCell ref="W346:W347"/>
    <mergeCell ref="X346:X347"/>
    <mergeCell ref="A348:A352"/>
    <mergeCell ref="B348:B352"/>
    <mergeCell ref="C348:C352"/>
    <mergeCell ref="D348:D352"/>
    <mergeCell ref="E348:E352"/>
    <mergeCell ref="F348:F352"/>
    <mergeCell ref="G348:G352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J351:J352"/>
    <mergeCell ref="K351:K352"/>
    <mergeCell ref="L351:L352"/>
    <mergeCell ref="M351:M352"/>
    <mergeCell ref="N351:N352"/>
    <mergeCell ref="O351:O352"/>
    <mergeCell ref="P351:P352"/>
    <mergeCell ref="Q351:Q352"/>
    <mergeCell ref="R351:R352"/>
    <mergeCell ref="S351:S352"/>
    <mergeCell ref="T351:T352"/>
    <mergeCell ref="U351:U352"/>
    <mergeCell ref="V351:V352"/>
    <mergeCell ref="W351:W352"/>
    <mergeCell ref="X351:X352"/>
    <mergeCell ref="A353:A357"/>
    <mergeCell ref="B353:B357"/>
    <mergeCell ref="C353:C357"/>
    <mergeCell ref="D353:D357"/>
    <mergeCell ref="E353:E357"/>
    <mergeCell ref="F353:F357"/>
    <mergeCell ref="G353:G357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R353:R354"/>
    <mergeCell ref="S353:S354"/>
    <mergeCell ref="T353:T354"/>
    <mergeCell ref="U353:U354"/>
    <mergeCell ref="V353:V354"/>
    <mergeCell ref="W353:W354"/>
    <mergeCell ref="X353:X354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A358:A362"/>
    <mergeCell ref="B358:B362"/>
    <mergeCell ref="C358:C362"/>
    <mergeCell ref="D358:D362"/>
    <mergeCell ref="E358:E362"/>
    <mergeCell ref="F358:F362"/>
    <mergeCell ref="G358:G362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J361:J362"/>
    <mergeCell ref="K361:K362"/>
    <mergeCell ref="L361:L362"/>
    <mergeCell ref="M361:M362"/>
    <mergeCell ref="N361:N362"/>
    <mergeCell ref="O361:O362"/>
    <mergeCell ref="P361:P362"/>
    <mergeCell ref="Q361:Q362"/>
    <mergeCell ref="R361:R362"/>
    <mergeCell ref="S361:S362"/>
    <mergeCell ref="T361:T362"/>
    <mergeCell ref="U361:U362"/>
    <mergeCell ref="V361:V362"/>
    <mergeCell ref="W361:W362"/>
    <mergeCell ref="X361:X362"/>
    <mergeCell ref="A363:A367"/>
    <mergeCell ref="B363:B367"/>
    <mergeCell ref="C363:C367"/>
    <mergeCell ref="D363:D367"/>
    <mergeCell ref="E363:E367"/>
    <mergeCell ref="F363:F367"/>
    <mergeCell ref="G363:G367"/>
    <mergeCell ref="J363:J364"/>
    <mergeCell ref="K363:K364"/>
    <mergeCell ref="L363:L364"/>
    <mergeCell ref="M363:M364"/>
    <mergeCell ref="N363:N364"/>
    <mergeCell ref="O363:O364"/>
    <mergeCell ref="P363:P364"/>
    <mergeCell ref="Q363:Q364"/>
    <mergeCell ref="R363:R364"/>
    <mergeCell ref="S363:S364"/>
    <mergeCell ref="T363:T364"/>
    <mergeCell ref="U363:U364"/>
    <mergeCell ref="V363:V364"/>
    <mergeCell ref="W363:W364"/>
    <mergeCell ref="X363:X364"/>
    <mergeCell ref="J366:J367"/>
    <mergeCell ref="K366:K367"/>
    <mergeCell ref="L366:L367"/>
    <mergeCell ref="M366:M367"/>
    <mergeCell ref="N366:N367"/>
    <mergeCell ref="O366:O367"/>
    <mergeCell ref="P366:P367"/>
    <mergeCell ref="Q366:Q367"/>
    <mergeCell ref="R366:R367"/>
    <mergeCell ref="S366:S367"/>
    <mergeCell ref="T366:T367"/>
    <mergeCell ref="U366:U367"/>
    <mergeCell ref="V366:V367"/>
    <mergeCell ref="W366:W367"/>
    <mergeCell ref="X366:X367"/>
    <mergeCell ref="A368:A372"/>
    <mergeCell ref="B368:B372"/>
    <mergeCell ref="C368:C372"/>
    <mergeCell ref="D368:D372"/>
    <mergeCell ref="E368:E372"/>
    <mergeCell ref="F368:F372"/>
    <mergeCell ref="G368:G372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J371:J372"/>
    <mergeCell ref="K371:K372"/>
    <mergeCell ref="L371:L372"/>
    <mergeCell ref="M371:M372"/>
    <mergeCell ref="N371:N372"/>
    <mergeCell ref="O371:O372"/>
    <mergeCell ref="P371:P372"/>
    <mergeCell ref="Q371:Q372"/>
    <mergeCell ref="R371:R372"/>
    <mergeCell ref="S371:S372"/>
    <mergeCell ref="T371:T372"/>
    <mergeCell ref="U371:U372"/>
    <mergeCell ref="V371:V372"/>
    <mergeCell ref="W371:W372"/>
    <mergeCell ref="X371:X372"/>
    <mergeCell ref="A373:A377"/>
    <mergeCell ref="B373:B377"/>
    <mergeCell ref="C373:C377"/>
    <mergeCell ref="D373:D377"/>
    <mergeCell ref="E373:E377"/>
    <mergeCell ref="F373:F377"/>
    <mergeCell ref="G373:G377"/>
    <mergeCell ref="J373:J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S373:S374"/>
    <mergeCell ref="T373:T374"/>
    <mergeCell ref="U373:U374"/>
    <mergeCell ref="V373:V374"/>
    <mergeCell ref="W373:W374"/>
    <mergeCell ref="X373:X374"/>
    <mergeCell ref="J376:J377"/>
    <mergeCell ref="K376:K377"/>
    <mergeCell ref="L376:L377"/>
    <mergeCell ref="M376:M377"/>
    <mergeCell ref="N376:N377"/>
    <mergeCell ref="O376:O377"/>
    <mergeCell ref="P376:P377"/>
    <mergeCell ref="Q376:Q377"/>
    <mergeCell ref="R376:R377"/>
    <mergeCell ref="S376:S377"/>
    <mergeCell ref="T376:T377"/>
    <mergeCell ref="U376:U377"/>
    <mergeCell ref="V376:V377"/>
    <mergeCell ref="W376:W377"/>
    <mergeCell ref="X376:X377"/>
    <mergeCell ref="A378:A382"/>
    <mergeCell ref="B378:B382"/>
    <mergeCell ref="C378:C382"/>
    <mergeCell ref="D378:D382"/>
    <mergeCell ref="E378:E382"/>
    <mergeCell ref="F378:F382"/>
    <mergeCell ref="G378:G382"/>
    <mergeCell ref="J378:J379"/>
    <mergeCell ref="K378:K379"/>
    <mergeCell ref="L378:L379"/>
    <mergeCell ref="M378:M379"/>
    <mergeCell ref="N378:N379"/>
    <mergeCell ref="O378:O379"/>
    <mergeCell ref="P378:P379"/>
    <mergeCell ref="Q378:Q379"/>
    <mergeCell ref="R378:R379"/>
    <mergeCell ref="S378:S379"/>
    <mergeCell ref="T378:T379"/>
    <mergeCell ref="U378:U379"/>
    <mergeCell ref="V378:V379"/>
    <mergeCell ref="W378:W379"/>
    <mergeCell ref="X378:X379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A383:G387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J386:J387"/>
    <mergeCell ref="K386:K387"/>
    <mergeCell ref="L386:L387"/>
    <mergeCell ref="M386:M387"/>
    <mergeCell ref="N386:N387"/>
    <mergeCell ref="O386:O387"/>
    <mergeCell ref="P386:P387"/>
    <mergeCell ref="Q386:Q387"/>
    <mergeCell ref="R386:R387"/>
    <mergeCell ref="S386:S387"/>
    <mergeCell ref="T386:T387"/>
    <mergeCell ref="U386:U387"/>
    <mergeCell ref="V386:V387"/>
    <mergeCell ref="W386:W387"/>
    <mergeCell ref="X386:X387"/>
    <mergeCell ref="A388:G392"/>
    <mergeCell ref="J388:J389"/>
    <mergeCell ref="K388:K389"/>
    <mergeCell ref="L388:L389"/>
    <mergeCell ref="M388:M389"/>
    <mergeCell ref="N388:N389"/>
    <mergeCell ref="O388:O389"/>
    <mergeCell ref="P388:P389"/>
    <mergeCell ref="Q388:Q389"/>
    <mergeCell ref="R388:R389"/>
    <mergeCell ref="S388:S389"/>
    <mergeCell ref="T388:T389"/>
    <mergeCell ref="U388:U389"/>
    <mergeCell ref="V388:V389"/>
    <mergeCell ref="W388:W389"/>
    <mergeCell ref="X388:X389"/>
    <mergeCell ref="J391:J392"/>
    <mergeCell ref="K391:K392"/>
    <mergeCell ref="L391:L392"/>
    <mergeCell ref="M391:M392"/>
    <mergeCell ref="N391:N392"/>
    <mergeCell ref="O391:O392"/>
    <mergeCell ref="P391:P392"/>
    <mergeCell ref="W391:W392"/>
    <mergeCell ref="X391:X392"/>
    <mergeCell ref="Q391:Q392"/>
    <mergeCell ref="R391:R392"/>
    <mergeCell ref="S391:S392"/>
    <mergeCell ref="T391:T392"/>
    <mergeCell ref="U391:U392"/>
    <mergeCell ref="V391:V392"/>
  </mergeCells>
  <printOptions horizontalCentered="1"/>
  <pageMargins left="0.31496062992125984" right="0.2755905511811024" top="0.984251968503937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3"/>
  <sheetViews>
    <sheetView view="pageBreakPreview" zoomScaleSheetLayoutView="100" zoomScalePageLayoutView="0" workbookViewId="0" topLeftCell="A205">
      <selection activeCell="M1" sqref="A1:M353"/>
    </sheetView>
  </sheetViews>
  <sheetFormatPr defaultColWidth="8.796875" defaultRowHeight="14.25"/>
  <cols>
    <col min="1" max="1" width="4.09765625" style="31" customWidth="1"/>
    <col min="2" max="2" width="6.19921875" style="32" customWidth="1"/>
    <col min="3" max="3" width="8.3984375" style="32" customWidth="1"/>
    <col min="4" max="4" width="38.5" style="32" customWidth="1"/>
    <col min="5" max="5" width="10.19921875" style="32" customWidth="1"/>
    <col min="6" max="6" width="2.09765625" style="32" customWidth="1"/>
    <col min="7" max="7" width="11.8984375" style="32" customWidth="1"/>
    <col min="8" max="8" width="11.69921875" style="32" customWidth="1"/>
    <col min="9" max="9" width="12.09765625" style="32" customWidth="1"/>
    <col min="10" max="10" width="12.8984375" style="32" customWidth="1"/>
    <col min="11" max="11" width="12" style="32" customWidth="1"/>
    <col min="12" max="12" width="11.09765625" style="32" customWidth="1"/>
    <col min="13" max="13" width="21.09765625" style="32" customWidth="1"/>
    <col min="14" max="16384" width="9" style="32" customWidth="1"/>
  </cols>
  <sheetData>
    <row r="1" spans="4:37" ht="15" customHeight="1">
      <c r="D1" s="31"/>
      <c r="J1" s="4"/>
      <c r="K1" s="4" t="s">
        <v>436</v>
      </c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4:37" ht="15" customHeight="1">
      <c r="D2" s="31"/>
      <c r="J2" s="4"/>
      <c r="K2" s="4" t="s">
        <v>442</v>
      </c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</row>
    <row r="3" spans="4:37" ht="15" customHeight="1">
      <c r="D3" s="31"/>
      <c r="J3" s="4"/>
      <c r="K3" s="4" t="s">
        <v>441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4:37" ht="12.75">
      <c r="D4" s="31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s="34" customFormat="1" ht="40.5" customHeight="1">
      <c r="A5" s="1170" t="s">
        <v>169</v>
      </c>
      <c r="B5" s="1170"/>
      <c r="C5" s="1170"/>
      <c r="D5" s="1170"/>
      <c r="E5" s="1170"/>
      <c r="F5" s="1170"/>
      <c r="G5" s="1170"/>
      <c r="H5" s="1170"/>
      <c r="I5" s="1170"/>
      <c r="J5" s="1170"/>
      <c r="K5" s="1170"/>
      <c r="L5" s="1170"/>
      <c r="M5" s="1170"/>
      <c r="N5" s="35"/>
      <c r="O5" s="35"/>
      <c r="P5" s="35"/>
    </row>
    <row r="6" spans="2:13" ht="6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7:13" ht="19.5" customHeight="1">
      <c r="G7" s="38"/>
      <c r="M7" s="428" t="s">
        <v>0</v>
      </c>
    </row>
    <row r="8" spans="1:13" s="39" customFormat="1" ht="12.75" customHeight="1">
      <c r="A8" s="1221" t="s">
        <v>54</v>
      </c>
      <c r="B8" s="1221" t="s">
        <v>1</v>
      </c>
      <c r="C8" s="1221" t="s">
        <v>8</v>
      </c>
      <c r="D8" s="1221" t="s">
        <v>68</v>
      </c>
      <c r="E8" s="1221" t="s">
        <v>69</v>
      </c>
      <c r="F8" s="1222" t="s">
        <v>18</v>
      </c>
      <c r="G8" s="1221" t="s">
        <v>70</v>
      </c>
      <c r="H8" s="1221" t="s">
        <v>71</v>
      </c>
      <c r="I8" s="1225" t="s">
        <v>72</v>
      </c>
      <c r="J8" s="1226"/>
      <c r="K8" s="1226"/>
      <c r="L8" s="1227"/>
      <c r="M8" s="1221" t="s">
        <v>73</v>
      </c>
    </row>
    <row r="9" spans="1:13" s="39" customFormat="1" ht="12.75" customHeight="1">
      <c r="A9" s="1221"/>
      <c r="B9" s="1221"/>
      <c r="C9" s="1221"/>
      <c r="D9" s="1221"/>
      <c r="E9" s="1221"/>
      <c r="F9" s="1223"/>
      <c r="G9" s="1221"/>
      <c r="H9" s="1221"/>
      <c r="I9" s="1221" t="s">
        <v>74</v>
      </c>
      <c r="J9" s="1228" t="s">
        <v>75</v>
      </c>
      <c r="K9" s="1229"/>
      <c r="L9" s="1230"/>
      <c r="M9" s="1221"/>
    </row>
    <row r="10" spans="1:13" s="39" customFormat="1" ht="12.75" customHeight="1">
      <c r="A10" s="1221"/>
      <c r="B10" s="1221"/>
      <c r="C10" s="1221"/>
      <c r="D10" s="1221"/>
      <c r="E10" s="1221"/>
      <c r="F10" s="1223"/>
      <c r="G10" s="1221"/>
      <c r="H10" s="1221"/>
      <c r="I10" s="1221"/>
      <c r="J10" s="1231" t="s">
        <v>76</v>
      </c>
      <c r="K10" s="1231" t="s">
        <v>77</v>
      </c>
      <c r="L10" s="1223" t="s">
        <v>78</v>
      </c>
      <c r="M10" s="1221"/>
    </row>
    <row r="11" spans="1:13" s="40" customFormat="1" ht="42" customHeight="1">
      <c r="A11" s="1221"/>
      <c r="B11" s="1221"/>
      <c r="C11" s="1221"/>
      <c r="D11" s="1221"/>
      <c r="E11" s="1221"/>
      <c r="F11" s="1224"/>
      <c r="G11" s="1221"/>
      <c r="H11" s="1221"/>
      <c r="I11" s="1221"/>
      <c r="J11" s="1224"/>
      <c r="K11" s="1232"/>
      <c r="L11" s="1224"/>
      <c r="M11" s="1221"/>
    </row>
    <row r="12" spans="1:13" s="43" customFormat="1" ht="12.75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/>
      <c r="G12" s="41">
        <v>6</v>
      </c>
      <c r="H12" s="41">
        <v>7</v>
      </c>
      <c r="I12" s="41">
        <v>8</v>
      </c>
      <c r="J12" s="41">
        <v>9</v>
      </c>
      <c r="K12" s="41">
        <v>10</v>
      </c>
      <c r="L12" s="42">
        <v>11</v>
      </c>
      <c r="M12" s="41">
        <v>12</v>
      </c>
    </row>
    <row r="13" spans="1:13" ht="6.75" customHeight="1" thickBo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4"/>
      <c r="L13" s="45"/>
      <c r="M13" s="45"/>
    </row>
    <row r="14" spans="1:13" s="48" customFormat="1" ht="21" customHeight="1">
      <c r="A14" s="1176"/>
      <c r="B14" s="1179"/>
      <c r="C14" s="1179"/>
      <c r="D14" s="1218" t="s">
        <v>19</v>
      </c>
      <c r="E14" s="1179" t="s">
        <v>55</v>
      </c>
      <c r="F14" s="46" t="s">
        <v>20</v>
      </c>
      <c r="G14" s="1179" t="s">
        <v>55</v>
      </c>
      <c r="H14" s="1179" t="s">
        <v>55</v>
      </c>
      <c r="I14" s="47">
        <f aca="true" t="shared" si="0" ref="I14:L15">I200+I330+I336+I342</f>
        <v>249411697</v>
      </c>
      <c r="J14" s="47">
        <f t="shared" si="0"/>
        <v>56373771</v>
      </c>
      <c r="K14" s="47">
        <f t="shared" si="0"/>
        <v>193037926</v>
      </c>
      <c r="L14" s="47">
        <f t="shared" si="0"/>
        <v>0</v>
      </c>
      <c r="M14" s="1215" t="s">
        <v>55</v>
      </c>
    </row>
    <row r="15" spans="1:13" s="48" customFormat="1" ht="21" customHeight="1">
      <c r="A15" s="1177"/>
      <c r="B15" s="1180"/>
      <c r="C15" s="1180"/>
      <c r="D15" s="1219"/>
      <c r="E15" s="1180"/>
      <c r="F15" s="49" t="s">
        <v>21</v>
      </c>
      <c r="G15" s="1180"/>
      <c r="H15" s="1180"/>
      <c r="I15" s="50">
        <f t="shared" si="0"/>
        <v>1015886</v>
      </c>
      <c r="J15" s="50">
        <f t="shared" si="0"/>
        <v>858297</v>
      </c>
      <c r="K15" s="50">
        <f t="shared" si="0"/>
        <v>157589</v>
      </c>
      <c r="L15" s="50">
        <f t="shared" si="0"/>
        <v>0</v>
      </c>
      <c r="M15" s="1216"/>
    </row>
    <row r="16" spans="1:13" s="48" customFormat="1" ht="21" customHeight="1" thickBot="1">
      <c r="A16" s="1178"/>
      <c r="B16" s="1181"/>
      <c r="C16" s="1181"/>
      <c r="D16" s="1220"/>
      <c r="E16" s="1181"/>
      <c r="F16" s="51" t="s">
        <v>22</v>
      </c>
      <c r="G16" s="1181"/>
      <c r="H16" s="1181"/>
      <c r="I16" s="52">
        <f>I14+I15</f>
        <v>250427583</v>
      </c>
      <c r="J16" s="52">
        <f>J14+J15</f>
        <v>57232068</v>
      </c>
      <c r="K16" s="52">
        <f>K14+K15</f>
        <v>193195515</v>
      </c>
      <c r="L16" s="52">
        <f>L14+L15</f>
        <v>0</v>
      </c>
      <c r="M16" s="1217"/>
    </row>
    <row r="17" spans="1:13" s="48" customFormat="1" ht="9" customHeight="1" thickBot="1">
      <c r="A17" s="53"/>
      <c r="B17" s="53"/>
      <c r="C17" s="53"/>
      <c r="D17" s="54"/>
      <c r="E17" s="53"/>
      <c r="F17" s="53"/>
      <c r="G17" s="53"/>
      <c r="H17" s="53"/>
      <c r="I17" s="55"/>
      <c r="J17" s="55"/>
      <c r="K17" s="55"/>
      <c r="L17" s="55"/>
      <c r="M17" s="53"/>
    </row>
    <row r="18" spans="1:13" s="57" customFormat="1" ht="16.5" thickBot="1">
      <c r="A18" s="56" t="s">
        <v>79</v>
      </c>
      <c r="B18" s="1188" t="s">
        <v>80</v>
      </c>
      <c r="C18" s="1189"/>
      <c r="D18" s="1189"/>
      <c r="E18" s="1189"/>
      <c r="F18" s="1189"/>
      <c r="G18" s="1189"/>
      <c r="H18" s="1189"/>
      <c r="I18" s="1189"/>
      <c r="J18" s="1189"/>
      <c r="K18" s="1189"/>
      <c r="L18" s="1189"/>
      <c r="M18" s="1190"/>
    </row>
    <row r="19" spans="1:13" ht="6.75" customHeight="1">
      <c r="A19" s="58"/>
      <c r="B19" s="59"/>
      <c r="C19" s="59"/>
      <c r="D19" s="60"/>
      <c r="E19" s="60"/>
      <c r="F19" s="60"/>
      <c r="G19" s="60"/>
      <c r="H19" s="60"/>
      <c r="I19" s="60"/>
      <c r="J19" s="60"/>
      <c r="K19" s="58"/>
      <c r="L19" s="60"/>
      <c r="M19" s="60"/>
    </row>
    <row r="20" spans="1:13" s="64" customFormat="1" ht="12.75">
      <c r="A20" s="1149"/>
      <c r="B20" s="1152" t="s">
        <v>23</v>
      </c>
      <c r="C20" s="1152"/>
      <c r="D20" s="1161" t="s">
        <v>24</v>
      </c>
      <c r="E20" s="1149" t="s">
        <v>55</v>
      </c>
      <c r="F20" s="61" t="s">
        <v>20</v>
      </c>
      <c r="G20" s="62">
        <f>G24+G32+G36+G28</f>
        <v>8256800</v>
      </c>
      <c r="H20" s="1149" t="s">
        <v>55</v>
      </c>
      <c r="I20" s="63">
        <f aca="true" t="shared" si="1" ref="I20:L21">I24+I32+I36+I28</f>
        <v>8256800</v>
      </c>
      <c r="J20" s="63">
        <f t="shared" si="1"/>
        <v>7456800</v>
      </c>
      <c r="K20" s="63">
        <f t="shared" si="1"/>
        <v>800000</v>
      </c>
      <c r="L20" s="63">
        <f t="shared" si="1"/>
        <v>0</v>
      </c>
      <c r="M20" s="1149" t="s">
        <v>55</v>
      </c>
    </row>
    <row r="21" spans="1:13" s="64" customFormat="1" ht="12.75">
      <c r="A21" s="1150"/>
      <c r="B21" s="1153"/>
      <c r="C21" s="1153"/>
      <c r="D21" s="1162"/>
      <c r="E21" s="1150"/>
      <c r="F21" s="61" t="s">
        <v>21</v>
      </c>
      <c r="G21" s="62">
        <f>G25+G33+G37+G29</f>
        <v>59263</v>
      </c>
      <c r="H21" s="1150"/>
      <c r="I21" s="63">
        <f t="shared" si="1"/>
        <v>59263</v>
      </c>
      <c r="J21" s="63">
        <f t="shared" si="1"/>
        <v>59263</v>
      </c>
      <c r="K21" s="63">
        <f t="shared" si="1"/>
        <v>0</v>
      </c>
      <c r="L21" s="63">
        <f t="shared" si="1"/>
        <v>0</v>
      </c>
      <c r="M21" s="1150"/>
    </row>
    <row r="22" spans="1:13" s="64" customFormat="1" ht="12.75">
      <c r="A22" s="1151"/>
      <c r="B22" s="1154"/>
      <c r="C22" s="1154"/>
      <c r="D22" s="1163"/>
      <c r="E22" s="1151"/>
      <c r="F22" s="61" t="s">
        <v>22</v>
      </c>
      <c r="G22" s="62">
        <f>G20+G21</f>
        <v>8316063</v>
      </c>
      <c r="H22" s="1151"/>
      <c r="I22" s="63">
        <f>I20+I21</f>
        <v>8316063</v>
      </c>
      <c r="J22" s="63">
        <f>J20+J21</f>
        <v>7516063</v>
      </c>
      <c r="K22" s="63">
        <f>K20+K21</f>
        <v>800000</v>
      </c>
      <c r="L22" s="63">
        <f>L20+L21</f>
        <v>0</v>
      </c>
      <c r="M22" s="1151"/>
    </row>
    <row r="23" spans="1:13" ht="9.75" customHeight="1" hidden="1">
      <c r="A23" s="65"/>
      <c r="B23" s="66"/>
      <c r="C23" s="66"/>
      <c r="D23" s="67"/>
      <c r="E23" s="67"/>
      <c r="F23" s="67"/>
      <c r="G23" s="67"/>
      <c r="H23" s="67"/>
      <c r="I23" s="67"/>
      <c r="J23" s="67"/>
      <c r="K23" s="65"/>
      <c r="L23" s="67"/>
      <c r="M23" s="67"/>
    </row>
    <row r="24" spans="1:13" ht="12.75" hidden="1">
      <c r="A24" s="1134">
        <v>1</v>
      </c>
      <c r="B24" s="1137"/>
      <c r="C24" s="1140" t="s">
        <v>25</v>
      </c>
      <c r="D24" s="1131" t="s">
        <v>81</v>
      </c>
      <c r="E24" s="1143">
        <v>2017</v>
      </c>
      <c r="F24" s="73" t="s">
        <v>20</v>
      </c>
      <c r="G24" s="74">
        <v>800000</v>
      </c>
      <c r="H24" s="1146" t="s">
        <v>55</v>
      </c>
      <c r="I24" s="74">
        <f>J24+K24+L24</f>
        <v>800000</v>
      </c>
      <c r="J24" s="74">
        <v>0</v>
      </c>
      <c r="K24" s="74">
        <v>800000</v>
      </c>
      <c r="L24" s="74">
        <v>0</v>
      </c>
      <c r="M24" s="1131" t="s">
        <v>82</v>
      </c>
    </row>
    <row r="25" spans="1:13" ht="12.75" hidden="1">
      <c r="A25" s="1135"/>
      <c r="B25" s="1138"/>
      <c r="C25" s="1141"/>
      <c r="D25" s="1132"/>
      <c r="E25" s="1144"/>
      <c r="F25" s="73" t="s">
        <v>21</v>
      </c>
      <c r="G25" s="74"/>
      <c r="H25" s="1147"/>
      <c r="I25" s="74">
        <f>J25+K25+L25</f>
        <v>0</v>
      </c>
      <c r="J25" s="74"/>
      <c r="K25" s="74"/>
      <c r="L25" s="74"/>
      <c r="M25" s="1132"/>
    </row>
    <row r="26" spans="1:13" ht="12.75" hidden="1">
      <c r="A26" s="1136"/>
      <c r="B26" s="1139"/>
      <c r="C26" s="1142"/>
      <c r="D26" s="1133"/>
      <c r="E26" s="1145"/>
      <c r="F26" s="73" t="s">
        <v>22</v>
      </c>
      <c r="G26" s="74">
        <f>G24+G25</f>
        <v>800000</v>
      </c>
      <c r="H26" s="1148"/>
      <c r="I26" s="74">
        <f>I24+I25</f>
        <v>800000</v>
      </c>
      <c r="J26" s="74">
        <f>J24+J25</f>
        <v>0</v>
      </c>
      <c r="K26" s="74">
        <f>K24+K25</f>
        <v>800000</v>
      </c>
      <c r="L26" s="74">
        <f>L24+L25</f>
        <v>0</v>
      </c>
      <c r="M26" s="1133"/>
    </row>
    <row r="27" spans="1:13" ht="7.5" customHeight="1">
      <c r="A27" s="58"/>
      <c r="B27" s="59"/>
      <c r="C27" s="108"/>
      <c r="D27" s="109"/>
      <c r="E27" s="110"/>
      <c r="F27" s="73"/>
      <c r="G27" s="74"/>
      <c r="H27" s="111"/>
      <c r="I27" s="74"/>
      <c r="J27" s="74"/>
      <c r="K27" s="74"/>
      <c r="L27" s="74"/>
      <c r="M27" s="109"/>
    </row>
    <row r="28" spans="1:13" ht="18" customHeight="1">
      <c r="A28" s="1134">
        <v>1</v>
      </c>
      <c r="B28" s="1137"/>
      <c r="C28" s="1140" t="s">
        <v>259</v>
      </c>
      <c r="D28" s="1131" t="s">
        <v>264</v>
      </c>
      <c r="E28" s="1143">
        <v>2017</v>
      </c>
      <c r="F28" s="73" t="s">
        <v>20</v>
      </c>
      <c r="G28" s="74">
        <v>0</v>
      </c>
      <c r="H28" s="1146" t="s">
        <v>55</v>
      </c>
      <c r="I28" s="74">
        <f>J28+K28+L28</f>
        <v>0</v>
      </c>
      <c r="J28" s="74">
        <v>0</v>
      </c>
      <c r="K28" s="74">
        <v>0</v>
      </c>
      <c r="L28" s="74">
        <v>0</v>
      </c>
      <c r="M28" s="1131" t="s">
        <v>84</v>
      </c>
    </row>
    <row r="29" spans="1:13" ht="18" customHeight="1">
      <c r="A29" s="1135"/>
      <c r="B29" s="1138"/>
      <c r="C29" s="1141"/>
      <c r="D29" s="1132"/>
      <c r="E29" s="1144"/>
      <c r="F29" s="73" t="s">
        <v>21</v>
      </c>
      <c r="G29" s="74">
        <v>59263</v>
      </c>
      <c r="H29" s="1147"/>
      <c r="I29" s="74">
        <f>J29+K29+L29</f>
        <v>59263</v>
      </c>
      <c r="J29" s="74">
        <v>59263</v>
      </c>
      <c r="K29" s="74"/>
      <c r="L29" s="74"/>
      <c r="M29" s="1132"/>
    </row>
    <row r="30" spans="1:13" ht="18" customHeight="1">
      <c r="A30" s="1136"/>
      <c r="B30" s="1139"/>
      <c r="C30" s="1142"/>
      <c r="D30" s="1133"/>
      <c r="E30" s="1145"/>
      <c r="F30" s="73" t="s">
        <v>22</v>
      </c>
      <c r="G30" s="74">
        <f>G28+G29</f>
        <v>59263</v>
      </c>
      <c r="H30" s="1148"/>
      <c r="I30" s="74">
        <f>I28+I29</f>
        <v>59263</v>
      </c>
      <c r="J30" s="74">
        <f>J28+J29</f>
        <v>59263</v>
      </c>
      <c r="K30" s="74">
        <f>K28+K29</f>
        <v>0</v>
      </c>
      <c r="L30" s="74">
        <f>L28+L29</f>
        <v>0</v>
      </c>
      <c r="M30" s="1133"/>
    </row>
    <row r="31" spans="1:13" ht="9" customHeight="1" hidden="1">
      <c r="A31" s="65"/>
      <c r="B31" s="66"/>
      <c r="C31" s="80"/>
      <c r="D31" s="81"/>
      <c r="E31" s="73"/>
      <c r="F31" s="73"/>
      <c r="G31" s="74"/>
      <c r="H31" s="82"/>
      <c r="I31" s="74"/>
      <c r="J31" s="74"/>
      <c r="K31" s="74"/>
      <c r="L31" s="74"/>
      <c r="M31" s="83"/>
    </row>
    <row r="32" spans="1:13" ht="12.75" hidden="1">
      <c r="A32" s="1134">
        <v>2</v>
      </c>
      <c r="B32" s="1137"/>
      <c r="C32" s="1140" t="s">
        <v>26</v>
      </c>
      <c r="D32" s="1131" t="s">
        <v>83</v>
      </c>
      <c r="E32" s="1143">
        <v>2017</v>
      </c>
      <c r="F32" s="73" t="s">
        <v>20</v>
      </c>
      <c r="G32" s="74">
        <v>7441800</v>
      </c>
      <c r="H32" s="1146" t="s">
        <v>55</v>
      </c>
      <c r="I32" s="74">
        <f>J32+K32+L32</f>
        <v>7441800</v>
      </c>
      <c r="J32" s="74">
        <v>7441800</v>
      </c>
      <c r="K32" s="74">
        <v>0</v>
      </c>
      <c r="L32" s="74">
        <v>0</v>
      </c>
      <c r="M32" s="1131" t="s">
        <v>84</v>
      </c>
    </row>
    <row r="33" spans="1:13" ht="12.75" hidden="1">
      <c r="A33" s="1135"/>
      <c r="B33" s="1138"/>
      <c r="C33" s="1141"/>
      <c r="D33" s="1132"/>
      <c r="E33" s="1144"/>
      <c r="F33" s="73" t="s">
        <v>21</v>
      </c>
      <c r="G33" s="74"/>
      <c r="H33" s="1147"/>
      <c r="I33" s="74">
        <f>J33+K33+L33</f>
        <v>0</v>
      </c>
      <c r="J33" s="74"/>
      <c r="K33" s="74"/>
      <c r="L33" s="74"/>
      <c r="M33" s="1132"/>
    </row>
    <row r="34" spans="1:13" ht="12.75" hidden="1">
      <c r="A34" s="1136"/>
      <c r="B34" s="1139"/>
      <c r="C34" s="1142"/>
      <c r="D34" s="1133"/>
      <c r="E34" s="1145"/>
      <c r="F34" s="73" t="s">
        <v>22</v>
      </c>
      <c r="G34" s="74">
        <f>G32+G33</f>
        <v>7441800</v>
      </c>
      <c r="H34" s="1148"/>
      <c r="I34" s="74">
        <f>I32+I33</f>
        <v>7441800</v>
      </c>
      <c r="J34" s="74">
        <f>J32+J33</f>
        <v>7441800</v>
      </c>
      <c r="K34" s="74">
        <f>K32+K33</f>
        <v>0</v>
      </c>
      <c r="L34" s="74">
        <f>L32+L33</f>
        <v>0</v>
      </c>
      <c r="M34" s="1133"/>
    </row>
    <row r="35" spans="1:13" ht="10.5" customHeight="1" hidden="1">
      <c r="A35" s="65"/>
      <c r="B35" s="66"/>
      <c r="C35" s="80"/>
      <c r="D35" s="81"/>
      <c r="E35" s="73"/>
      <c r="F35" s="73"/>
      <c r="G35" s="74"/>
      <c r="H35" s="82"/>
      <c r="I35" s="74"/>
      <c r="J35" s="74"/>
      <c r="K35" s="74"/>
      <c r="L35" s="74"/>
      <c r="M35" s="83"/>
    </row>
    <row r="36" spans="1:13" ht="12.75" hidden="1">
      <c r="A36" s="1134">
        <v>3</v>
      </c>
      <c r="B36" s="1137"/>
      <c r="C36" s="1140" t="s">
        <v>26</v>
      </c>
      <c r="D36" s="1131" t="s">
        <v>85</v>
      </c>
      <c r="E36" s="1143">
        <v>2017</v>
      </c>
      <c r="F36" s="73" t="s">
        <v>20</v>
      </c>
      <c r="G36" s="74">
        <v>15000</v>
      </c>
      <c r="H36" s="1146" t="s">
        <v>55</v>
      </c>
      <c r="I36" s="74">
        <f>J36+K36+L36</f>
        <v>15000</v>
      </c>
      <c r="J36" s="74">
        <v>15000</v>
      </c>
      <c r="K36" s="74">
        <v>0</v>
      </c>
      <c r="L36" s="74">
        <v>0</v>
      </c>
      <c r="M36" s="1131" t="s">
        <v>84</v>
      </c>
    </row>
    <row r="37" spans="1:13" ht="12.75" hidden="1">
      <c r="A37" s="1135"/>
      <c r="B37" s="1138"/>
      <c r="C37" s="1141"/>
      <c r="D37" s="1132"/>
      <c r="E37" s="1144"/>
      <c r="F37" s="73" t="s">
        <v>21</v>
      </c>
      <c r="G37" s="74"/>
      <c r="H37" s="1147"/>
      <c r="I37" s="74">
        <f>J37+K37+L37</f>
        <v>0</v>
      </c>
      <c r="J37" s="74"/>
      <c r="K37" s="74"/>
      <c r="L37" s="74"/>
      <c r="M37" s="1132"/>
    </row>
    <row r="38" spans="1:13" ht="12.75" hidden="1">
      <c r="A38" s="1136"/>
      <c r="B38" s="1139"/>
      <c r="C38" s="1142"/>
      <c r="D38" s="1133"/>
      <c r="E38" s="1145"/>
      <c r="F38" s="73" t="s">
        <v>22</v>
      </c>
      <c r="G38" s="74">
        <f>G36+G37</f>
        <v>15000</v>
      </c>
      <c r="H38" s="1148"/>
      <c r="I38" s="74">
        <f>I36+I37</f>
        <v>15000</v>
      </c>
      <c r="J38" s="74">
        <f>J36+J37</f>
        <v>15000</v>
      </c>
      <c r="K38" s="74">
        <f>K36+K37</f>
        <v>0</v>
      </c>
      <c r="L38" s="74">
        <f>L36+L37</f>
        <v>0</v>
      </c>
      <c r="M38" s="1133"/>
    </row>
    <row r="39" spans="1:13" ht="9" customHeight="1" hidden="1">
      <c r="A39" s="65"/>
      <c r="B39" s="66"/>
      <c r="C39" s="80"/>
      <c r="D39" s="81"/>
      <c r="E39" s="73"/>
      <c r="F39" s="73"/>
      <c r="G39" s="74"/>
      <c r="H39" s="82"/>
      <c r="I39" s="74"/>
      <c r="J39" s="74"/>
      <c r="K39" s="74"/>
      <c r="L39" s="74"/>
      <c r="M39" s="83"/>
    </row>
    <row r="40" spans="1:13" s="64" customFormat="1" ht="12.75" hidden="1">
      <c r="A40" s="1149"/>
      <c r="B40" s="1152" t="s">
        <v>27</v>
      </c>
      <c r="C40" s="1152"/>
      <c r="D40" s="1161" t="s">
        <v>28</v>
      </c>
      <c r="E40" s="1149" t="s">
        <v>55</v>
      </c>
      <c r="F40" s="61" t="s">
        <v>20</v>
      </c>
      <c r="G40" s="62">
        <f>G44+G48+G52+G56+G60</f>
        <v>14629680</v>
      </c>
      <c r="H40" s="1149" t="s">
        <v>55</v>
      </c>
      <c r="I40" s="63">
        <f aca="true" t="shared" si="2" ref="I40:L41">I44+I48+I52+I56+I60</f>
        <v>14629680</v>
      </c>
      <c r="J40" s="63">
        <f t="shared" si="2"/>
        <v>6351872</v>
      </c>
      <c r="K40" s="63">
        <f t="shared" si="2"/>
        <v>8277808</v>
      </c>
      <c r="L40" s="63">
        <f t="shared" si="2"/>
        <v>0</v>
      </c>
      <c r="M40" s="1149" t="s">
        <v>55</v>
      </c>
    </row>
    <row r="41" spans="1:13" s="64" customFormat="1" ht="12.75" hidden="1">
      <c r="A41" s="1150"/>
      <c r="B41" s="1153"/>
      <c r="C41" s="1153"/>
      <c r="D41" s="1162"/>
      <c r="E41" s="1150"/>
      <c r="F41" s="61" t="s">
        <v>21</v>
      </c>
      <c r="G41" s="62">
        <f>G45+G49+G53+G57+G61</f>
        <v>0</v>
      </c>
      <c r="H41" s="1150"/>
      <c r="I41" s="63">
        <f t="shared" si="2"/>
        <v>0</v>
      </c>
      <c r="J41" s="63">
        <f t="shared" si="2"/>
        <v>0</v>
      </c>
      <c r="K41" s="63">
        <f t="shared" si="2"/>
        <v>0</v>
      </c>
      <c r="L41" s="63">
        <f t="shared" si="2"/>
        <v>0</v>
      </c>
      <c r="M41" s="1150"/>
    </row>
    <row r="42" spans="1:13" s="64" customFormat="1" ht="12.75" hidden="1">
      <c r="A42" s="1151"/>
      <c r="B42" s="1154"/>
      <c r="C42" s="1154"/>
      <c r="D42" s="1163"/>
      <c r="E42" s="1151"/>
      <c r="F42" s="61" t="s">
        <v>22</v>
      </c>
      <c r="G42" s="62">
        <f>G40+G41</f>
        <v>14629680</v>
      </c>
      <c r="H42" s="1151"/>
      <c r="I42" s="63">
        <f>I40+I41</f>
        <v>14629680</v>
      </c>
      <c r="J42" s="63">
        <f>J40+J41</f>
        <v>6351872</v>
      </c>
      <c r="K42" s="63">
        <f>K40+K41</f>
        <v>8277808</v>
      </c>
      <c r="L42" s="63">
        <f>L40+L41</f>
        <v>0</v>
      </c>
      <c r="M42" s="1151"/>
    </row>
    <row r="43" spans="1:13" s="64" customFormat="1" ht="10.5" customHeight="1" hidden="1">
      <c r="A43" s="61"/>
      <c r="B43" s="84"/>
      <c r="C43" s="84"/>
      <c r="D43" s="85"/>
      <c r="E43" s="61"/>
      <c r="F43" s="61"/>
      <c r="G43" s="62"/>
      <c r="H43" s="61"/>
      <c r="I43" s="63"/>
      <c r="J43" s="63"/>
      <c r="K43" s="63"/>
      <c r="L43" s="63"/>
      <c r="M43" s="61"/>
    </row>
    <row r="44" spans="1:13" ht="12.75" hidden="1">
      <c r="A44" s="1134">
        <v>4</v>
      </c>
      <c r="B44" s="1137"/>
      <c r="C44" s="1140" t="s">
        <v>30</v>
      </c>
      <c r="D44" s="1131" t="s">
        <v>86</v>
      </c>
      <c r="E44" s="1143">
        <v>2017</v>
      </c>
      <c r="F44" s="73" t="s">
        <v>20</v>
      </c>
      <c r="G44" s="74">
        <v>150000</v>
      </c>
      <c r="H44" s="1146" t="s">
        <v>55</v>
      </c>
      <c r="I44" s="74">
        <f>J44+K44+L44</f>
        <v>150000</v>
      </c>
      <c r="J44" s="74">
        <v>150000</v>
      </c>
      <c r="K44" s="74">
        <v>0</v>
      </c>
      <c r="L44" s="74">
        <v>0</v>
      </c>
      <c r="M44" s="1131" t="s">
        <v>84</v>
      </c>
    </row>
    <row r="45" spans="1:13" ht="12.75" hidden="1">
      <c r="A45" s="1135"/>
      <c r="B45" s="1138"/>
      <c r="C45" s="1141"/>
      <c r="D45" s="1132"/>
      <c r="E45" s="1144"/>
      <c r="F45" s="73" t="s">
        <v>21</v>
      </c>
      <c r="G45" s="74"/>
      <c r="H45" s="1147"/>
      <c r="I45" s="74">
        <f>J45+K45+L45</f>
        <v>0</v>
      </c>
      <c r="J45" s="74"/>
      <c r="K45" s="74"/>
      <c r="L45" s="74"/>
      <c r="M45" s="1132"/>
    </row>
    <row r="46" spans="1:13" ht="12.75" hidden="1">
      <c r="A46" s="1136"/>
      <c r="B46" s="1139"/>
      <c r="C46" s="1142"/>
      <c r="D46" s="1133"/>
      <c r="E46" s="1145"/>
      <c r="F46" s="73" t="s">
        <v>22</v>
      </c>
      <c r="G46" s="74">
        <f>G44+G45</f>
        <v>150000</v>
      </c>
      <c r="H46" s="1148"/>
      <c r="I46" s="74">
        <f>I44+I45</f>
        <v>150000</v>
      </c>
      <c r="J46" s="74">
        <f>J44+J45</f>
        <v>150000</v>
      </c>
      <c r="K46" s="74">
        <f>K44+K45</f>
        <v>0</v>
      </c>
      <c r="L46" s="74">
        <f>L44+L45</f>
        <v>0</v>
      </c>
      <c r="M46" s="1133"/>
    </row>
    <row r="47" spans="1:13" ht="9" customHeight="1" hidden="1">
      <c r="A47" s="65"/>
      <c r="B47" s="66"/>
      <c r="C47" s="80"/>
      <c r="D47" s="81"/>
      <c r="E47" s="73"/>
      <c r="F47" s="73"/>
      <c r="G47" s="74"/>
      <c r="H47" s="82"/>
      <c r="I47" s="74"/>
      <c r="J47" s="74"/>
      <c r="K47" s="74"/>
      <c r="L47" s="74"/>
      <c r="M47" s="83"/>
    </row>
    <row r="48" spans="1:13" ht="12.75" hidden="1">
      <c r="A48" s="1134">
        <v>5</v>
      </c>
      <c r="B48" s="1137"/>
      <c r="C48" s="1140" t="s">
        <v>31</v>
      </c>
      <c r="D48" s="1131" t="s">
        <v>87</v>
      </c>
      <c r="E48" s="1143">
        <v>2017</v>
      </c>
      <c r="F48" s="73" t="s">
        <v>20</v>
      </c>
      <c r="G48" s="74">
        <v>8750000</v>
      </c>
      <c r="H48" s="1146" t="s">
        <v>55</v>
      </c>
      <c r="I48" s="74">
        <f>J48+K48+L48</f>
        <v>8750000</v>
      </c>
      <c r="J48" s="74">
        <v>1750000</v>
      </c>
      <c r="K48" s="74">
        <v>7000000</v>
      </c>
      <c r="L48" s="74">
        <v>0</v>
      </c>
      <c r="M48" s="1131" t="s">
        <v>88</v>
      </c>
    </row>
    <row r="49" spans="1:13" ht="12.75" hidden="1">
      <c r="A49" s="1135"/>
      <c r="B49" s="1138"/>
      <c r="C49" s="1141"/>
      <c r="D49" s="1132"/>
      <c r="E49" s="1144"/>
      <c r="F49" s="73" t="s">
        <v>21</v>
      </c>
      <c r="G49" s="74"/>
      <c r="H49" s="1147"/>
      <c r="I49" s="74">
        <f>J49+K49+L49</f>
        <v>0</v>
      </c>
      <c r="J49" s="74"/>
      <c r="K49" s="74"/>
      <c r="L49" s="74"/>
      <c r="M49" s="1132"/>
    </row>
    <row r="50" spans="1:13" ht="12.75" hidden="1">
      <c r="A50" s="1136"/>
      <c r="B50" s="1139"/>
      <c r="C50" s="1142"/>
      <c r="D50" s="1133"/>
      <c r="E50" s="1145"/>
      <c r="F50" s="73" t="s">
        <v>22</v>
      </c>
      <c r="G50" s="74">
        <f>G48+G49</f>
        <v>8750000</v>
      </c>
      <c r="H50" s="1148"/>
      <c r="I50" s="74">
        <f>I48+I49</f>
        <v>8750000</v>
      </c>
      <c r="J50" s="74">
        <f>J48+J49</f>
        <v>1750000</v>
      </c>
      <c r="K50" s="74">
        <f>K48+K49</f>
        <v>7000000</v>
      </c>
      <c r="L50" s="74">
        <f>L48+L49</f>
        <v>0</v>
      </c>
      <c r="M50" s="1133"/>
    </row>
    <row r="51" spans="1:13" ht="9.75" customHeight="1" hidden="1">
      <c r="A51" s="65"/>
      <c r="B51" s="66"/>
      <c r="C51" s="80"/>
      <c r="D51" s="81"/>
      <c r="E51" s="73"/>
      <c r="F51" s="73"/>
      <c r="G51" s="74"/>
      <c r="H51" s="82"/>
      <c r="I51" s="74"/>
      <c r="J51" s="74"/>
      <c r="K51" s="74"/>
      <c r="L51" s="74"/>
      <c r="M51" s="83"/>
    </row>
    <row r="52" spans="1:13" ht="12.75" hidden="1">
      <c r="A52" s="1134">
        <v>6</v>
      </c>
      <c r="B52" s="1137"/>
      <c r="C52" s="1140" t="s">
        <v>31</v>
      </c>
      <c r="D52" s="1131" t="s">
        <v>89</v>
      </c>
      <c r="E52" s="1143">
        <v>2017</v>
      </c>
      <c r="F52" s="73" t="s">
        <v>20</v>
      </c>
      <c r="G52" s="74">
        <v>1800000</v>
      </c>
      <c r="H52" s="1146" t="s">
        <v>55</v>
      </c>
      <c r="I52" s="74">
        <f>J52+K52+L52</f>
        <v>1800000</v>
      </c>
      <c r="J52" s="74">
        <v>1800000</v>
      </c>
      <c r="K52" s="74">
        <v>0</v>
      </c>
      <c r="L52" s="74">
        <v>0</v>
      </c>
      <c r="M52" s="1131" t="s">
        <v>88</v>
      </c>
    </row>
    <row r="53" spans="1:13" ht="12.75" hidden="1">
      <c r="A53" s="1135"/>
      <c r="B53" s="1138"/>
      <c r="C53" s="1141"/>
      <c r="D53" s="1132"/>
      <c r="E53" s="1144"/>
      <c r="F53" s="73" t="s">
        <v>21</v>
      </c>
      <c r="G53" s="74"/>
      <c r="H53" s="1147"/>
      <c r="I53" s="74">
        <f>J53+K53+L53</f>
        <v>0</v>
      </c>
      <c r="J53" s="74"/>
      <c r="K53" s="74"/>
      <c r="L53" s="74"/>
      <c r="M53" s="1132"/>
    </row>
    <row r="54" spans="1:13" ht="12.75" hidden="1">
      <c r="A54" s="1136"/>
      <c r="B54" s="1139"/>
      <c r="C54" s="1142"/>
      <c r="D54" s="1133"/>
      <c r="E54" s="1145"/>
      <c r="F54" s="73" t="s">
        <v>22</v>
      </c>
      <c r="G54" s="74">
        <f>G52+G53</f>
        <v>1800000</v>
      </c>
      <c r="H54" s="1148"/>
      <c r="I54" s="74">
        <f>I52+I53</f>
        <v>1800000</v>
      </c>
      <c r="J54" s="74">
        <f>J52+J53</f>
        <v>1800000</v>
      </c>
      <c r="K54" s="74">
        <f>K52+K53</f>
        <v>0</v>
      </c>
      <c r="L54" s="74">
        <f>L52+L53</f>
        <v>0</v>
      </c>
      <c r="M54" s="1133"/>
    </row>
    <row r="55" spans="1:13" ht="9.75" customHeight="1" hidden="1">
      <c r="A55" s="65"/>
      <c r="B55" s="66"/>
      <c r="C55" s="80"/>
      <c r="D55" s="81"/>
      <c r="E55" s="73"/>
      <c r="F55" s="73"/>
      <c r="G55" s="74"/>
      <c r="H55" s="82"/>
      <c r="I55" s="74"/>
      <c r="J55" s="74"/>
      <c r="K55" s="74"/>
      <c r="L55" s="74"/>
      <c r="M55" s="81"/>
    </row>
    <row r="56" spans="1:13" ht="12.75" hidden="1">
      <c r="A56" s="1134">
        <v>7</v>
      </c>
      <c r="B56" s="1137"/>
      <c r="C56" s="1140" t="s">
        <v>31</v>
      </c>
      <c r="D56" s="1131" t="s">
        <v>90</v>
      </c>
      <c r="E56" s="1143">
        <v>2017</v>
      </c>
      <c r="F56" s="73" t="s">
        <v>20</v>
      </c>
      <c r="G56" s="74">
        <v>2129680</v>
      </c>
      <c r="H56" s="1146" t="s">
        <v>55</v>
      </c>
      <c r="I56" s="74">
        <f>J56+K56+L56</f>
        <v>2129680</v>
      </c>
      <c r="J56" s="74">
        <v>851872</v>
      </c>
      <c r="K56" s="74">
        <v>1277808</v>
      </c>
      <c r="L56" s="74">
        <v>0</v>
      </c>
      <c r="M56" s="1131" t="s">
        <v>88</v>
      </c>
    </row>
    <row r="57" spans="1:13" ht="12.75" hidden="1">
      <c r="A57" s="1135"/>
      <c r="B57" s="1138"/>
      <c r="C57" s="1141"/>
      <c r="D57" s="1132"/>
      <c r="E57" s="1144"/>
      <c r="F57" s="73" t="s">
        <v>21</v>
      </c>
      <c r="G57" s="74"/>
      <c r="H57" s="1147"/>
      <c r="I57" s="74">
        <f>J57+K57+L57</f>
        <v>0</v>
      </c>
      <c r="J57" s="74"/>
      <c r="K57" s="74"/>
      <c r="L57" s="74"/>
      <c r="M57" s="1132"/>
    </row>
    <row r="58" spans="1:13" ht="12.75" hidden="1">
      <c r="A58" s="1136"/>
      <c r="B58" s="1139"/>
      <c r="C58" s="1142"/>
      <c r="D58" s="1133"/>
      <c r="E58" s="1145"/>
      <c r="F58" s="73" t="s">
        <v>22</v>
      </c>
      <c r="G58" s="74">
        <f>G56+G57</f>
        <v>2129680</v>
      </c>
      <c r="H58" s="1148"/>
      <c r="I58" s="74">
        <f>I56+I57</f>
        <v>2129680</v>
      </c>
      <c r="J58" s="74">
        <f>J56+J57</f>
        <v>851872</v>
      </c>
      <c r="K58" s="74">
        <f>K56+K57</f>
        <v>1277808</v>
      </c>
      <c r="L58" s="74">
        <f>L56+L57</f>
        <v>0</v>
      </c>
      <c r="M58" s="1133"/>
    </row>
    <row r="59" spans="1:13" ht="9" customHeight="1" hidden="1">
      <c r="A59" s="65"/>
      <c r="B59" s="66"/>
      <c r="C59" s="80"/>
      <c r="D59" s="81"/>
      <c r="E59" s="73"/>
      <c r="F59" s="73"/>
      <c r="G59" s="74"/>
      <c r="H59" s="82"/>
      <c r="I59" s="74"/>
      <c r="J59" s="74"/>
      <c r="K59" s="74"/>
      <c r="L59" s="74"/>
      <c r="M59" s="81"/>
    </row>
    <row r="60" spans="1:13" ht="12.75" hidden="1">
      <c r="A60" s="1134">
        <v>8</v>
      </c>
      <c r="B60" s="1137"/>
      <c r="C60" s="1140" t="s">
        <v>31</v>
      </c>
      <c r="D60" s="1131" t="s">
        <v>91</v>
      </c>
      <c r="E60" s="1143">
        <v>2017</v>
      </c>
      <c r="F60" s="73" t="s">
        <v>20</v>
      </c>
      <c r="G60" s="74">
        <v>1800000</v>
      </c>
      <c r="H60" s="1146" t="s">
        <v>55</v>
      </c>
      <c r="I60" s="74">
        <f>J60+K60+L60</f>
        <v>1800000</v>
      </c>
      <c r="J60" s="74">
        <v>1800000</v>
      </c>
      <c r="K60" s="74">
        <v>0</v>
      </c>
      <c r="L60" s="74">
        <v>0</v>
      </c>
      <c r="M60" s="1131" t="s">
        <v>88</v>
      </c>
    </row>
    <row r="61" spans="1:13" ht="12.75" hidden="1">
      <c r="A61" s="1135"/>
      <c r="B61" s="1138"/>
      <c r="C61" s="1141"/>
      <c r="D61" s="1132"/>
      <c r="E61" s="1144"/>
      <c r="F61" s="73" t="s">
        <v>21</v>
      </c>
      <c r="G61" s="74"/>
      <c r="H61" s="1147"/>
      <c r="I61" s="74">
        <f>J61+K61+L61</f>
        <v>0</v>
      </c>
      <c r="J61" s="74"/>
      <c r="K61" s="74"/>
      <c r="L61" s="74"/>
      <c r="M61" s="1132"/>
    </row>
    <row r="62" spans="1:13" ht="12.75" hidden="1">
      <c r="A62" s="1136"/>
      <c r="B62" s="1139"/>
      <c r="C62" s="1142"/>
      <c r="D62" s="1133"/>
      <c r="E62" s="1145"/>
      <c r="F62" s="73" t="s">
        <v>22</v>
      </c>
      <c r="G62" s="74">
        <f>G60+G61</f>
        <v>1800000</v>
      </c>
      <c r="H62" s="1148"/>
      <c r="I62" s="74">
        <f>I60+I61</f>
        <v>1800000</v>
      </c>
      <c r="J62" s="74">
        <f>J60+J61</f>
        <v>1800000</v>
      </c>
      <c r="K62" s="74">
        <f>K60+K61</f>
        <v>0</v>
      </c>
      <c r="L62" s="74">
        <f>L60+L61</f>
        <v>0</v>
      </c>
      <c r="M62" s="1133"/>
    </row>
    <row r="63" spans="1:13" ht="6" customHeight="1">
      <c r="A63" s="58"/>
      <c r="B63" s="59"/>
      <c r="C63" s="108"/>
      <c r="D63" s="109"/>
      <c r="E63" s="110"/>
      <c r="F63" s="73"/>
      <c r="G63" s="74"/>
      <c r="H63" s="111"/>
      <c r="I63" s="74"/>
      <c r="J63" s="74"/>
      <c r="K63" s="74"/>
      <c r="L63" s="74"/>
      <c r="M63" s="109"/>
    </row>
    <row r="64" spans="1:13" s="64" customFormat="1" ht="12.75">
      <c r="A64" s="1149"/>
      <c r="B64" s="1152" t="s">
        <v>32</v>
      </c>
      <c r="C64" s="1152"/>
      <c r="D64" s="1161" t="s">
        <v>33</v>
      </c>
      <c r="E64" s="1149" t="s">
        <v>55</v>
      </c>
      <c r="F64" s="61" t="s">
        <v>20</v>
      </c>
      <c r="G64" s="62">
        <f>G68+G72</f>
        <v>0</v>
      </c>
      <c r="H64" s="1149" t="s">
        <v>55</v>
      </c>
      <c r="I64" s="63">
        <f aca="true" t="shared" si="3" ref="I64:L65">I68+I72</f>
        <v>0</v>
      </c>
      <c r="J64" s="63">
        <f t="shared" si="3"/>
        <v>0</v>
      </c>
      <c r="K64" s="63">
        <f t="shared" si="3"/>
        <v>0</v>
      </c>
      <c r="L64" s="63">
        <f t="shared" si="3"/>
        <v>0</v>
      </c>
      <c r="M64" s="1149" t="s">
        <v>55</v>
      </c>
    </row>
    <row r="65" spans="1:13" s="64" customFormat="1" ht="12.75">
      <c r="A65" s="1150"/>
      <c r="B65" s="1153"/>
      <c r="C65" s="1153"/>
      <c r="D65" s="1162"/>
      <c r="E65" s="1150"/>
      <c r="F65" s="61" t="s">
        <v>21</v>
      </c>
      <c r="G65" s="62">
        <f>G69+G73</f>
        <v>114863</v>
      </c>
      <c r="H65" s="1150"/>
      <c r="I65" s="63">
        <f t="shared" si="3"/>
        <v>114863</v>
      </c>
      <c r="J65" s="63">
        <f t="shared" si="3"/>
        <v>114863</v>
      </c>
      <c r="K65" s="63">
        <f t="shared" si="3"/>
        <v>0</v>
      </c>
      <c r="L65" s="63">
        <f t="shared" si="3"/>
        <v>0</v>
      </c>
      <c r="M65" s="1150"/>
    </row>
    <row r="66" spans="1:13" s="64" customFormat="1" ht="12.75">
      <c r="A66" s="1151"/>
      <c r="B66" s="1154"/>
      <c r="C66" s="1154"/>
      <c r="D66" s="1163"/>
      <c r="E66" s="1151"/>
      <c r="F66" s="61" t="s">
        <v>22</v>
      </c>
      <c r="G66" s="62">
        <f>G64+G65</f>
        <v>114863</v>
      </c>
      <c r="H66" s="1151"/>
      <c r="I66" s="63">
        <f>I64+I65</f>
        <v>114863</v>
      </c>
      <c r="J66" s="63">
        <f>J64+J65</f>
        <v>114863</v>
      </c>
      <c r="K66" s="63">
        <f>K64+K65</f>
        <v>0</v>
      </c>
      <c r="L66" s="63">
        <f>L64+L65</f>
        <v>0</v>
      </c>
      <c r="M66" s="1151"/>
    </row>
    <row r="67" spans="1:13" s="91" customFormat="1" ht="6" customHeight="1">
      <c r="A67" s="86"/>
      <c r="B67" s="87"/>
      <c r="C67" s="87"/>
      <c r="D67" s="88"/>
      <c r="E67" s="86"/>
      <c r="F67" s="86"/>
      <c r="G67" s="89"/>
      <c r="H67" s="86"/>
      <c r="I67" s="90"/>
      <c r="J67" s="90"/>
      <c r="K67" s="90"/>
      <c r="L67" s="90"/>
      <c r="M67" s="86"/>
    </row>
    <row r="68" spans="1:13" ht="12.75" customHeight="1">
      <c r="A68" s="1134">
        <v>2</v>
      </c>
      <c r="B68" s="1137"/>
      <c r="C68" s="1140" t="s">
        <v>34</v>
      </c>
      <c r="D68" s="1131" t="s">
        <v>174</v>
      </c>
      <c r="E68" s="1143">
        <v>2017</v>
      </c>
      <c r="F68" s="73" t="s">
        <v>20</v>
      </c>
      <c r="G68" s="74">
        <v>0</v>
      </c>
      <c r="H68" s="1146" t="s">
        <v>55</v>
      </c>
      <c r="I68" s="74">
        <f>J68+K68+L68</f>
        <v>0</v>
      </c>
      <c r="J68" s="74">
        <v>0</v>
      </c>
      <c r="K68" s="74">
        <v>0</v>
      </c>
      <c r="L68" s="74">
        <v>0</v>
      </c>
      <c r="M68" s="1158" t="s">
        <v>84</v>
      </c>
    </row>
    <row r="69" spans="1:13" ht="12.75">
      <c r="A69" s="1135"/>
      <c r="B69" s="1138"/>
      <c r="C69" s="1141"/>
      <c r="D69" s="1132"/>
      <c r="E69" s="1144"/>
      <c r="F69" s="73" t="s">
        <v>21</v>
      </c>
      <c r="G69" s="74">
        <v>110000</v>
      </c>
      <c r="H69" s="1147"/>
      <c r="I69" s="74">
        <f>J69+K69+L69</f>
        <v>110000</v>
      </c>
      <c r="J69" s="74">
        <v>110000</v>
      </c>
      <c r="K69" s="74"/>
      <c r="L69" s="74"/>
      <c r="M69" s="1159"/>
    </row>
    <row r="70" spans="1:13" ht="12.75">
      <c r="A70" s="1136"/>
      <c r="B70" s="1139"/>
      <c r="C70" s="1142"/>
      <c r="D70" s="1133"/>
      <c r="E70" s="1145"/>
      <c r="F70" s="73" t="s">
        <v>22</v>
      </c>
      <c r="G70" s="74">
        <f>G68+G69</f>
        <v>110000</v>
      </c>
      <c r="H70" s="1148"/>
      <c r="I70" s="74">
        <f>I68+I69</f>
        <v>110000</v>
      </c>
      <c r="J70" s="74">
        <f>J68+J69</f>
        <v>110000</v>
      </c>
      <c r="K70" s="74">
        <f>K68+K69</f>
        <v>0</v>
      </c>
      <c r="L70" s="74">
        <f>L68+L69</f>
        <v>0</v>
      </c>
      <c r="M70" s="1160"/>
    </row>
    <row r="71" spans="1:13" ht="6.75" customHeight="1">
      <c r="A71" s="58"/>
      <c r="B71" s="59"/>
      <c r="C71" s="108"/>
      <c r="D71" s="109"/>
      <c r="E71" s="110"/>
      <c r="F71" s="73"/>
      <c r="G71" s="74"/>
      <c r="H71" s="111"/>
      <c r="I71" s="74"/>
      <c r="J71" s="74"/>
      <c r="K71" s="74"/>
      <c r="L71" s="74"/>
      <c r="M71" s="116"/>
    </row>
    <row r="72" spans="1:13" ht="19.5" customHeight="1">
      <c r="A72" s="1134">
        <v>3</v>
      </c>
      <c r="B72" s="1137"/>
      <c r="C72" s="1140" t="s">
        <v>34</v>
      </c>
      <c r="D72" s="1131" t="s">
        <v>264</v>
      </c>
      <c r="E72" s="1143">
        <v>2017</v>
      </c>
      <c r="F72" s="73" t="s">
        <v>20</v>
      </c>
      <c r="G72" s="74">
        <v>0</v>
      </c>
      <c r="H72" s="1146" t="s">
        <v>55</v>
      </c>
      <c r="I72" s="74">
        <f>J72+K72+L72</f>
        <v>0</v>
      </c>
      <c r="J72" s="74">
        <v>0</v>
      </c>
      <c r="K72" s="74">
        <v>0</v>
      </c>
      <c r="L72" s="74">
        <v>0</v>
      </c>
      <c r="M72" s="1131" t="s">
        <v>84</v>
      </c>
    </row>
    <row r="73" spans="1:13" ht="19.5" customHeight="1">
      <c r="A73" s="1135"/>
      <c r="B73" s="1138"/>
      <c r="C73" s="1141"/>
      <c r="D73" s="1132"/>
      <c r="E73" s="1144"/>
      <c r="F73" s="73" t="s">
        <v>21</v>
      </c>
      <c r="G73" s="74">
        <v>4863</v>
      </c>
      <c r="H73" s="1147"/>
      <c r="I73" s="74">
        <f>J73+K73+L73</f>
        <v>4863</v>
      </c>
      <c r="J73" s="74">
        <v>4863</v>
      </c>
      <c r="K73" s="74"/>
      <c r="L73" s="74"/>
      <c r="M73" s="1132"/>
    </row>
    <row r="74" spans="1:13" ht="19.5" customHeight="1">
      <c r="A74" s="1136"/>
      <c r="B74" s="1139"/>
      <c r="C74" s="1142"/>
      <c r="D74" s="1133"/>
      <c r="E74" s="1145"/>
      <c r="F74" s="73" t="s">
        <v>22</v>
      </c>
      <c r="G74" s="74">
        <f>G72+G73</f>
        <v>4863</v>
      </c>
      <c r="H74" s="1148"/>
      <c r="I74" s="74">
        <f>I72+I73</f>
        <v>4863</v>
      </c>
      <c r="J74" s="74">
        <f>J72+J73</f>
        <v>4863</v>
      </c>
      <c r="K74" s="74">
        <f>K72+K73</f>
        <v>0</v>
      </c>
      <c r="L74" s="74">
        <f>L72+L73</f>
        <v>0</v>
      </c>
      <c r="M74" s="1133"/>
    </row>
    <row r="75" spans="1:13" ht="10.5" customHeight="1" hidden="1">
      <c r="A75" s="65"/>
      <c r="B75" s="66"/>
      <c r="C75" s="80"/>
      <c r="D75" s="81"/>
      <c r="E75" s="73"/>
      <c r="F75" s="73"/>
      <c r="G75" s="74"/>
      <c r="H75" s="82"/>
      <c r="I75" s="74"/>
      <c r="J75" s="74"/>
      <c r="K75" s="74"/>
      <c r="L75" s="74"/>
      <c r="M75" s="83"/>
    </row>
    <row r="76" spans="1:13" s="64" customFormat="1" ht="12.75" hidden="1">
      <c r="A76" s="1149"/>
      <c r="B76" s="1152" t="s">
        <v>35</v>
      </c>
      <c r="C76" s="1152"/>
      <c r="D76" s="1161" t="s">
        <v>36</v>
      </c>
      <c r="E76" s="1149" t="s">
        <v>55</v>
      </c>
      <c r="F76" s="61" t="s">
        <v>20</v>
      </c>
      <c r="G76" s="62">
        <f>G80+G88+G84</f>
        <v>80000</v>
      </c>
      <c r="H76" s="1149" t="s">
        <v>55</v>
      </c>
      <c r="I76" s="63">
        <f aca="true" t="shared" si="4" ref="I76:L77">I80+I88+I84</f>
        <v>80000</v>
      </c>
      <c r="J76" s="63">
        <f t="shared" si="4"/>
        <v>80000</v>
      </c>
      <c r="K76" s="63">
        <f t="shared" si="4"/>
        <v>0</v>
      </c>
      <c r="L76" s="63">
        <f t="shared" si="4"/>
        <v>0</v>
      </c>
      <c r="M76" s="1149" t="s">
        <v>55</v>
      </c>
    </row>
    <row r="77" spans="1:13" s="64" customFormat="1" ht="12.75" hidden="1">
      <c r="A77" s="1150"/>
      <c r="B77" s="1153"/>
      <c r="C77" s="1153"/>
      <c r="D77" s="1162"/>
      <c r="E77" s="1150"/>
      <c r="F77" s="61" t="s">
        <v>21</v>
      </c>
      <c r="G77" s="62">
        <f>G81+G89+G85</f>
        <v>0</v>
      </c>
      <c r="H77" s="1150"/>
      <c r="I77" s="63">
        <f t="shared" si="4"/>
        <v>0</v>
      </c>
      <c r="J77" s="63">
        <f t="shared" si="4"/>
        <v>0</v>
      </c>
      <c r="K77" s="63">
        <f t="shared" si="4"/>
        <v>0</v>
      </c>
      <c r="L77" s="63">
        <f t="shared" si="4"/>
        <v>0</v>
      </c>
      <c r="M77" s="1150"/>
    </row>
    <row r="78" spans="1:13" s="64" customFormat="1" ht="12.75" hidden="1">
      <c r="A78" s="1151"/>
      <c r="B78" s="1154"/>
      <c r="C78" s="1154"/>
      <c r="D78" s="1163"/>
      <c r="E78" s="1151"/>
      <c r="F78" s="61" t="s">
        <v>22</v>
      </c>
      <c r="G78" s="62">
        <f>G76+G77</f>
        <v>80000</v>
      </c>
      <c r="H78" s="1151"/>
      <c r="I78" s="63">
        <f>I76+I77</f>
        <v>80000</v>
      </c>
      <c r="J78" s="63">
        <f>J76+J77</f>
        <v>80000</v>
      </c>
      <c r="K78" s="63">
        <f>K76+K77</f>
        <v>0</v>
      </c>
      <c r="L78" s="63">
        <f>L76+L77</f>
        <v>0</v>
      </c>
      <c r="M78" s="1151"/>
    </row>
    <row r="79" spans="1:13" s="91" customFormat="1" ht="11.25" customHeight="1" hidden="1">
      <c r="A79" s="86"/>
      <c r="B79" s="87"/>
      <c r="C79" s="87"/>
      <c r="D79" s="88"/>
      <c r="E79" s="86"/>
      <c r="F79" s="86"/>
      <c r="G79" s="89"/>
      <c r="H79" s="86"/>
      <c r="I79" s="90"/>
      <c r="J79" s="90"/>
      <c r="K79" s="90"/>
      <c r="L79" s="90"/>
      <c r="M79" s="86"/>
    </row>
    <row r="80" spans="1:13" ht="12.75" hidden="1">
      <c r="A80" s="1134">
        <v>9</v>
      </c>
      <c r="B80" s="1137"/>
      <c r="C80" s="1140" t="s">
        <v>37</v>
      </c>
      <c r="D80" s="1131" t="s">
        <v>92</v>
      </c>
      <c r="E80" s="1143">
        <v>2017</v>
      </c>
      <c r="F80" s="73" t="s">
        <v>20</v>
      </c>
      <c r="G80" s="74">
        <v>12000</v>
      </c>
      <c r="H80" s="1146" t="s">
        <v>55</v>
      </c>
      <c r="I80" s="74">
        <f>J80+K80+L80</f>
        <v>12000</v>
      </c>
      <c r="J80" s="74">
        <v>12000</v>
      </c>
      <c r="K80" s="74">
        <v>0</v>
      </c>
      <c r="L80" s="74">
        <v>0</v>
      </c>
      <c r="M80" s="1131" t="s">
        <v>93</v>
      </c>
    </row>
    <row r="81" spans="1:13" ht="12.75" hidden="1">
      <c r="A81" s="1135"/>
      <c r="B81" s="1138"/>
      <c r="C81" s="1141"/>
      <c r="D81" s="1132"/>
      <c r="E81" s="1144"/>
      <c r="F81" s="73" t="s">
        <v>21</v>
      </c>
      <c r="G81" s="74"/>
      <c r="H81" s="1147"/>
      <c r="I81" s="74">
        <f>J81+K81+L81</f>
        <v>0</v>
      </c>
      <c r="J81" s="74"/>
      <c r="K81" s="74"/>
      <c r="L81" s="74"/>
      <c r="M81" s="1132"/>
    </row>
    <row r="82" spans="1:13" ht="12.75" hidden="1">
      <c r="A82" s="1136"/>
      <c r="B82" s="1139"/>
      <c r="C82" s="1142"/>
      <c r="D82" s="1133"/>
      <c r="E82" s="1145"/>
      <c r="F82" s="73" t="s">
        <v>22</v>
      </c>
      <c r="G82" s="74">
        <f>G80+G81</f>
        <v>12000</v>
      </c>
      <c r="H82" s="1148"/>
      <c r="I82" s="74">
        <f>I80+I81</f>
        <v>12000</v>
      </c>
      <c r="J82" s="74">
        <f>J80+J81</f>
        <v>12000</v>
      </c>
      <c r="K82" s="74">
        <f>K80+K81</f>
        <v>0</v>
      </c>
      <c r="L82" s="74">
        <f>L80+L81</f>
        <v>0</v>
      </c>
      <c r="M82" s="1133"/>
    </row>
    <row r="83" spans="1:13" ht="12.75" hidden="1">
      <c r="A83" s="65"/>
      <c r="B83" s="66"/>
      <c r="C83" s="80"/>
      <c r="D83" s="81"/>
      <c r="E83" s="73"/>
      <c r="F83" s="73"/>
      <c r="G83" s="74"/>
      <c r="H83" s="82"/>
      <c r="I83" s="74"/>
      <c r="J83" s="74"/>
      <c r="K83" s="74"/>
      <c r="L83" s="74"/>
      <c r="M83" s="81"/>
    </row>
    <row r="84" spans="1:13" ht="12.75" hidden="1">
      <c r="A84" s="1134">
        <v>10</v>
      </c>
      <c r="B84" s="1137"/>
      <c r="C84" s="1140" t="s">
        <v>37</v>
      </c>
      <c r="D84" s="1131" t="s">
        <v>94</v>
      </c>
      <c r="E84" s="1143">
        <v>2017</v>
      </c>
      <c r="F84" s="73" t="s">
        <v>20</v>
      </c>
      <c r="G84" s="74">
        <v>55000</v>
      </c>
      <c r="H84" s="1146" t="s">
        <v>55</v>
      </c>
      <c r="I84" s="74">
        <f>J84+K84+L84</f>
        <v>55000</v>
      </c>
      <c r="J84" s="74">
        <v>55000</v>
      </c>
      <c r="K84" s="74">
        <v>0</v>
      </c>
      <c r="L84" s="74">
        <v>0</v>
      </c>
      <c r="M84" s="1131" t="s">
        <v>93</v>
      </c>
    </row>
    <row r="85" spans="1:13" ht="12.75" hidden="1">
      <c r="A85" s="1135"/>
      <c r="B85" s="1138"/>
      <c r="C85" s="1141"/>
      <c r="D85" s="1132"/>
      <c r="E85" s="1144"/>
      <c r="F85" s="73" t="s">
        <v>21</v>
      </c>
      <c r="G85" s="74"/>
      <c r="H85" s="1147"/>
      <c r="I85" s="74">
        <f>J85+K85+L85</f>
        <v>0</v>
      </c>
      <c r="J85" s="74"/>
      <c r="K85" s="74"/>
      <c r="L85" s="74"/>
      <c r="M85" s="1132"/>
    </row>
    <row r="86" spans="1:13" ht="12.75" hidden="1">
      <c r="A86" s="1136"/>
      <c r="B86" s="1139"/>
      <c r="C86" s="1142"/>
      <c r="D86" s="1133"/>
      <c r="E86" s="1145"/>
      <c r="F86" s="73" t="s">
        <v>22</v>
      </c>
      <c r="G86" s="74">
        <f>G84+G85</f>
        <v>55000</v>
      </c>
      <c r="H86" s="1148"/>
      <c r="I86" s="74">
        <f>I84+I85</f>
        <v>55000</v>
      </c>
      <c r="J86" s="74">
        <f>J84+J85</f>
        <v>55000</v>
      </c>
      <c r="K86" s="74">
        <f>K84+K85</f>
        <v>0</v>
      </c>
      <c r="L86" s="74">
        <f>L84+L85</f>
        <v>0</v>
      </c>
      <c r="M86" s="1133"/>
    </row>
    <row r="87" spans="1:13" ht="12.75" hidden="1">
      <c r="A87" s="65"/>
      <c r="B87" s="66"/>
      <c r="C87" s="80"/>
      <c r="D87" s="81"/>
      <c r="E87" s="73"/>
      <c r="F87" s="73"/>
      <c r="G87" s="74"/>
      <c r="H87" s="82"/>
      <c r="I87" s="74"/>
      <c r="J87" s="74"/>
      <c r="K87" s="74"/>
      <c r="L87" s="74"/>
      <c r="M87" s="81"/>
    </row>
    <row r="88" spans="1:13" ht="12.75" hidden="1">
      <c r="A88" s="1134">
        <v>11</v>
      </c>
      <c r="B88" s="1137"/>
      <c r="C88" s="1140" t="s">
        <v>59</v>
      </c>
      <c r="D88" s="1131" t="s">
        <v>85</v>
      </c>
      <c r="E88" s="1143">
        <v>2017</v>
      </c>
      <c r="F88" s="73" t="s">
        <v>20</v>
      </c>
      <c r="G88" s="74">
        <v>13000</v>
      </c>
      <c r="H88" s="1146" t="s">
        <v>55</v>
      </c>
      <c r="I88" s="74">
        <f>J88+K88+L88</f>
        <v>13000</v>
      </c>
      <c r="J88" s="74">
        <v>13000</v>
      </c>
      <c r="K88" s="74">
        <v>0</v>
      </c>
      <c r="L88" s="74">
        <v>0</v>
      </c>
      <c r="M88" s="1158" t="s">
        <v>84</v>
      </c>
    </row>
    <row r="89" spans="1:13" ht="12.75" hidden="1">
      <c r="A89" s="1135"/>
      <c r="B89" s="1138"/>
      <c r="C89" s="1141"/>
      <c r="D89" s="1132"/>
      <c r="E89" s="1144"/>
      <c r="F89" s="73" t="s">
        <v>21</v>
      </c>
      <c r="G89" s="74"/>
      <c r="H89" s="1147"/>
      <c r="I89" s="74">
        <f>J89+K89+L89</f>
        <v>0</v>
      </c>
      <c r="J89" s="74"/>
      <c r="K89" s="74"/>
      <c r="L89" s="74"/>
      <c r="M89" s="1159"/>
    </row>
    <row r="90" spans="1:13" ht="12.75" hidden="1">
      <c r="A90" s="1136"/>
      <c r="B90" s="1139"/>
      <c r="C90" s="1142"/>
      <c r="D90" s="1133"/>
      <c r="E90" s="1145"/>
      <c r="F90" s="73" t="s">
        <v>22</v>
      </c>
      <c r="G90" s="74">
        <f>G88+G89</f>
        <v>13000</v>
      </c>
      <c r="H90" s="1148"/>
      <c r="I90" s="74">
        <f>I88+I89</f>
        <v>13000</v>
      </c>
      <c r="J90" s="74">
        <f>J88+J89</f>
        <v>13000</v>
      </c>
      <c r="K90" s="74">
        <f>K88+K89</f>
        <v>0</v>
      </c>
      <c r="L90" s="74">
        <f>L88+L89</f>
        <v>0</v>
      </c>
      <c r="M90" s="1160"/>
    </row>
    <row r="91" spans="1:13" ht="12.75" hidden="1">
      <c r="A91" s="65"/>
      <c r="B91" s="66"/>
      <c r="C91" s="80"/>
      <c r="D91" s="81"/>
      <c r="E91" s="73"/>
      <c r="F91" s="73"/>
      <c r="G91" s="74"/>
      <c r="H91" s="82"/>
      <c r="I91" s="74"/>
      <c r="J91" s="74"/>
      <c r="K91" s="74"/>
      <c r="L91" s="74"/>
      <c r="M91" s="83"/>
    </row>
    <row r="92" spans="1:13" s="64" customFormat="1" ht="12.75" hidden="1">
      <c r="A92" s="1149"/>
      <c r="B92" s="1152" t="s">
        <v>38</v>
      </c>
      <c r="C92" s="1152"/>
      <c r="D92" s="1161" t="s">
        <v>39</v>
      </c>
      <c r="E92" s="1149" t="s">
        <v>55</v>
      </c>
      <c r="F92" s="61" t="s">
        <v>20</v>
      </c>
      <c r="G92" s="62">
        <f>G96</f>
        <v>150000</v>
      </c>
      <c r="H92" s="1149" t="s">
        <v>55</v>
      </c>
      <c r="I92" s="63">
        <f aca="true" t="shared" si="5" ref="I92:L93">I96</f>
        <v>150000</v>
      </c>
      <c r="J92" s="63">
        <f t="shared" si="5"/>
        <v>150000</v>
      </c>
      <c r="K92" s="63">
        <f t="shared" si="5"/>
        <v>0</v>
      </c>
      <c r="L92" s="63">
        <f t="shared" si="5"/>
        <v>0</v>
      </c>
      <c r="M92" s="1149" t="s">
        <v>55</v>
      </c>
    </row>
    <row r="93" spans="1:13" s="64" customFormat="1" ht="12.75" hidden="1">
      <c r="A93" s="1150"/>
      <c r="B93" s="1153"/>
      <c r="C93" s="1153"/>
      <c r="D93" s="1162"/>
      <c r="E93" s="1150"/>
      <c r="F93" s="61" t="s">
        <v>21</v>
      </c>
      <c r="G93" s="62">
        <f>G97</f>
        <v>0</v>
      </c>
      <c r="H93" s="1150"/>
      <c r="I93" s="63">
        <f t="shared" si="5"/>
        <v>0</v>
      </c>
      <c r="J93" s="63">
        <f t="shared" si="5"/>
        <v>0</v>
      </c>
      <c r="K93" s="63">
        <f t="shared" si="5"/>
        <v>0</v>
      </c>
      <c r="L93" s="63">
        <f t="shared" si="5"/>
        <v>0</v>
      </c>
      <c r="M93" s="1150"/>
    </row>
    <row r="94" spans="1:13" s="64" customFormat="1" ht="12.75" hidden="1">
      <c r="A94" s="1151"/>
      <c r="B94" s="1154"/>
      <c r="C94" s="1154"/>
      <c r="D94" s="1163"/>
      <c r="E94" s="1151"/>
      <c r="F94" s="61" t="s">
        <v>22</v>
      </c>
      <c r="G94" s="62">
        <f>G92+G93</f>
        <v>150000</v>
      </c>
      <c r="H94" s="1151"/>
      <c r="I94" s="63">
        <f>I92+I93</f>
        <v>150000</v>
      </c>
      <c r="J94" s="63">
        <f>J92+J93</f>
        <v>150000</v>
      </c>
      <c r="K94" s="63">
        <f>K92+K93</f>
        <v>0</v>
      </c>
      <c r="L94" s="63">
        <f>L92+L93</f>
        <v>0</v>
      </c>
      <c r="M94" s="1151"/>
    </row>
    <row r="95" spans="1:13" ht="12.75" hidden="1">
      <c r="A95" s="65"/>
      <c r="B95" s="66"/>
      <c r="C95" s="80"/>
      <c r="D95" s="81"/>
      <c r="E95" s="73"/>
      <c r="F95" s="73"/>
      <c r="G95" s="74"/>
      <c r="H95" s="82"/>
      <c r="I95" s="74"/>
      <c r="J95" s="74"/>
      <c r="K95" s="74"/>
      <c r="L95" s="74"/>
      <c r="M95" s="83"/>
    </row>
    <row r="96" spans="1:13" ht="12.75" hidden="1">
      <c r="A96" s="1134">
        <v>12</v>
      </c>
      <c r="B96" s="1137"/>
      <c r="C96" s="1140" t="s">
        <v>40</v>
      </c>
      <c r="D96" s="1131" t="s">
        <v>95</v>
      </c>
      <c r="E96" s="1143">
        <v>2017</v>
      </c>
      <c r="F96" s="73" t="s">
        <v>20</v>
      </c>
      <c r="G96" s="74">
        <v>150000</v>
      </c>
      <c r="H96" s="1146" t="s">
        <v>55</v>
      </c>
      <c r="I96" s="74">
        <f>J96+K96+L96</f>
        <v>150000</v>
      </c>
      <c r="J96" s="74">
        <v>150000</v>
      </c>
      <c r="K96" s="74">
        <v>0</v>
      </c>
      <c r="L96" s="74">
        <v>0</v>
      </c>
      <c r="M96" s="1131" t="s">
        <v>84</v>
      </c>
    </row>
    <row r="97" spans="1:13" ht="12.75" hidden="1">
      <c r="A97" s="1135"/>
      <c r="B97" s="1138"/>
      <c r="C97" s="1141"/>
      <c r="D97" s="1132"/>
      <c r="E97" s="1144"/>
      <c r="F97" s="73" t="s">
        <v>21</v>
      </c>
      <c r="G97" s="74"/>
      <c r="H97" s="1147"/>
      <c r="I97" s="74">
        <f>J97+K97+L97</f>
        <v>0</v>
      </c>
      <c r="J97" s="74"/>
      <c r="K97" s="74"/>
      <c r="L97" s="74"/>
      <c r="M97" s="1132"/>
    </row>
    <row r="98" spans="1:13" ht="12.75" hidden="1">
      <c r="A98" s="1136"/>
      <c r="B98" s="1139"/>
      <c r="C98" s="1142"/>
      <c r="D98" s="1133"/>
      <c r="E98" s="1145"/>
      <c r="F98" s="73" t="s">
        <v>22</v>
      </c>
      <c r="G98" s="74">
        <f>G96+G97</f>
        <v>150000</v>
      </c>
      <c r="H98" s="1148"/>
      <c r="I98" s="74">
        <f>I96+I97</f>
        <v>150000</v>
      </c>
      <c r="J98" s="74">
        <f>J96+J97</f>
        <v>150000</v>
      </c>
      <c r="K98" s="74">
        <f>K96+K97</f>
        <v>0</v>
      </c>
      <c r="L98" s="74">
        <f>L96+L97</f>
        <v>0</v>
      </c>
      <c r="M98" s="1133"/>
    </row>
    <row r="99" spans="1:13" ht="12.75" hidden="1">
      <c r="A99" s="65"/>
      <c r="B99" s="66"/>
      <c r="C99" s="80"/>
      <c r="D99" s="81"/>
      <c r="E99" s="73"/>
      <c r="F99" s="73"/>
      <c r="G99" s="74"/>
      <c r="H99" s="82"/>
      <c r="I99" s="74"/>
      <c r="J99" s="74"/>
      <c r="K99" s="74"/>
      <c r="L99" s="74"/>
      <c r="M99" s="81"/>
    </row>
    <row r="100" spans="1:13" s="64" customFormat="1" ht="12.75" hidden="1">
      <c r="A100" s="1149"/>
      <c r="B100" s="1152" t="s">
        <v>41</v>
      </c>
      <c r="C100" s="1152"/>
      <c r="D100" s="1161" t="s">
        <v>42</v>
      </c>
      <c r="E100" s="1149" t="s">
        <v>55</v>
      </c>
      <c r="F100" s="61" t="s">
        <v>20</v>
      </c>
      <c r="G100" s="62">
        <f>G104</f>
        <v>39000</v>
      </c>
      <c r="H100" s="1149" t="s">
        <v>55</v>
      </c>
      <c r="I100" s="63">
        <f aca="true" t="shared" si="6" ref="I100:L101">I104</f>
        <v>39000</v>
      </c>
      <c r="J100" s="63">
        <f t="shared" si="6"/>
        <v>39000</v>
      </c>
      <c r="K100" s="63">
        <f t="shared" si="6"/>
        <v>0</v>
      </c>
      <c r="L100" s="63">
        <f t="shared" si="6"/>
        <v>0</v>
      </c>
      <c r="M100" s="1149" t="s">
        <v>55</v>
      </c>
    </row>
    <row r="101" spans="1:13" s="64" customFormat="1" ht="12.75" hidden="1">
      <c r="A101" s="1150"/>
      <c r="B101" s="1153"/>
      <c r="C101" s="1153"/>
      <c r="D101" s="1162"/>
      <c r="E101" s="1150"/>
      <c r="F101" s="61" t="s">
        <v>21</v>
      </c>
      <c r="G101" s="62">
        <f>G105</f>
        <v>0</v>
      </c>
      <c r="H101" s="1150"/>
      <c r="I101" s="63">
        <f t="shared" si="6"/>
        <v>0</v>
      </c>
      <c r="J101" s="63">
        <f t="shared" si="6"/>
        <v>0</v>
      </c>
      <c r="K101" s="63">
        <f t="shared" si="6"/>
        <v>0</v>
      </c>
      <c r="L101" s="63">
        <f t="shared" si="6"/>
        <v>0</v>
      </c>
      <c r="M101" s="1150"/>
    </row>
    <row r="102" spans="1:13" s="64" customFormat="1" ht="12.75" hidden="1">
      <c r="A102" s="1151"/>
      <c r="B102" s="1154"/>
      <c r="C102" s="1154"/>
      <c r="D102" s="1163"/>
      <c r="E102" s="1151"/>
      <c r="F102" s="61" t="s">
        <v>22</v>
      </c>
      <c r="G102" s="62">
        <f>G100+G101</f>
        <v>39000</v>
      </c>
      <c r="H102" s="1151"/>
      <c r="I102" s="63">
        <f>I100+I101</f>
        <v>39000</v>
      </c>
      <c r="J102" s="63">
        <f>J100+J101</f>
        <v>39000</v>
      </c>
      <c r="K102" s="63">
        <f>K100+K101</f>
        <v>0</v>
      </c>
      <c r="L102" s="63">
        <f>L100+L101</f>
        <v>0</v>
      </c>
      <c r="M102" s="1151"/>
    </row>
    <row r="103" spans="1:13" ht="12.75" hidden="1">
      <c r="A103" s="65"/>
      <c r="B103" s="66"/>
      <c r="C103" s="80"/>
      <c r="D103" s="81"/>
      <c r="E103" s="73"/>
      <c r="F103" s="73"/>
      <c r="G103" s="74"/>
      <c r="H103" s="82"/>
      <c r="I103" s="74"/>
      <c r="J103" s="74"/>
      <c r="K103" s="74"/>
      <c r="L103" s="74"/>
      <c r="M103" s="83"/>
    </row>
    <row r="104" spans="1:13" ht="12.75" hidden="1">
      <c r="A104" s="1134">
        <v>13</v>
      </c>
      <c r="B104" s="1137"/>
      <c r="C104" s="1140" t="s">
        <v>43</v>
      </c>
      <c r="D104" s="1131" t="s">
        <v>96</v>
      </c>
      <c r="E104" s="1143">
        <v>2017</v>
      </c>
      <c r="F104" s="73" t="s">
        <v>20</v>
      </c>
      <c r="G104" s="74">
        <v>39000</v>
      </c>
      <c r="H104" s="1146" t="s">
        <v>55</v>
      </c>
      <c r="I104" s="74">
        <f>J104+K104+L104</f>
        <v>39000</v>
      </c>
      <c r="J104" s="74">
        <v>39000</v>
      </c>
      <c r="K104" s="74">
        <v>0</v>
      </c>
      <c r="L104" s="74">
        <v>0</v>
      </c>
      <c r="M104" s="1209" t="s">
        <v>97</v>
      </c>
    </row>
    <row r="105" spans="1:13" ht="12.75" hidden="1">
      <c r="A105" s="1135"/>
      <c r="B105" s="1138"/>
      <c r="C105" s="1141"/>
      <c r="D105" s="1132"/>
      <c r="E105" s="1144"/>
      <c r="F105" s="73" t="s">
        <v>21</v>
      </c>
      <c r="G105" s="74"/>
      <c r="H105" s="1147"/>
      <c r="I105" s="74">
        <f>J105+K105+L105</f>
        <v>0</v>
      </c>
      <c r="J105" s="74"/>
      <c r="K105" s="74"/>
      <c r="L105" s="74"/>
      <c r="M105" s="1210"/>
    </row>
    <row r="106" spans="1:13" ht="12.75" hidden="1">
      <c r="A106" s="1136"/>
      <c r="B106" s="1139"/>
      <c r="C106" s="1142"/>
      <c r="D106" s="1133"/>
      <c r="E106" s="1145"/>
      <c r="F106" s="73" t="s">
        <v>22</v>
      </c>
      <c r="G106" s="74">
        <f>G104+G105</f>
        <v>39000</v>
      </c>
      <c r="H106" s="1148"/>
      <c r="I106" s="74">
        <f>I104+I105</f>
        <v>39000</v>
      </c>
      <c r="J106" s="74">
        <f>J104+J105</f>
        <v>39000</v>
      </c>
      <c r="K106" s="74">
        <f>K104+K105</f>
        <v>0</v>
      </c>
      <c r="L106" s="74">
        <f>L104+L105</f>
        <v>0</v>
      </c>
      <c r="M106" s="1211"/>
    </row>
    <row r="107" spans="1:13" ht="12.75" hidden="1">
      <c r="A107" s="65"/>
      <c r="B107" s="66"/>
      <c r="C107" s="80"/>
      <c r="D107" s="81"/>
      <c r="E107" s="73"/>
      <c r="F107" s="73"/>
      <c r="G107" s="74"/>
      <c r="H107" s="82"/>
      <c r="I107" s="74"/>
      <c r="J107" s="74"/>
      <c r="K107" s="74"/>
      <c r="L107" s="74"/>
      <c r="M107" s="81"/>
    </row>
    <row r="108" spans="1:13" s="64" customFormat="1" ht="12.75" hidden="1">
      <c r="A108" s="1149"/>
      <c r="B108" s="1152" t="s">
        <v>56</v>
      </c>
      <c r="C108" s="1152"/>
      <c r="D108" s="1161" t="s">
        <v>46</v>
      </c>
      <c r="E108" s="1149" t="s">
        <v>55</v>
      </c>
      <c r="F108" s="61" t="s">
        <v>20</v>
      </c>
      <c r="G108" s="62">
        <f>G112</f>
        <v>55000</v>
      </c>
      <c r="H108" s="1149" t="s">
        <v>55</v>
      </c>
      <c r="I108" s="63">
        <f aca="true" t="shared" si="7" ref="I108:L109">I112</f>
        <v>55000</v>
      </c>
      <c r="J108" s="63">
        <f t="shared" si="7"/>
        <v>55000</v>
      </c>
      <c r="K108" s="63">
        <f t="shared" si="7"/>
        <v>0</v>
      </c>
      <c r="L108" s="63">
        <f t="shared" si="7"/>
        <v>0</v>
      </c>
      <c r="M108" s="61" t="s">
        <v>55</v>
      </c>
    </row>
    <row r="109" spans="1:13" s="64" customFormat="1" ht="12.75" hidden="1">
      <c r="A109" s="1150"/>
      <c r="B109" s="1153"/>
      <c r="C109" s="1153"/>
      <c r="D109" s="1162"/>
      <c r="E109" s="1150"/>
      <c r="F109" s="61" t="s">
        <v>21</v>
      </c>
      <c r="G109" s="62">
        <f>G113</f>
        <v>0</v>
      </c>
      <c r="H109" s="1150"/>
      <c r="I109" s="63">
        <f t="shared" si="7"/>
        <v>0</v>
      </c>
      <c r="J109" s="63">
        <f t="shared" si="7"/>
        <v>0</v>
      </c>
      <c r="K109" s="63">
        <f t="shared" si="7"/>
        <v>0</v>
      </c>
      <c r="L109" s="63">
        <f t="shared" si="7"/>
        <v>0</v>
      </c>
      <c r="M109" s="61"/>
    </row>
    <row r="110" spans="1:13" s="64" customFormat="1" ht="12.75" hidden="1">
      <c r="A110" s="1151"/>
      <c r="B110" s="1154"/>
      <c r="C110" s="1154"/>
      <c r="D110" s="1163"/>
      <c r="E110" s="1151"/>
      <c r="F110" s="61" t="s">
        <v>22</v>
      </c>
      <c r="G110" s="62">
        <f>G108+G109</f>
        <v>55000</v>
      </c>
      <c r="H110" s="1151"/>
      <c r="I110" s="63">
        <f>I108+I109</f>
        <v>55000</v>
      </c>
      <c r="J110" s="63">
        <f>J108+J109</f>
        <v>55000</v>
      </c>
      <c r="K110" s="63">
        <f>K108+K109</f>
        <v>0</v>
      </c>
      <c r="L110" s="63">
        <f>L108+L109</f>
        <v>0</v>
      </c>
      <c r="M110" s="61"/>
    </row>
    <row r="111" spans="1:13" ht="12.75" hidden="1">
      <c r="A111" s="65"/>
      <c r="B111" s="66"/>
      <c r="C111" s="80"/>
      <c r="D111" s="81"/>
      <c r="E111" s="73"/>
      <c r="F111" s="73"/>
      <c r="G111" s="74"/>
      <c r="H111" s="82"/>
      <c r="I111" s="74"/>
      <c r="J111" s="74"/>
      <c r="K111" s="74"/>
      <c r="L111" s="74"/>
      <c r="M111" s="83"/>
    </row>
    <row r="112" spans="1:13" ht="12.75" hidden="1">
      <c r="A112" s="1134">
        <v>14</v>
      </c>
      <c r="B112" s="1137"/>
      <c r="C112" s="1140" t="s">
        <v>98</v>
      </c>
      <c r="D112" s="1131" t="s">
        <v>99</v>
      </c>
      <c r="E112" s="1143">
        <v>2017</v>
      </c>
      <c r="F112" s="73" t="s">
        <v>20</v>
      </c>
      <c r="G112" s="74">
        <v>55000</v>
      </c>
      <c r="H112" s="1146" t="s">
        <v>55</v>
      </c>
      <c r="I112" s="74">
        <f>J112+K112+L112</f>
        <v>55000</v>
      </c>
      <c r="J112" s="74">
        <v>55000</v>
      </c>
      <c r="K112" s="74">
        <v>0</v>
      </c>
      <c r="L112" s="74">
        <v>0</v>
      </c>
      <c r="M112" s="1131" t="s">
        <v>100</v>
      </c>
    </row>
    <row r="113" spans="1:13" ht="12.75" hidden="1">
      <c r="A113" s="1135"/>
      <c r="B113" s="1138"/>
      <c r="C113" s="1141"/>
      <c r="D113" s="1132"/>
      <c r="E113" s="1144"/>
      <c r="F113" s="73" t="s">
        <v>21</v>
      </c>
      <c r="G113" s="74"/>
      <c r="H113" s="1147"/>
      <c r="I113" s="74">
        <f>J113+K113+L113</f>
        <v>0</v>
      </c>
      <c r="J113" s="74"/>
      <c r="K113" s="74"/>
      <c r="L113" s="74"/>
      <c r="M113" s="1132"/>
    </row>
    <row r="114" spans="1:13" ht="12.75" hidden="1">
      <c r="A114" s="1136"/>
      <c r="B114" s="1139"/>
      <c r="C114" s="1142"/>
      <c r="D114" s="1133"/>
      <c r="E114" s="1145"/>
      <c r="F114" s="73" t="s">
        <v>22</v>
      </c>
      <c r="G114" s="74">
        <f>G112+G113</f>
        <v>55000</v>
      </c>
      <c r="H114" s="1148"/>
      <c r="I114" s="74">
        <f>I112+I113</f>
        <v>55000</v>
      </c>
      <c r="J114" s="74">
        <f>J112+J113</f>
        <v>55000</v>
      </c>
      <c r="K114" s="74">
        <f>K112+K113</f>
        <v>0</v>
      </c>
      <c r="L114" s="74">
        <f>L112+L113</f>
        <v>0</v>
      </c>
      <c r="M114" s="1133"/>
    </row>
    <row r="115" spans="1:13" ht="12.75" hidden="1">
      <c r="A115" s="65"/>
      <c r="B115" s="66"/>
      <c r="C115" s="80"/>
      <c r="D115" s="81"/>
      <c r="E115" s="73"/>
      <c r="F115" s="73"/>
      <c r="G115" s="74"/>
      <c r="H115" s="82"/>
      <c r="I115" s="74"/>
      <c r="J115" s="74"/>
      <c r="K115" s="74"/>
      <c r="L115" s="74"/>
      <c r="M115" s="81"/>
    </row>
    <row r="116" spans="1:13" s="64" customFormat="1" ht="12.75" hidden="1">
      <c r="A116" s="1149"/>
      <c r="B116" s="1152" t="s">
        <v>57</v>
      </c>
      <c r="C116" s="1152"/>
      <c r="D116" s="1155" t="s">
        <v>47</v>
      </c>
      <c r="E116" s="1149" t="s">
        <v>55</v>
      </c>
      <c r="F116" s="61" t="s">
        <v>20</v>
      </c>
      <c r="G116" s="62">
        <f>G120+G124</f>
        <v>90000</v>
      </c>
      <c r="H116" s="1149" t="s">
        <v>55</v>
      </c>
      <c r="I116" s="63">
        <f aca="true" t="shared" si="8" ref="I116:L117">I120+I124</f>
        <v>90000</v>
      </c>
      <c r="J116" s="63">
        <f t="shared" si="8"/>
        <v>90000</v>
      </c>
      <c r="K116" s="63">
        <f t="shared" si="8"/>
        <v>0</v>
      </c>
      <c r="L116" s="63">
        <f t="shared" si="8"/>
        <v>0</v>
      </c>
      <c r="M116" s="1149" t="s">
        <v>55</v>
      </c>
    </row>
    <row r="117" spans="1:13" s="64" customFormat="1" ht="12.75" hidden="1">
      <c r="A117" s="1150"/>
      <c r="B117" s="1153"/>
      <c r="C117" s="1153"/>
      <c r="D117" s="1156"/>
      <c r="E117" s="1150"/>
      <c r="F117" s="61" t="s">
        <v>21</v>
      </c>
      <c r="G117" s="62">
        <f>G121+G125</f>
        <v>0</v>
      </c>
      <c r="H117" s="1150"/>
      <c r="I117" s="63">
        <f t="shared" si="8"/>
        <v>0</v>
      </c>
      <c r="J117" s="63">
        <f t="shared" si="8"/>
        <v>0</v>
      </c>
      <c r="K117" s="63">
        <f t="shared" si="8"/>
        <v>0</v>
      </c>
      <c r="L117" s="63">
        <f t="shared" si="8"/>
        <v>0</v>
      </c>
      <c r="M117" s="1150"/>
    </row>
    <row r="118" spans="1:13" s="64" customFormat="1" ht="12.75" hidden="1">
      <c r="A118" s="1151"/>
      <c r="B118" s="1154"/>
      <c r="C118" s="1154"/>
      <c r="D118" s="1157"/>
      <c r="E118" s="1151"/>
      <c r="F118" s="61" t="s">
        <v>22</v>
      </c>
      <c r="G118" s="62">
        <f>G116+G117</f>
        <v>90000</v>
      </c>
      <c r="H118" s="1151"/>
      <c r="I118" s="63">
        <f>I116+I117</f>
        <v>90000</v>
      </c>
      <c r="J118" s="63">
        <f>J116+J117</f>
        <v>90000</v>
      </c>
      <c r="K118" s="63">
        <f>K116+K117</f>
        <v>0</v>
      </c>
      <c r="L118" s="63">
        <f>L116+L117</f>
        <v>0</v>
      </c>
      <c r="M118" s="1151"/>
    </row>
    <row r="119" spans="1:13" ht="12.75" hidden="1">
      <c r="A119" s="65"/>
      <c r="B119" s="66"/>
      <c r="C119" s="80"/>
      <c r="D119" s="81"/>
      <c r="E119" s="73"/>
      <c r="F119" s="73"/>
      <c r="G119" s="74"/>
      <c r="H119" s="82"/>
      <c r="I119" s="74"/>
      <c r="J119" s="74"/>
      <c r="K119" s="74"/>
      <c r="L119" s="74"/>
      <c r="M119" s="83"/>
    </row>
    <row r="120" spans="1:13" ht="12.75" hidden="1">
      <c r="A120" s="1134">
        <v>15</v>
      </c>
      <c r="B120" s="1137"/>
      <c r="C120" s="1140" t="s">
        <v>101</v>
      </c>
      <c r="D120" s="1131" t="s">
        <v>85</v>
      </c>
      <c r="E120" s="1143">
        <v>2017</v>
      </c>
      <c r="F120" s="73" t="s">
        <v>20</v>
      </c>
      <c r="G120" s="74">
        <v>10000</v>
      </c>
      <c r="H120" s="1146" t="s">
        <v>55</v>
      </c>
      <c r="I120" s="74">
        <f>J120+K120+L120</f>
        <v>10000</v>
      </c>
      <c r="J120" s="74">
        <v>10000</v>
      </c>
      <c r="K120" s="74">
        <v>0</v>
      </c>
      <c r="L120" s="74">
        <v>0</v>
      </c>
      <c r="M120" s="1131" t="s">
        <v>84</v>
      </c>
    </row>
    <row r="121" spans="1:13" ht="12.75" hidden="1">
      <c r="A121" s="1135"/>
      <c r="B121" s="1138"/>
      <c r="C121" s="1141"/>
      <c r="D121" s="1132"/>
      <c r="E121" s="1144"/>
      <c r="F121" s="73" t="s">
        <v>21</v>
      </c>
      <c r="G121" s="74"/>
      <c r="H121" s="1147"/>
      <c r="I121" s="74">
        <f>J121+K121+L121</f>
        <v>0</v>
      </c>
      <c r="J121" s="74"/>
      <c r="K121" s="74"/>
      <c r="L121" s="74"/>
      <c r="M121" s="1132"/>
    </row>
    <row r="122" spans="1:13" ht="12.75" hidden="1">
      <c r="A122" s="1136"/>
      <c r="B122" s="1139"/>
      <c r="C122" s="1142"/>
      <c r="D122" s="1133"/>
      <c r="E122" s="1145"/>
      <c r="F122" s="73" t="s">
        <v>22</v>
      </c>
      <c r="G122" s="74">
        <f>G120+G121</f>
        <v>10000</v>
      </c>
      <c r="H122" s="1148"/>
      <c r="I122" s="74">
        <f>I120+I121</f>
        <v>10000</v>
      </c>
      <c r="J122" s="74">
        <f>J120+J121</f>
        <v>10000</v>
      </c>
      <c r="K122" s="74">
        <f>K120+K121</f>
        <v>0</v>
      </c>
      <c r="L122" s="74">
        <f>L120+L121</f>
        <v>0</v>
      </c>
      <c r="M122" s="1133"/>
    </row>
    <row r="123" spans="1:13" ht="12.75" hidden="1">
      <c r="A123" s="65"/>
      <c r="B123" s="66"/>
      <c r="C123" s="80"/>
      <c r="D123" s="81"/>
      <c r="E123" s="73"/>
      <c r="F123" s="73"/>
      <c r="G123" s="74"/>
      <c r="H123" s="82"/>
      <c r="I123" s="74"/>
      <c r="J123" s="74"/>
      <c r="K123" s="74"/>
      <c r="L123" s="74"/>
      <c r="M123" s="81"/>
    </row>
    <row r="124" spans="1:13" ht="12.75" hidden="1">
      <c r="A124" s="1134">
        <v>16</v>
      </c>
      <c r="B124" s="1137"/>
      <c r="C124" s="1140" t="s">
        <v>61</v>
      </c>
      <c r="D124" s="1131" t="s">
        <v>95</v>
      </c>
      <c r="E124" s="1143">
        <v>2017</v>
      </c>
      <c r="F124" s="73" t="s">
        <v>20</v>
      </c>
      <c r="G124" s="74">
        <v>80000</v>
      </c>
      <c r="H124" s="1146" t="s">
        <v>55</v>
      </c>
      <c r="I124" s="74">
        <f>J124+K124+L124</f>
        <v>80000</v>
      </c>
      <c r="J124" s="74">
        <v>80000</v>
      </c>
      <c r="K124" s="74">
        <v>0</v>
      </c>
      <c r="L124" s="74">
        <v>0</v>
      </c>
      <c r="M124" s="1131" t="s">
        <v>102</v>
      </c>
    </row>
    <row r="125" spans="1:13" ht="12.75" hidden="1">
      <c r="A125" s="1135"/>
      <c r="B125" s="1138"/>
      <c r="C125" s="1141"/>
      <c r="D125" s="1132"/>
      <c r="E125" s="1144"/>
      <c r="F125" s="73" t="s">
        <v>21</v>
      </c>
      <c r="G125" s="74"/>
      <c r="H125" s="1147"/>
      <c r="I125" s="74">
        <f>J125+K125+L125</f>
        <v>0</v>
      </c>
      <c r="J125" s="74"/>
      <c r="K125" s="74"/>
      <c r="L125" s="74"/>
      <c r="M125" s="1132"/>
    </row>
    <row r="126" spans="1:13" ht="12.75" hidden="1">
      <c r="A126" s="1136"/>
      <c r="B126" s="1139"/>
      <c r="C126" s="1142"/>
      <c r="D126" s="1133"/>
      <c r="E126" s="1145"/>
      <c r="F126" s="73" t="s">
        <v>22</v>
      </c>
      <c r="G126" s="74">
        <f>G124+G125</f>
        <v>80000</v>
      </c>
      <c r="H126" s="1148"/>
      <c r="I126" s="74">
        <f>I124+I125</f>
        <v>80000</v>
      </c>
      <c r="J126" s="74">
        <f>J124+J125</f>
        <v>80000</v>
      </c>
      <c r="K126" s="74">
        <f>K124+K125</f>
        <v>0</v>
      </c>
      <c r="L126" s="74">
        <f>L124+L125</f>
        <v>0</v>
      </c>
      <c r="M126" s="1133"/>
    </row>
    <row r="127" spans="1:13" ht="5.25" customHeight="1">
      <c r="A127" s="65"/>
      <c r="B127" s="66"/>
      <c r="C127" s="80"/>
      <c r="D127" s="81"/>
      <c r="E127" s="73"/>
      <c r="F127" s="73"/>
      <c r="G127" s="74"/>
      <c r="H127" s="82"/>
      <c r="I127" s="74"/>
      <c r="J127" s="74"/>
      <c r="K127" s="74"/>
      <c r="L127" s="74"/>
      <c r="M127" s="81"/>
    </row>
    <row r="128" spans="1:13" s="64" customFormat="1" ht="15" customHeight="1">
      <c r="A128" s="1149"/>
      <c r="B128" s="1152" t="s">
        <v>62</v>
      </c>
      <c r="C128" s="1152"/>
      <c r="D128" s="1161" t="s">
        <v>63</v>
      </c>
      <c r="E128" s="1149" t="s">
        <v>55</v>
      </c>
      <c r="F128" s="61" t="s">
        <v>20</v>
      </c>
      <c r="G128" s="62">
        <f>G132+G136+G140+G144</f>
        <v>154300</v>
      </c>
      <c r="H128" s="1149" t="s">
        <v>55</v>
      </c>
      <c r="I128" s="63">
        <f aca="true" t="shared" si="9" ref="I128:L129">I132+I136+I140+I144</f>
        <v>154300</v>
      </c>
      <c r="J128" s="63">
        <f t="shared" si="9"/>
        <v>154300</v>
      </c>
      <c r="K128" s="63">
        <f t="shared" si="9"/>
        <v>0</v>
      </c>
      <c r="L128" s="63">
        <f t="shared" si="9"/>
        <v>0</v>
      </c>
      <c r="M128" s="1149" t="s">
        <v>55</v>
      </c>
    </row>
    <row r="129" spans="1:13" s="64" customFormat="1" ht="15" customHeight="1">
      <c r="A129" s="1150"/>
      <c r="B129" s="1153"/>
      <c r="C129" s="1153"/>
      <c r="D129" s="1162"/>
      <c r="E129" s="1150"/>
      <c r="F129" s="61" t="s">
        <v>21</v>
      </c>
      <c r="G129" s="62">
        <f>G133+G137+G141+G145</f>
        <v>215000</v>
      </c>
      <c r="H129" s="1150"/>
      <c r="I129" s="63">
        <f t="shared" si="9"/>
        <v>215000</v>
      </c>
      <c r="J129" s="63">
        <f t="shared" si="9"/>
        <v>215000</v>
      </c>
      <c r="K129" s="63">
        <f t="shared" si="9"/>
        <v>0</v>
      </c>
      <c r="L129" s="63">
        <f t="shared" si="9"/>
        <v>0</v>
      </c>
      <c r="M129" s="1150"/>
    </row>
    <row r="130" spans="1:13" s="64" customFormat="1" ht="15" customHeight="1">
      <c r="A130" s="1151"/>
      <c r="B130" s="1154"/>
      <c r="C130" s="1154"/>
      <c r="D130" s="1163"/>
      <c r="E130" s="1151"/>
      <c r="F130" s="61" t="s">
        <v>22</v>
      </c>
      <c r="G130" s="62">
        <f>G128+G129</f>
        <v>369300</v>
      </c>
      <c r="H130" s="1151"/>
      <c r="I130" s="63">
        <f>I128+I129</f>
        <v>369300</v>
      </c>
      <c r="J130" s="63">
        <f>J128+J129</f>
        <v>369300</v>
      </c>
      <c r="K130" s="63">
        <f>K128+K129</f>
        <v>0</v>
      </c>
      <c r="L130" s="63">
        <f>L128+L129</f>
        <v>0</v>
      </c>
      <c r="M130" s="1151"/>
    </row>
    <row r="131" spans="1:13" ht="12.75" hidden="1">
      <c r="A131" s="65"/>
      <c r="B131" s="66"/>
      <c r="C131" s="80"/>
      <c r="D131" s="81"/>
      <c r="E131" s="73"/>
      <c r="F131" s="73"/>
      <c r="G131" s="74"/>
      <c r="H131" s="82"/>
      <c r="I131" s="74"/>
      <c r="J131" s="74"/>
      <c r="K131" s="74"/>
      <c r="L131" s="74"/>
      <c r="M131" s="83"/>
    </row>
    <row r="132" spans="1:13" ht="23.25" customHeight="1" hidden="1">
      <c r="A132" s="1134">
        <v>17</v>
      </c>
      <c r="B132" s="1137"/>
      <c r="C132" s="1140" t="s">
        <v>103</v>
      </c>
      <c r="D132" s="1131" t="s">
        <v>104</v>
      </c>
      <c r="E132" s="1143">
        <v>2017</v>
      </c>
      <c r="F132" s="73" t="s">
        <v>20</v>
      </c>
      <c r="G132" s="74">
        <v>14300</v>
      </c>
      <c r="H132" s="1146" t="s">
        <v>55</v>
      </c>
      <c r="I132" s="74">
        <f>J132+K132+L132</f>
        <v>14300</v>
      </c>
      <c r="J132" s="74">
        <v>14300</v>
      </c>
      <c r="K132" s="74">
        <v>0</v>
      </c>
      <c r="L132" s="74">
        <v>0</v>
      </c>
      <c r="M132" s="1209" t="s">
        <v>105</v>
      </c>
    </row>
    <row r="133" spans="1:13" ht="23.25" customHeight="1" hidden="1">
      <c r="A133" s="1135"/>
      <c r="B133" s="1138"/>
      <c r="C133" s="1141"/>
      <c r="D133" s="1132"/>
      <c r="E133" s="1144"/>
      <c r="F133" s="73" t="s">
        <v>21</v>
      </c>
      <c r="G133" s="74"/>
      <c r="H133" s="1147"/>
      <c r="I133" s="74">
        <f>J133+K133+L133</f>
        <v>0</v>
      </c>
      <c r="J133" s="74"/>
      <c r="K133" s="74"/>
      <c r="L133" s="74"/>
      <c r="M133" s="1210"/>
    </row>
    <row r="134" spans="1:13" ht="23.25" customHeight="1" hidden="1">
      <c r="A134" s="1136"/>
      <c r="B134" s="1139"/>
      <c r="C134" s="1142"/>
      <c r="D134" s="1133"/>
      <c r="E134" s="1145"/>
      <c r="F134" s="73" t="s">
        <v>22</v>
      </c>
      <c r="G134" s="74">
        <f>G132+G133</f>
        <v>14300</v>
      </c>
      <c r="H134" s="1148"/>
      <c r="I134" s="74">
        <f>I132+I133</f>
        <v>14300</v>
      </c>
      <c r="J134" s="74">
        <f>J132+J133</f>
        <v>14300</v>
      </c>
      <c r="K134" s="74">
        <f>K132+K133</f>
        <v>0</v>
      </c>
      <c r="L134" s="74">
        <f>L132+L133</f>
        <v>0</v>
      </c>
      <c r="M134" s="1211"/>
    </row>
    <row r="135" spans="1:13" ht="12.75" hidden="1">
      <c r="A135" s="65"/>
      <c r="B135" s="66"/>
      <c r="C135" s="80"/>
      <c r="D135" s="81"/>
      <c r="E135" s="73"/>
      <c r="F135" s="73"/>
      <c r="G135" s="74"/>
      <c r="H135" s="82"/>
      <c r="I135" s="74"/>
      <c r="J135" s="74"/>
      <c r="K135" s="74"/>
      <c r="L135" s="74"/>
      <c r="M135" s="81"/>
    </row>
    <row r="136" spans="1:13" ht="18" customHeight="1" hidden="1">
      <c r="A136" s="1134">
        <v>18</v>
      </c>
      <c r="B136" s="1137"/>
      <c r="C136" s="1140" t="s">
        <v>103</v>
      </c>
      <c r="D136" s="1131" t="s">
        <v>106</v>
      </c>
      <c r="E136" s="1143">
        <v>2017</v>
      </c>
      <c r="F136" s="73" t="s">
        <v>20</v>
      </c>
      <c r="G136" s="74">
        <v>140000</v>
      </c>
      <c r="H136" s="1146" t="s">
        <v>55</v>
      </c>
      <c r="I136" s="74">
        <f>J136+K136+L136</f>
        <v>140000</v>
      </c>
      <c r="J136" s="74">
        <v>140000</v>
      </c>
      <c r="K136" s="74">
        <v>0</v>
      </c>
      <c r="L136" s="74">
        <v>0</v>
      </c>
      <c r="M136" s="1131" t="s">
        <v>84</v>
      </c>
    </row>
    <row r="137" spans="1:13" ht="18" customHeight="1" hidden="1">
      <c r="A137" s="1135"/>
      <c r="B137" s="1138"/>
      <c r="C137" s="1141"/>
      <c r="D137" s="1132"/>
      <c r="E137" s="1144"/>
      <c r="F137" s="73" t="s">
        <v>21</v>
      </c>
      <c r="G137" s="74"/>
      <c r="H137" s="1147"/>
      <c r="I137" s="74">
        <f>J137+K137+L137</f>
        <v>0</v>
      </c>
      <c r="J137" s="74"/>
      <c r="K137" s="74"/>
      <c r="L137" s="74"/>
      <c r="M137" s="1132"/>
    </row>
    <row r="138" spans="1:13" ht="18" customHeight="1" hidden="1">
      <c r="A138" s="1136"/>
      <c r="B138" s="1139"/>
      <c r="C138" s="1142"/>
      <c r="D138" s="1133"/>
      <c r="E138" s="1145"/>
      <c r="F138" s="73" t="s">
        <v>22</v>
      </c>
      <c r="G138" s="74">
        <f>G136+G137</f>
        <v>140000</v>
      </c>
      <c r="H138" s="1148"/>
      <c r="I138" s="74">
        <f>I136+I137</f>
        <v>140000</v>
      </c>
      <c r="J138" s="74">
        <f>J136+J137</f>
        <v>140000</v>
      </c>
      <c r="K138" s="74">
        <f>K136+K137</f>
        <v>0</v>
      </c>
      <c r="L138" s="74">
        <f>L136+L137</f>
        <v>0</v>
      </c>
      <c r="M138" s="1133"/>
    </row>
    <row r="139" spans="1:13" ht="6" customHeight="1">
      <c r="A139" s="58"/>
      <c r="B139" s="59"/>
      <c r="C139" s="108"/>
      <c r="D139" s="109"/>
      <c r="E139" s="110"/>
      <c r="F139" s="73"/>
      <c r="G139" s="74"/>
      <c r="H139" s="111"/>
      <c r="I139" s="74"/>
      <c r="J139" s="74"/>
      <c r="K139" s="74"/>
      <c r="L139" s="74"/>
      <c r="M139" s="112"/>
    </row>
    <row r="140" spans="1:13" ht="12.75">
      <c r="A140" s="1134">
        <v>4</v>
      </c>
      <c r="B140" s="1137"/>
      <c r="C140" s="1140" t="s">
        <v>103</v>
      </c>
      <c r="D140" s="1131" t="s">
        <v>175</v>
      </c>
      <c r="E140" s="1143">
        <v>2017</v>
      </c>
      <c r="F140" s="73" t="s">
        <v>20</v>
      </c>
      <c r="G140" s="74">
        <v>0</v>
      </c>
      <c r="H140" s="1146" t="s">
        <v>55</v>
      </c>
      <c r="I140" s="74">
        <f>J140+K140+L140</f>
        <v>0</v>
      </c>
      <c r="J140" s="74">
        <v>0</v>
      </c>
      <c r="K140" s="74">
        <v>0</v>
      </c>
      <c r="L140" s="74">
        <v>0</v>
      </c>
      <c r="M140" s="1131" t="s">
        <v>84</v>
      </c>
    </row>
    <row r="141" spans="1:13" ht="12.75">
      <c r="A141" s="1135"/>
      <c r="B141" s="1138"/>
      <c r="C141" s="1141"/>
      <c r="D141" s="1132"/>
      <c r="E141" s="1144"/>
      <c r="F141" s="73" t="s">
        <v>21</v>
      </c>
      <c r="G141" s="74">
        <v>15000</v>
      </c>
      <c r="H141" s="1147"/>
      <c r="I141" s="74">
        <f>J141+K141+L141</f>
        <v>15000</v>
      </c>
      <c r="J141" s="74">
        <v>15000</v>
      </c>
      <c r="K141" s="74"/>
      <c r="L141" s="74"/>
      <c r="M141" s="1132"/>
    </row>
    <row r="142" spans="1:13" ht="12.75">
      <c r="A142" s="1136"/>
      <c r="B142" s="1139"/>
      <c r="C142" s="1142"/>
      <c r="D142" s="1133"/>
      <c r="E142" s="1145"/>
      <c r="F142" s="73" t="s">
        <v>22</v>
      </c>
      <c r="G142" s="74">
        <f>G140+G141</f>
        <v>15000</v>
      </c>
      <c r="H142" s="1148"/>
      <c r="I142" s="74">
        <f>I140+I141</f>
        <v>15000</v>
      </c>
      <c r="J142" s="74">
        <f>J140+J141</f>
        <v>15000</v>
      </c>
      <c r="K142" s="74">
        <f>K140+K141</f>
        <v>0</v>
      </c>
      <c r="L142" s="74">
        <f>L140+L141</f>
        <v>0</v>
      </c>
      <c r="M142" s="1133"/>
    </row>
    <row r="143" spans="1:13" ht="6.75" customHeight="1">
      <c r="A143" s="58"/>
      <c r="B143" s="59"/>
      <c r="C143" s="108"/>
      <c r="D143" s="109"/>
      <c r="E143" s="110"/>
      <c r="F143" s="73"/>
      <c r="G143" s="74"/>
      <c r="H143" s="111"/>
      <c r="I143" s="74"/>
      <c r="J143" s="74"/>
      <c r="K143" s="74"/>
      <c r="L143" s="74"/>
      <c r="M143" s="109"/>
    </row>
    <row r="144" spans="1:13" ht="12.75">
      <c r="A144" s="1134">
        <v>5</v>
      </c>
      <c r="B144" s="1137"/>
      <c r="C144" s="1140" t="s">
        <v>176</v>
      </c>
      <c r="D144" s="1131" t="s">
        <v>177</v>
      </c>
      <c r="E144" s="1143">
        <v>2017</v>
      </c>
      <c r="F144" s="73" t="s">
        <v>20</v>
      </c>
      <c r="G144" s="74">
        <v>0</v>
      </c>
      <c r="H144" s="1146" t="s">
        <v>55</v>
      </c>
      <c r="I144" s="74">
        <f>J144+K144+L144</f>
        <v>0</v>
      </c>
      <c r="J144" s="74">
        <v>0</v>
      </c>
      <c r="K144" s="74">
        <v>0</v>
      </c>
      <c r="L144" s="74">
        <v>0</v>
      </c>
      <c r="M144" s="1131" t="s">
        <v>84</v>
      </c>
    </row>
    <row r="145" spans="1:13" ht="12.75">
      <c r="A145" s="1135"/>
      <c r="B145" s="1138"/>
      <c r="C145" s="1141"/>
      <c r="D145" s="1132"/>
      <c r="E145" s="1144"/>
      <c r="F145" s="73" t="s">
        <v>21</v>
      </c>
      <c r="G145" s="74">
        <v>200000</v>
      </c>
      <c r="H145" s="1147"/>
      <c r="I145" s="74">
        <f>J145+K145+L145</f>
        <v>200000</v>
      </c>
      <c r="J145" s="74">
        <v>200000</v>
      </c>
      <c r="K145" s="74"/>
      <c r="L145" s="74"/>
      <c r="M145" s="1132"/>
    </row>
    <row r="146" spans="1:13" ht="12.75">
      <c r="A146" s="1136"/>
      <c r="B146" s="1139"/>
      <c r="C146" s="1142"/>
      <c r="D146" s="1133"/>
      <c r="E146" s="1145"/>
      <c r="F146" s="73" t="s">
        <v>22</v>
      </c>
      <c r="G146" s="74">
        <f>G144+G145</f>
        <v>200000</v>
      </c>
      <c r="H146" s="1148"/>
      <c r="I146" s="74">
        <f>I144+I145</f>
        <v>200000</v>
      </c>
      <c r="J146" s="74">
        <f>J144+J145</f>
        <v>200000</v>
      </c>
      <c r="K146" s="74">
        <f>K144+K145</f>
        <v>0</v>
      </c>
      <c r="L146" s="74">
        <f>L144+L145</f>
        <v>0</v>
      </c>
      <c r="M146" s="1133"/>
    </row>
    <row r="147" spans="1:13" ht="12.75">
      <c r="A147" s="65"/>
      <c r="B147" s="66"/>
      <c r="C147" s="80"/>
      <c r="D147" s="81"/>
      <c r="E147" s="73"/>
      <c r="F147" s="73"/>
      <c r="G147" s="74"/>
      <c r="H147" s="82"/>
      <c r="I147" s="74"/>
      <c r="J147" s="74"/>
      <c r="K147" s="74"/>
      <c r="L147" s="74"/>
      <c r="M147" s="83"/>
    </row>
    <row r="148" spans="1:13" s="64" customFormat="1" ht="14.25" customHeight="1">
      <c r="A148" s="1149"/>
      <c r="B148" s="1152" t="s">
        <v>58</v>
      </c>
      <c r="C148" s="1152"/>
      <c r="D148" s="1155" t="s">
        <v>48</v>
      </c>
      <c r="E148" s="1149" t="s">
        <v>55</v>
      </c>
      <c r="F148" s="61" t="s">
        <v>20</v>
      </c>
      <c r="G148" s="62">
        <f>G156+G160+G152</f>
        <v>70000</v>
      </c>
      <c r="H148" s="1149" t="s">
        <v>55</v>
      </c>
      <c r="I148" s="63">
        <f aca="true" t="shared" si="10" ref="I148:L149">I156+I160+I152</f>
        <v>70000</v>
      </c>
      <c r="J148" s="63">
        <f t="shared" si="10"/>
        <v>30000</v>
      </c>
      <c r="K148" s="63">
        <f t="shared" si="10"/>
        <v>40000</v>
      </c>
      <c r="L148" s="63">
        <f t="shared" si="10"/>
        <v>0</v>
      </c>
      <c r="M148" s="1149" t="s">
        <v>55</v>
      </c>
    </row>
    <row r="149" spans="1:13" s="64" customFormat="1" ht="14.25" customHeight="1">
      <c r="A149" s="1150"/>
      <c r="B149" s="1153"/>
      <c r="C149" s="1153"/>
      <c r="D149" s="1156"/>
      <c r="E149" s="1150"/>
      <c r="F149" s="61" t="s">
        <v>21</v>
      </c>
      <c r="G149" s="62">
        <f>G157+G161+G153</f>
        <v>102631</v>
      </c>
      <c r="H149" s="1150"/>
      <c r="I149" s="63">
        <f t="shared" si="10"/>
        <v>102631</v>
      </c>
      <c r="J149" s="63">
        <f t="shared" si="10"/>
        <v>102631</v>
      </c>
      <c r="K149" s="63">
        <f t="shared" si="10"/>
        <v>0</v>
      </c>
      <c r="L149" s="63">
        <f t="shared" si="10"/>
        <v>0</v>
      </c>
      <c r="M149" s="1150"/>
    </row>
    <row r="150" spans="1:13" s="64" customFormat="1" ht="14.25" customHeight="1">
      <c r="A150" s="1151"/>
      <c r="B150" s="1154"/>
      <c r="C150" s="1154"/>
      <c r="D150" s="1157"/>
      <c r="E150" s="1151"/>
      <c r="F150" s="61" t="s">
        <v>22</v>
      </c>
      <c r="G150" s="62">
        <f>G148+G149</f>
        <v>172631</v>
      </c>
      <c r="H150" s="1151"/>
      <c r="I150" s="63">
        <f>I148+I149</f>
        <v>172631</v>
      </c>
      <c r="J150" s="63">
        <f>J148+J149</f>
        <v>132631</v>
      </c>
      <c r="K150" s="63">
        <f>K148+K149</f>
        <v>40000</v>
      </c>
      <c r="L150" s="63">
        <f>L148+L149</f>
        <v>0</v>
      </c>
      <c r="M150" s="1151"/>
    </row>
    <row r="151" spans="1:13" s="64" customFormat="1" ht="6.75" customHeight="1">
      <c r="A151" s="113"/>
      <c r="B151" s="114"/>
      <c r="C151" s="114"/>
      <c r="D151" s="117"/>
      <c r="E151" s="113"/>
      <c r="F151" s="61"/>
      <c r="G151" s="62"/>
      <c r="H151" s="113"/>
      <c r="I151" s="63"/>
      <c r="J151" s="63"/>
      <c r="K151" s="63"/>
      <c r="L151" s="63"/>
      <c r="M151" s="113"/>
    </row>
    <row r="152" spans="1:13" ht="20.25" customHeight="1">
      <c r="A152" s="1134">
        <v>6</v>
      </c>
      <c r="B152" s="1137"/>
      <c r="C152" s="1140" t="s">
        <v>260</v>
      </c>
      <c r="D152" s="1131" t="s">
        <v>264</v>
      </c>
      <c r="E152" s="1143">
        <v>2017</v>
      </c>
      <c r="F152" s="73" t="s">
        <v>20</v>
      </c>
      <c r="G152" s="74">
        <v>0</v>
      </c>
      <c r="H152" s="1146" t="s">
        <v>55</v>
      </c>
      <c r="I152" s="74">
        <f>J152+K152+L152</f>
        <v>0</v>
      </c>
      <c r="J152" s="74">
        <v>0</v>
      </c>
      <c r="K152" s="74">
        <v>0</v>
      </c>
      <c r="L152" s="74">
        <v>0</v>
      </c>
      <c r="M152" s="1131" t="s">
        <v>84</v>
      </c>
    </row>
    <row r="153" spans="1:13" ht="20.25" customHeight="1">
      <c r="A153" s="1135"/>
      <c r="B153" s="1138"/>
      <c r="C153" s="1141"/>
      <c r="D153" s="1132"/>
      <c r="E153" s="1144"/>
      <c r="F153" s="73" t="s">
        <v>21</v>
      </c>
      <c r="G153" s="74">
        <v>102631</v>
      </c>
      <c r="H153" s="1147"/>
      <c r="I153" s="74">
        <f>J153+K153+L153</f>
        <v>102631</v>
      </c>
      <c r="J153" s="74">
        <v>102631</v>
      </c>
      <c r="K153" s="74"/>
      <c r="L153" s="74"/>
      <c r="M153" s="1132"/>
    </row>
    <row r="154" spans="1:13" ht="20.25" customHeight="1">
      <c r="A154" s="1136"/>
      <c r="B154" s="1139"/>
      <c r="C154" s="1142"/>
      <c r="D154" s="1133"/>
      <c r="E154" s="1145"/>
      <c r="F154" s="73" t="s">
        <v>22</v>
      </c>
      <c r="G154" s="74">
        <f>G152+G153</f>
        <v>102631</v>
      </c>
      <c r="H154" s="1148"/>
      <c r="I154" s="74">
        <f>I152+I153</f>
        <v>102631</v>
      </c>
      <c r="J154" s="74">
        <f>J152+J153</f>
        <v>102631</v>
      </c>
      <c r="K154" s="74">
        <f>K152+K153</f>
        <v>0</v>
      </c>
      <c r="L154" s="74">
        <f>L152+L153</f>
        <v>0</v>
      </c>
      <c r="M154" s="1133"/>
    </row>
    <row r="155" spans="1:13" ht="12.75" hidden="1">
      <c r="A155" s="65"/>
      <c r="B155" s="66"/>
      <c r="C155" s="80"/>
      <c r="D155" s="81"/>
      <c r="E155" s="73"/>
      <c r="F155" s="73"/>
      <c r="G155" s="74"/>
      <c r="H155" s="82"/>
      <c r="I155" s="74"/>
      <c r="J155" s="74"/>
      <c r="K155" s="74"/>
      <c r="L155" s="74"/>
      <c r="M155" s="83"/>
    </row>
    <row r="156" spans="1:13" ht="12.75" hidden="1">
      <c r="A156" s="1134">
        <v>19</v>
      </c>
      <c r="B156" s="1137"/>
      <c r="C156" s="1140" t="s">
        <v>107</v>
      </c>
      <c r="D156" s="1131" t="s">
        <v>85</v>
      </c>
      <c r="E156" s="1143">
        <v>2017</v>
      </c>
      <c r="F156" s="73" t="s">
        <v>20</v>
      </c>
      <c r="G156" s="74">
        <v>20000</v>
      </c>
      <c r="H156" s="1146" t="s">
        <v>55</v>
      </c>
      <c r="I156" s="74">
        <f>J156+K156+L156</f>
        <v>20000</v>
      </c>
      <c r="J156" s="74">
        <v>20000</v>
      </c>
      <c r="K156" s="74">
        <v>0</v>
      </c>
      <c r="L156" s="74">
        <v>0</v>
      </c>
      <c r="M156" s="1131" t="s">
        <v>84</v>
      </c>
    </row>
    <row r="157" spans="1:13" ht="12.75" hidden="1">
      <c r="A157" s="1135"/>
      <c r="B157" s="1138"/>
      <c r="C157" s="1141"/>
      <c r="D157" s="1132"/>
      <c r="E157" s="1144"/>
      <c r="F157" s="73" t="s">
        <v>21</v>
      </c>
      <c r="G157" s="74"/>
      <c r="H157" s="1147"/>
      <c r="I157" s="74">
        <f>J157+K157+L157</f>
        <v>0</v>
      </c>
      <c r="J157" s="74"/>
      <c r="K157" s="74"/>
      <c r="L157" s="74"/>
      <c r="M157" s="1132"/>
    </row>
    <row r="158" spans="1:13" ht="12.75" hidden="1">
      <c r="A158" s="1136"/>
      <c r="B158" s="1139"/>
      <c r="C158" s="1142"/>
      <c r="D158" s="1133"/>
      <c r="E158" s="1145"/>
      <c r="F158" s="73" t="s">
        <v>22</v>
      </c>
      <c r="G158" s="74">
        <f>G156+G157</f>
        <v>20000</v>
      </c>
      <c r="H158" s="1148"/>
      <c r="I158" s="74">
        <f>I156+I157</f>
        <v>20000</v>
      </c>
      <c r="J158" s="74">
        <f>J156+J157</f>
        <v>20000</v>
      </c>
      <c r="K158" s="74">
        <f>K156+K157</f>
        <v>0</v>
      </c>
      <c r="L158" s="74">
        <f>L156+L157</f>
        <v>0</v>
      </c>
      <c r="M158" s="1133"/>
    </row>
    <row r="159" spans="1:13" ht="12.75" hidden="1">
      <c r="A159" s="65"/>
      <c r="B159" s="66"/>
      <c r="C159" s="80"/>
      <c r="D159" s="81"/>
      <c r="E159" s="73"/>
      <c r="F159" s="73"/>
      <c r="G159" s="74"/>
      <c r="H159" s="82"/>
      <c r="I159" s="74"/>
      <c r="J159" s="74"/>
      <c r="K159" s="74"/>
      <c r="L159" s="74"/>
      <c r="M159" s="83"/>
    </row>
    <row r="160" spans="1:13" ht="12.75" hidden="1">
      <c r="A160" s="1134">
        <v>20</v>
      </c>
      <c r="B160" s="1137"/>
      <c r="C160" s="1140" t="s">
        <v>108</v>
      </c>
      <c r="D160" s="1131" t="s">
        <v>109</v>
      </c>
      <c r="E160" s="1143">
        <v>2017</v>
      </c>
      <c r="F160" s="73" t="s">
        <v>20</v>
      </c>
      <c r="G160" s="74">
        <v>50000</v>
      </c>
      <c r="H160" s="1146" t="s">
        <v>55</v>
      </c>
      <c r="I160" s="74">
        <f>J160+K160+L160</f>
        <v>50000</v>
      </c>
      <c r="J160" s="74">
        <v>10000</v>
      </c>
      <c r="K160" s="74">
        <v>40000</v>
      </c>
      <c r="L160" s="74">
        <v>0</v>
      </c>
      <c r="M160" s="1131" t="s">
        <v>84</v>
      </c>
    </row>
    <row r="161" spans="1:13" ht="12.75" hidden="1">
      <c r="A161" s="1135"/>
      <c r="B161" s="1138"/>
      <c r="C161" s="1141"/>
      <c r="D161" s="1132"/>
      <c r="E161" s="1144"/>
      <c r="F161" s="73" t="s">
        <v>21</v>
      </c>
      <c r="G161" s="74"/>
      <c r="H161" s="1147"/>
      <c r="I161" s="74">
        <f>J161+K161+L161</f>
        <v>0</v>
      </c>
      <c r="J161" s="74"/>
      <c r="K161" s="74"/>
      <c r="L161" s="74"/>
      <c r="M161" s="1132"/>
    </row>
    <row r="162" spans="1:13" ht="12.75" hidden="1">
      <c r="A162" s="1136"/>
      <c r="B162" s="1139"/>
      <c r="C162" s="1142"/>
      <c r="D162" s="1133"/>
      <c r="E162" s="1145"/>
      <c r="F162" s="73" t="s">
        <v>22</v>
      </c>
      <c r="G162" s="74">
        <f>G160+G161</f>
        <v>50000</v>
      </c>
      <c r="H162" s="1148"/>
      <c r="I162" s="74">
        <f>I160+I161</f>
        <v>50000</v>
      </c>
      <c r="J162" s="74">
        <f>J160+J161</f>
        <v>10000</v>
      </c>
      <c r="K162" s="74">
        <f>K160+K161</f>
        <v>40000</v>
      </c>
      <c r="L162" s="74">
        <f>L160+L161</f>
        <v>0</v>
      </c>
      <c r="M162" s="1133"/>
    </row>
    <row r="163" spans="1:13" ht="6" customHeight="1">
      <c r="A163" s="58"/>
      <c r="B163" s="59"/>
      <c r="C163" s="108"/>
      <c r="D163" s="109"/>
      <c r="E163" s="110"/>
      <c r="F163" s="73"/>
      <c r="G163" s="74"/>
      <c r="H163" s="111"/>
      <c r="I163" s="74"/>
      <c r="J163" s="74"/>
      <c r="K163" s="74"/>
      <c r="L163" s="74"/>
      <c r="M163" s="109"/>
    </row>
    <row r="164" spans="1:13" s="64" customFormat="1" ht="15" customHeight="1">
      <c r="A164" s="1149"/>
      <c r="B164" s="1152" t="s">
        <v>147</v>
      </c>
      <c r="C164" s="1152"/>
      <c r="D164" s="1155" t="s">
        <v>49</v>
      </c>
      <c r="E164" s="1149" t="s">
        <v>55</v>
      </c>
      <c r="F164" s="61" t="s">
        <v>20</v>
      </c>
      <c r="G164" s="62">
        <f>G172+G176+G168</f>
        <v>0</v>
      </c>
      <c r="H164" s="1149" t="s">
        <v>55</v>
      </c>
      <c r="I164" s="63">
        <f aca="true" t="shared" si="11" ref="I164:L165">I172+I176+I168</f>
        <v>0</v>
      </c>
      <c r="J164" s="63">
        <f t="shared" si="11"/>
        <v>0</v>
      </c>
      <c r="K164" s="63">
        <f t="shared" si="11"/>
        <v>0</v>
      </c>
      <c r="L164" s="63">
        <f t="shared" si="11"/>
        <v>0</v>
      </c>
      <c r="M164" s="1149" t="s">
        <v>55</v>
      </c>
    </row>
    <row r="165" spans="1:13" s="64" customFormat="1" ht="15" customHeight="1">
      <c r="A165" s="1150"/>
      <c r="B165" s="1153"/>
      <c r="C165" s="1153"/>
      <c r="D165" s="1156"/>
      <c r="E165" s="1150"/>
      <c r="F165" s="61" t="s">
        <v>21</v>
      </c>
      <c r="G165" s="62">
        <f>G173+G177+G169</f>
        <v>473130</v>
      </c>
      <c r="H165" s="1150"/>
      <c r="I165" s="63">
        <f t="shared" si="11"/>
        <v>473130</v>
      </c>
      <c r="J165" s="63">
        <f t="shared" si="11"/>
        <v>335198</v>
      </c>
      <c r="K165" s="63">
        <f t="shared" si="11"/>
        <v>137932</v>
      </c>
      <c r="L165" s="63">
        <f t="shared" si="11"/>
        <v>0</v>
      </c>
      <c r="M165" s="1150"/>
    </row>
    <row r="166" spans="1:13" s="64" customFormat="1" ht="15" customHeight="1">
      <c r="A166" s="1151"/>
      <c r="B166" s="1154"/>
      <c r="C166" s="1154"/>
      <c r="D166" s="1157"/>
      <c r="E166" s="1151"/>
      <c r="F166" s="61" t="s">
        <v>22</v>
      </c>
      <c r="G166" s="62">
        <f>G164+G165</f>
        <v>473130</v>
      </c>
      <c r="H166" s="1151"/>
      <c r="I166" s="63">
        <f>I164+I165</f>
        <v>473130</v>
      </c>
      <c r="J166" s="63">
        <f>J164+J165</f>
        <v>335198</v>
      </c>
      <c r="K166" s="63">
        <f>K164+K165</f>
        <v>137932</v>
      </c>
      <c r="L166" s="63">
        <f>L164+L165</f>
        <v>0</v>
      </c>
      <c r="M166" s="1151"/>
    </row>
    <row r="167" spans="1:13" s="64" customFormat="1" ht="6" customHeight="1">
      <c r="A167" s="113"/>
      <c r="B167" s="114"/>
      <c r="C167" s="114"/>
      <c r="D167" s="117"/>
      <c r="E167" s="113"/>
      <c r="F167" s="61"/>
      <c r="G167" s="62"/>
      <c r="H167" s="113"/>
      <c r="I167" s="63"/>
      <c r="J167" s="63"/>
      <c r="K167" s="63"/>
      <c r="L167" s="63"/>
      <c r="M167" s="113"/>
    </row>
    <row r="168" spans="1:13" ht="18.75" customHeight="1">
      <c r="A168" s="1134">
        <v>7</v>
      </c>
      <c r="B168" s="1137"/>
      <c r="C168" s="1140" t="s">
        <v>148</v>
      </c>
      <c r="D168" s="1131" t="s">
        <v>181</v>
      </c>
      <c r="E168" s="1143">
        <v>2017</v>
      </c>
      <c r="F168" s="73" t="s">
        <v>20</v>
      </c>
      <c r="G168" s="74">
        <v>0</v>
      </c>
      <c r="H168" s="1146" t="s">
        <v>55</v>
      </c>
      <c r="I168" s="74">
        <f>J168+K168+L168</f>
        <v>0</v>
      </c>
      <c r="J168" s="74">
        <v>0</v>
      </c>
      <c r="K168" s="74">
        <v>0</v>
      </c>
      <c r="L168" s="74">
        <v>0</v>
      </c>
      <c r="M168" s="1131" t="s">
        <v>153</v>
      </c>
    </row>
    <row r="169" spans="1:13" ht="18.75" customHeight="1">
      <c r="A169" s="1135"/>
      <c r="B169" s="1138"/>
      <c r="C169" s="1141"/>
      <c r="D169" s="1132"/>
      <c r="E169" s="1144"/>
      <c r="F169" s="73" t="s">
        <v>21</v>
      </c>
      <c r="G169" s="74">
        <v>248520</v>
      </c>
      <c r="H169" s="1147"/>
      <c r="I169" s="74">
        <f>J169+K169+L169</f>
        <v>248520</v>
      </c>
      <c r="J169" s="74">
        <v>248520</v>
      </c>
      <c r="K169" s="74"/>
      <c r="L169" s="74"/>
      <c r="M169" s="1132"/>
    </row>
    <row r="170" spans="1:13" ht="18.75" customHeight="1">
      <c r="A170" s="1136"/>
      <c r="B170" s="1139"/>
      <c r="C170" s="1142"/>
      <c r="D170" s="1133"/>
      <c r="E170" s="1145"/>
      <c r="F170" s="73" t="s">
        <v>22</v>
      </c>
      <c r="G170" s="74">
        <f>G168+G169</f>
        <v>248520</v>
      </c>
      <c r="H170" s="1148"/>
      <c r="I170" s="74">
        <f>I168+I169</f>
        <v>248520</v>
      </c>
      <c r="J170" s="74">
        <f>J168+J169</f>
        <v>248520</v>
      </c>
      <c r="K170" s="74">
        <f>K168+K169</f>
        <v>0</v>
      </c>
      <c r="L170" s="74">
        <f>L168+L169</f>
        <v>0</v>
      </c>
      <c r="M170" s="1133"/>
    </row>
    <row r="171" spans="1:13" ht="6" customHeight="1">
      <c r="A171" s="65"/>
      <c r="B171" s="66"/>
      <c r="C171" s="80"/>
      <c r="D171" s="81"/>
      <c r="E171" s="73"/>
      <c r="F171" s="73"/>
      <c r="G171" s="74"/>
      <c r="H171" s="82"/>
      <c r="I171" s="74"/>
      <c r="J171" s="74"/>
      <c r="K171" s="74"/>
      <c r="L171" s="74"/>
      <c r="M171" s="83"/>
    </row>
    <row r="172" spans="1:13" ht="12.75">
      <c r="A172" s="1134">
        <v>8</v>
      </c>
      <c r="B172" s="1137"/>
      <c r="C172" s="1140" t="s">
        <v>157</v>
      </c>
      <c r="D172" s="1131" t="s">
        <v>178</v>
      </c>
      <c r="E172" s="1143">
        <v>2017</v>
      </c>
      <c r="F172" s="73" t="s">
        <v>20</v>
      </c>
      <c r="G172" s="74">
        <v>0</v>
      </c>
      <c r="H172" s="1146" t="s">
        <v>55</v>
      </c>
      <c r="I172" s="74">
        <f>J172+K172+L172</f>
        <v>0</v>
      </c>
      <c r="J172" s="74">
        <v>0</v>
      </c>
      <c r="K172" s="74">
        <v>0</v>
      </c>
      <c r="L172" s="74">
        <v>0</v>
      </c>
      <c r="M172" s="1131" t="s">
        <v>179</v>
      </c>
    </row>
    <row r="173" spans="1:13" ht="12.75">
      <c r="A173" s="1135"/>
      <c r="B173" s="1138"/>
      <c r="C173" s="1141"/>
      <c r="D173" s="1132"/>
      <c r="E173" s="1144"/>
      <c r="F173" s="73" t="s">
        <v>21</v>
      </c>
      <c r="G173" s="74">
        <v>60000</v>
      </c>
      <c r="H173" s="1147"/>
      <c r="I173" s="74">
        <f>J173+K173+L173</f>
        <v>60000</v>
      </c>
      <c r="J173" s="74">
        <v>60000</v>
      </c>
      <c r="K173" s="74"/>
      <c r="L173" s="74"/>
      <c r="M173" s="1132"/>
    </row>
    <row r="174" spans="1:13" ht="12.75">
      <c r="A174" s="1136"/>
      <c r="B174" s="1139"/>
      <c r="C174" s="1142"/>
      <c r="D174" s="1133"/>
      <c r="E174" s="1145"/>
      <c r="F174" s="73" t="s">
        <v>22</v>
      </c>
      <c r="G174" s="74">
        <f>G172+G173</f>
        <v>60000</v>
      </c>
      <c r="H174" s="1148"/>
      <c r="I174" s="74">
        <f>I172+I173</f>
        <v>60000</v>
      </c>
      <c r="J174" s="74">
        <f>J172+J173</f>
        <v>60000</v>
      </c>
      <c r="K174" s="74">
        <f>K172+K173</f>
        <v>0</v>
      </c>
      <c r="L174" s="74">
        <f>L172+L173</f>
        <v>0</v>
      </c>
      <c r="M174" s="1133"/>
    </row>
    <row r="175" spans="1:13" ht="5.25" customHeight="1">
      <c r="A175" s="58"/>
      <c r="B175" s="59"/>
      <c r="C175" s="108"/>
      <c r="D175" s="109"/>
      <c r="E175" s="110"/>
      <c r="F175" s="73"/>
      <c r="G175" s="74"/>
      <c r="H175" s="111"/>
      <c r="I175" s="74"/>
      <c r="J175" s="74"/>
      <c r="K175" s="74"/>
      <c r="L175" s="74"/>
      <c r="M175" s="109"/>
    </row>
    <row r="176" spans="1:13" ht="12.75" customHeight="1">
      <c r="A176" s="1134">
        <v>9</v>
      </c>
      <c r="B176" s="1137"/>
      <c r="C176" s="1140" t="s">
        <v>157</v>
      </c>
      <c r="D176" s="1131" t="s">
        <v>180</v>
      </c>
      <c r="E176" s="1143">
        <v>2017</v>
      </c>
      <c r="F176" s="73" t="s">
        <v>20</v>
      </c>
      <c r="G176" s="74">
        <v>0</v>
      </c>
      <c r="H176" s="1146" t="s">
        <v>55</v>
      </c>
      <c r="I176" s="74">
        <f>J176+K176+L176</f>
        <v>0</v>
      </c>
      <c r="J176" s="74">
        <v>0</v>
      </c>
      <c r="K176" s="74">
        <v>0</v>
      </c>
      <c r="L176" s="74">
        <v>0</v>
      </c>
      <c r="M176" s="1131" t="s">
        <v>179</v>
      </c>
    </row>
    <row r="177" spans="1:13" ht="12.75">
      <c r="A177" s="1135"/>
      <c r="B177" s="1138"/>
      <c r="C177" s="1141"/>
      <c r="D177" s="1132"/>
      <c r="E177" s="1144"/>
      <c r="F177" s="73" t="s">
        <v>21</v>
      </c>
      <c r="G177" s="74">
        <v>164610</v>
      </c>
      <c r="H177" s="1147"/>
      <c r="I177" s="74">
        <f>J177+K177+L177</f>
        <v>164610</v>
      </c>
      <c r="J177" s="74">
        <v>26678</v>
      </c>
      <c r="K177" s="74">
        <v>137932</v>
      </c>
      <c r="L177" s="74"/>
      <c r="M177" s="1132"/>
    </row>
    <row r="178" spans="1:13" ht="12.75">
      <c r="A178" s="1136"/>
      <c r="B178" s="1139"/>
      <c r="C178" s="1142"/>
      <c r="D178" s="1133"/>
      <c r="E178" s="1145"/>
      <c r="F178" s="73" t="s">
        <v>22</v>
      </c>
      <c r="G178" s="74">
        <f>G176+G177</f>
        <v>164610</v>
      </c>
      <c r="H178" s="1148"/>
      <c r="I178" s="74">
        <f>I176+I177</f>
        <v>164610</v>
      </c>
      <c r="J178" s="74">
        <f>J176+J177</f>
        <v>26678</v>
      </c>
      <c r="K178" s="74">
        <f>K176+K177</f>
        <v>137932</v>
      </c>
      <c r="L178" s="74">
        <f>L176+L177</f>
        <v>0</v>
      </c>
      <c r="M178" s="1133"/>
    </row>
    <row r="179" spans="1:13" ht="12.75" hidden="1">
      <c r="A179" s="65"/>
      <c r="B179" s="66"/>
      <c r="C179" s="80"/>
      <c r="D179" s="81"/>
      <c r="E179" s="73"/>
      <c r="F179" s="73"/>
      <c r="G179" s="74"/>
      <c r="H179" s="82"/>
      <c r="I179" s="74"/>
      <c r="J179" s="74"/>
      <c r="K179" s="74"/>
      <c r="L179" s="74"/>
      <c r="M179" s="81"/>
    </row>
    <row r="180" spans="1:13" s="64" customFormat="1" ht="12.75" hidden="1">
      <c r="A180" s="1149"/>
      <c r="B180" s="1152" t="s">
        <v>60</v>
      </c>
      <c r="C180" s="1152"/>
      <c r="D180" s="1155" t="s">
        <v>50</v>
      </c>
      <c r="E180" s="1149" t="s">
        <v>55</v>
      </c>
      <c r="F180" s="61" t="s">
        <v>20</v>
      </c>
      <c r="G180" s="62">
        <f>G184+G188</f>
        <v>130000</v>
      </c>
      <c r="H180" s="1149" t="s">
        <v>55</v>
      </c>
      <c r="I180" s="63">
        <f aca="true" t="shared" si="12" ref="I180:L181">I184+I188</f>
        <v>130000</v>
      </c>
      <c r="J180" s="63">
        <f t="shared" si="12"/>
        <v>50000</v>
      </c>
      <c r="K180" s="63">
        <f t="shared" si="12"/>
        <v>80000</v>
      </c>
      <c r="L180" s="63">
        <f t="shared" si="12"/>
        <v>0</v>
      </c>
      <c r="M180" s="1149" t="s">
        <v>55</v>
      </c>
    </row>
    <row r="181" spans="1:13" s="64" customFormat="1" ht="12.75" hidden="1">
      <c r="A181" s="1150"/>
      <c r="B181" s="1153"/>
      <c r="C181" s="1153"/>
      <c r="D181" s="1156"/>
      <c r="E181" s="1150"/>
      <c r="F181" s="61" t="s">
        <v>21</v>
      </c>
      <c r="G181" s="62">
        <f>G185+G189</f>
        <v>0</v>
      </c>
      <c r="H181" s="1150"/>
      <c r="I181" s="63">
        <f t="shared" si="12"/>
        <v>0</v>
      </c>
      <c r="J181" s="63">
        <f t="shared" si="12"/>
        <v>0</v>
      </c>
      <c r="K181" s="63">
        <f t="shared" si="12"/>
        <v>0</v>
      </c>
      <c r="L181" s="63">
        <f t="shared" si="12"/>
        <v>0</v>
      </c>
      <c r="M181" s="1150"/>
    </row>
    <row r="182" spans="1:13" s="64" customFormat="1" ht="12.75" hidden="1">
      <c r="A182" s="1151"/>
      <c r="B182" s="1154"/>
      <c r="C182" s="1154"/>
      <c r="D182" s="1157"/>
      <c r="E182" s="1151"/>
      <c r="F182" s="61" t="s">
        <v>22</v>
      </c>
      <c r="G182" s="62">
        <f>G180+G181</f>
        <v>130000</v>
      </c>
      <c r="H182" s="1151"/>
      <c r="I182" s="62">
        <f>I180+I181</f>
        <v>130000</v>
      </c>
      <c r="J182" s="62">
        <f>J180+J181</f>
        <v>50000</v>
      </c>
      <c r="K182" s="62">
        <f>K180+K181</f>
        <v>80000</v>
      </c>
      <c r="L182" s="62">
        <f>L180+L181</f>
        <v>0</v>
      </c>
      <c r="M182" s="1151"/>
    </row>
    <row r="183" spans="1:13" s="91" customFormat="1" ht="12.75" hidden="1">
      <c r="A183" s="86"/>
      <c r="B183" s="87"/>
      <c r="C183" s="87"/>
      <c r="D183" s="93"/>
      <c r="E183" s="86"/>
      <c r="F183" s="86"/>
      <c r="G183" s="89"/>
      <c r="H183" s="86"/>
      <c r="I183" s="90"/>
      <c r="J183" s="90"/>
      <c r="K183" s="90"/>
      <c r="L183" s="90"/>
      <c r="M183" s="86"/>
    </row>
    <row r="184" spans="1:13" ht="12.75" hidden="1">
      <c r="A184" s="1134">
        <v>21</v>
      </c>
      <c r="B184" s="1137"/>
      <c r="C184" s="1140" t="s">
        <v>110</v>
      </c>
      <c r="D184" s="1131" t="s">
        <v>111</v>
      </c>
      <c r="E184" s="1143">
        <v>2017</v>
      </c>
      <c r="F184" s="73" t="s">
        <v>20</v>
      </c>
      <c r="G184" s="74">
        <v>100000</v>
      </c>
      <c r="H184" s="82" t="s">
        <v>55</v>
      </c>
      <c r="I184" s="74">
        <f>J184+K184+L184</f>
        <v>100000</v>
      </c>
      <c r="J184" s="74">
        <v>20000</v>
      </c>
      <c r="K184" s="74">
        <v>80000</v>
      </c>
      <c r="L184" s="74">
        <v>0</v>
      </c>
      <c r="M184" s="1131" t="s">
        <v>84</v>
      </c>
    </row>
    <row r="185" spans="1:13" ht="12.75" hidden="1">
      <c r="A185" s="1135"/>
      <c r="B185" s="1138"/>
      <c r="C185" s="1141"/>
      <c r="D185" s="1132"/>
      <c r="E185" s="1144"/>
      <c r="F185" s="73" t="s">
        <v>21</v>
      </c>
      <c r="G185" s="74"/>
      <c r="H185" s="82"/>
      <c r="I185" s="74">
        <f>J185+K185+L185</f>
        <v>0</v>
      </c>
      <c r="J185" s="74"/>
      <c r="K185" s="74"/>
      <c r="L185" s="74"/>
      <c r="M185" s="1132"/>
    </row>
    <row r="186" spans="1:13" ht="12.75" hidden="1">
      <c r="A186" s="1136"/>
      <c r="B186" s="1139"/>
      <c r="C186" s="1142"/>
      <c r="D186" s="1133"/>
      <c r="E186" s="1145"/>
      <c r="F186" s="73" t="s">
        <v>22</v>
      </c>
      <c r="G186" s="74">
        <f>G184+G185</f>
        <v>100000</v>
      </c>
      <c r="H186" s="82"/>
      <c r="I186" s="74">
        <f>I184+I185</f>
        <v>100000</v>
      </c>
      <c r="J186" s="74">
        <f>J184+J185</f>
        <v>20000</v>
      </c>
      <c r="K186" s="74">
        <f>K184+K185</f>
        <v>80000</v>
      </c>
      <c r="L186" s="74">
        <f>L184+L185</f>
        <v>0</v>
      </c>
      <c r="M186" s="1133"/>
    </row>
    <row r="187" spans="1:13" ht="12.75" hidden="1">
      <c r="A187" s="65"/>
      <c r="B187" s="66"/>
      <c r="C187" s="80"/>
      <c r="D187" s="81"/>
      <c r="E187" s="73"/>
      <c r="F187" s="73"/>
      <c r="G187" s="74"/>
      <c r="H187" s="82"/>
      <c r="I187" s="74"/>
      <c r="J187" s="74"/>
      <c r="K187" s="74"/>
      <c r="L187" s="74"/>
      <c r="M187" s="81"/>
    </row>
    <row r="188" spans="1:13" ht="18" customHeight="1" hidden="1">
      <c r="A188" s="1134">
        <v>22</v>
      </c>
      <c r="B188" s="1137"/>
      <c r="C188" s="1140" t="s">
        <v>110</v>
      </c>
      <c r="D188" s="1131" t="s">
        <v>265</v>
      </c>
      <c r="E188" s="1143">
        <v>2017</v>
      </c>
      <c r="F188" s="73" t="s">
        <v>20</v>
      </c>
      <c r="G188" s="74">
        <v>30000</v>
      </c>
      <c r="H188" s="1146" t="s">
        <v>55</v>
      </c>
      <c r="I188" s="74">
        <f>J188+K188+L188</f>
        <v>30000</v>
      </c>
      <c r="J188" s="74">
        <v>30000</v>
      </c>
      <c r="K188" s="74">
        <v>0</v>
      </c>
      <c r="L188" s="74">
        <v>0</v>
      </c>
      <c r="M188" s="1131" t="s">
        <v>112</v>
      </c>
    </row>
    <row r="189" spans="1:13" ht="18" customHeight="1" hidden="1">
      <c r="A189" s="1135"/>
      <c r="B189" s="1138"/>
      <c r="C189" s="1141"/>
      <c r="D189" s="1132"/>
      <c r="E189" s="1144"/>
      <c r="F189" s="72" t="s">
        <v>21</v>
      </c>
      <c r="G189" s="94"/>
      <c r="H189" s="1147"/>
      <c r="I189" s="74">
        <f>J189+K189+L189</f>
        <v>0</v>
      </c>
      <c r="J189" s="94"/>
      <c r="K189" s="94"/>
      <c r="L189" s="94"/>
      <c r="M189" s="1132"/>
    </row>
    <row r="190" spans="1:13" ht="18" customHeight="1" hidden="1">
      <c r="A190" s="1136"/>
      <c r="B190" s="1139"/>
      <c r="C190" s="1142"/>
      <c r="D190" s="1133"/>
      <c r="E190" s="1145"/>
      <c r="F190" s="72" t="s">
        <v>22</v>
      </c>
      <c r="G190" s="94">
        <f>G188+G189</f>
        <v>30000</v>
      </c>
      <c r="H190" s="1148"/>
      <c r="I190" s="94"/>
      <c r="J190" s="94"/>
      <c r="K190" s="94"/>
      <c r="L190" s="94"/>
      <c r="M190" s="1133"/>
    </row>
    <row r="191" spans="1:13" ht="4.5" customHeight="1">
      <c r="A191" s="44"/>
      <c r="B191" s="76"/>
      <c r="C191" s="77"/>
      <c r="D191" s="78"/>
      <c r="E191" s="79"/>
      <c r="F191" s="72"/>
      <c r="G191" s="94"/>
      <c r="H191" s="115"/>
      <c r="I191" s="94"/>
      <c r="J191" s="94"/>
      <c r="K191" s="94"/>
      <c r="L191" s="94"/>
      <c r="M191" s="78"/>
    </row>
    <row r="192" spans="1:13" s="64" customFormat="1" ht="12.75">
      <c r="A192" s="1149"/>
      <c r="B192" s="1152" t="s">
        <v>261</v>
      </c>
      <c r="C192" s="1152"/>
      <c r="D192" s="1155" t="s">
        <v>262</v>
      </c>
      <c r="E192" s="1149" t="s">
        <v>55</v>
      </c>
      <c r="F192" s="61" t="s">
        <v>20</v>
      </c>
      <c r="G192" s="62">
        <f>G196</f>
        <v>0</v>
      </c>
      <c r="H192" s="1149" t="s">
        <v>55</v>
      </c>
      <c r="I192" s="63">
        <f aca="true" t="shared" si="13" ref="I192:L193">I196</f>
        <v>0</v>
      </c>
      <c r="J192" s="63">
        <f t="shared" si="13"/>
        <v>0</v>
      </c>
      <c r="K192" s="63">
        <f t="shared" si="13"/>
        <v>0</v>
      </c>
      <c r="L192" s="63">
        <f t="shared" si="13"/>
        <v>0</v>
      </c>
      <c r="M192" s="1149" t="s">
        <v>55</v>
      </c>
    </row>
    <row r="193" spans="1:13" s="64" customFormat="1" ht="12.75">
      <c r="A193" s="1150"/>
      <c r="B193" s="1153"/>
      <c r="C193" s="1153"/>
      <c r="D193" s="1156"/>
      <c r="E193" s="1150"/>
      <c r="F193" s="61" t="s">
        <v>21</v>
      </c>
      <c r="G193" s="62">
        <f>G197</f>
        <v>16843</v>
      </c>
      <c r="H193" s="1150"/>
      <c r="I193" s="63">
        <f t="shared" si="13"/>
        <v>16843</v>
      </c>
      <c r="J193" s="63">
        <f t="shared" si="13"/>
        <v>16843</v>
      </c>
      <c r="K193" s="63">
        <f t="shared" si="13"/>
        <v>0</v>
      </c>
      <c r="L193" s="63">
        <f t="shared" si="13"/>
        <v>0</v>
      </c>
      <c r="M193" s="1150"/>
    </row>
    <row r="194" spans="1:13" s="64" customFormat="1" ht="12.75">
      <c r="A194" s="1151"/>
      <c r="B194" s="1154"/>
      <c r="C194" s="1154"/>
      <c r="D194" s="1157"/>
      <c r="E194" s="1151"/>
      <c r="F194" s="61" t="s">
        <v>22</v>
      </c>
      <c r="G194" s="62">
        <f>G192+G193</f>
        <v>16843</v>
      </c>
      <c r="H194" s="1151"/>
      <c r="I194" s="63">
        <f>I192+I193</f>
        <v>16843</v>
      </c>
      <c r="J194" s="63">
        <f>J192+J193</f>
        <v>16843</v>
      </c>
      <c r="K194" s="63">
        <f>K192+K193</f>
        <v>0</v>
      </c>
      <c r="L194" s="63">
        <f>L192+L193</f>
        <v>0</v>
      </c>
      <c r="M194" s="1151"/>
    </row>
    <row r="195" spans="1:13" s="64" customFormat="1" ht="6" customHeight="1">
      <c r="A195" s="113"/>
      <c r="B195" s="114"/>
      <c r="C195" s="114"/>
      <c r="D195" s="117"/>
      <c r="E195" s="113"/>
      <c r="F195" s="61"/>
      <c r="G195" s="62"/>
      <c r="H195" s="113"/>
      <c r="I195" s="63"/>
      <c r="J195" s="63"/>
      <c r="K195" s="63"/>
      <c r="L195" s="63"/>
      <c r="M195" s="113"/>
    </row>
    <row r="196" spans="1:13" ht="19.5" customHeight="1">
      <c r="A196" s="1134">
        <v>10</v>
      </c>
      <c r="B196" s="1137"/>
      <c r="C196" s="1140" t="s">
        <v>263</v>
      </c>
      <c r="D196" s="1131" t="s">
        <v>264</v>
      </c>
      <c r="E196" s="1143">
        <v>2017</v>
      </c>
      <c r="F196" s="73" t="s">
        <v>20</v>
      </c>
      <c r="G196" s="74">
        <v>0</v>
      </c>
      <c r="H196" s="1146" t="s">
        <v>55</v>
      </c>
      <c r="I196" s="74">
        <f>J196+K196+L196</f>
        <v>0</v>
      </c>
      <c r="J196" s="74">
        <v>0</v>
      </c>
      <c r="K196" s="74">
        <v>0</v>
      </c>
      <c r="L196" s="74">
        <v>0</v>
      </c>
      <c r="M196" s="1131" t="s">
        <v>84</v>
      </c>
    </row>
    <row r="197" spans="1:13" ht="19.5" customHeight="1">
      <c r="A197" s="1135"/>
      <c r="B197" s="1138"/>
      <c r="C197" s="1141"/>
      <c r="D197" s="1132"/>
      <c r="E197" s="1144"/>
      <c r="F197" s="73" t="s">
        <v>21</v>
      </c>
      <c r="G197" s="74">
        <v>16843</v>
      </c>
      <c r="H197" s="1147"/>
      <c r="I197" s="74">
        <f>J197+K197+L197</f>
        <v>16843</v>
      </c>
      <c r="J197" s="74">
        <v>16843</v>
      </c>
      <c r="K197" s="74"/>
      <c r="L197" s="74"/>
      <c r="M197" s="1132"/>
    </row>
    <row r="198" spans="1:13" ht="19.5" customHeight="1">
      <c r="A198" s="1136"/>
      <c r="B198" s="1139"/>
      <c r="C198" s="1142"/>
      <c r="D198" s="1133"/>
      <c r="E198" s="1145"/>
      <c r="F198" s="73" t="s">
        <v>22</v>
      </c>
      <c r="G198" s="74">
        <f>G196+G197</f>
        <v>16843</v>
      </c>
      <c r="H198" s="1148"/>
      <c r="I198" s="74">
        <f>I196+I197</f>
        <v>16843</v>
      </c>
      <c r="J198" s="74">
        <f>J196+J197</f>
        <v>16843</v>
      </c>
      <c r="K198" s="74">
        <f>K196+K197</f>
        <v>0</v>
      </c>
      <c r="L198" s="74">
        <f>L196+L197</f>
        <v>0</v>
      </c>
      <c r="M198" s="1133"/>
    </row>
    <row r="199" spans="1:13" ht="6.75" customHeight="1" thickBot="1">
      <c r="A199" s="68"/>
      <c r="B199" s="69"/>
      <c r="C199" s="70"/>
      <c r="D199" s="71"/>
      <c r="E199" s="72"/>
      <c r="F199" s="72"/>
      <c r="G199" s="94"/>
      <c r="H199" s="75"/>
      <c r="I199" s="94"/>
      <c r="J199" s="94"/>
      <c r="K199" s="94"/>
      <c r="L199" s="94"/>
      <c r="M199" s="92"/>
    </row>
    <row r="200" spans="1:13" s="91" customFormat="1" ht="21" customHeight="1">
      <c r="A200" s="1194" t="s">
        <v>113</v>
      </c>
      <c r="B200" s="1195"/>
      <c r="C200" s="1195"/>
      <c r="D200" s="1195"/>
      <c r="E200" s="1200" t="s">
        <v>55</v>
      </c>
      <c r="F200" s="95" t="s">
        <v>20</v>
      </c>
      <c r="G200" s="96">
        <f>G20+G40+G76+G92+G100+G108+G116+G128+G148+G180+G64+G164+G192</f>
        <v>23654780</v>
      </c>
      <c r="H200" s="1200" t="s">
        <v>55</v>
      </c>
      <c r="I200" s="96">
        <f aca="true" t="shared" si="14" ref="I200:L201">I20+I40+I76+I92+I100+I108+I116+I128+I148+I180+I64+I164+I192</f>
        <v>23654780</v>
      </c>
      <c r="J200" s="96">
        <f t="shared" si="14"/>
        <v>14456972</v>
      </c>
      <c r="K200" s="96">
        <f t="shared" si="14"/>
        <v>9197808</v>
      </c>
      <c r="L200" s="96">
        <f t="shared" si="14"/>
        <v>0</v>
      </c>
      <c r="M200" s="1203" t="s">
        <v>55</v>
      </c>
    </row>
    <row r="201" spans="1:13" s="91" customFormat="1" ht="21" customHeight="1">
      <c r="A201" s="1196"/>
      <c r="B201" s="1197"/>
      <c r="C201" s="1197"/>
      <c r="D201" s="1197"/>
      <c r="E201" s="1201"/>
      <c r="F201" s="97" t="s">
        <v>21</v>
      </c>
      <c r="G201" s="98">
        <f>G21+G41+G77+G93+G101+G109+G117+G129+G149+G181+G65+G165+G193</f>
        <v>981730</v>
      </c>
      <c r="H201" s="1201"/>
      <c r="I201" s="98">
        <f t="shared" si="14"/>
        <v>981730</v>
      </c>
      <c r="J201" s="98">
        <f t="shared" si="14"/>
        <v>843798</v>
      </c>
      <c r="K201" s="98">
        <f t="shared" si="14"/>
        <v>137932</v>
      </c>
      <c r="L201" s="98">
        <f t="shared" si="14"/>
        <v>0</v>
      </c>
      <c r="M201" s="1204"/>
    </row>
    <row r="202" spans="1:13" s="91" customFormat="1" ht="21" customHeight="1" thickBot="1">
      <c r="A202" s="1198"/>
      <c r="B202" s="1199"/>
      <c r="C202" s="1199"/>
      <c r="D202" s="1199"/>
      <c r="E202" s="1202"/>
      <c r="F202" s="99" t="s">
        <v>22</v>
      </c>
      <c r="G202" s="100">
        <f>G200+G201</f>
        <v>24636510</v>
      </c>
      <c r="H202" s="1202"/>
      <c r="I202" s="100">
        <f>I200+I201</f>
        <v>24636510</v>
      </c>
      <c r="J202" s="100">
        <f>J200+J201</f>
        <v>15300770</v>
      </c>
      <c r="K202" s="100">
        <f>K200+K201</f>
        <v>9335740</v>
      </c>
      <c r="L202" s="100">
        <f>L200+L201</f>
        <v>0</v>
      </c>
      <c r="M202" s="1205"/>
    </row>
    <row r="203" spans="1:13" ht="13.5" thickBot="1">
      <c r="A203" s="1212"/>
      <c r="B203" s="1213"/>
      <c r="C203" s="1213"/>
      <c r="D203" s="1213"/>
      <c r="E203" s="1213"/>
      <c r="F203" s="1213"/>
      <c r="G203" s="1213"/>
      <c r="H203" s="1213"/>
      <c r="I203" s="1213"/>
      <c r="J203" s="1213"/>
      <c r="K203" s="1213"/>
      <c r="L203" s="1213"/>
      <c r="M203" s="1214"/>
    </row>
    <row r="204" spans="1:13" s="57" customFormat="1" ht="23.25" customHeight="1" thickBot="1">
      <c r="A204" s="56" t="s">
        <v>114</v>
      </c>
      <c r="B204" s="1188" t="s">
        <v>115</v>
      </c>
      <c r="C204" s="1189"/>
      <c r="D204" s="1189"/>
      <c r="E204" s="1189"/>
      <c r="F204" s="1189"/>
      <c r="G204" s="1189"/>
      <c r="H204" s="1189"/>
      <c r="I204" s="1189"/>
      <c r="J204" s="1189"/>
      <c r="K204" s="1189"/>
      <c r="L204" s="1189"/>
      <c r="M204" s="1190"/>
    </row>
    <row r="205" spans="1:13" ht="12.75">
      <c r="A205" s="65"/>
      <c r="B205" s="66"/>
      <c r="C205" s="80"/>
      <c r="D205" s="81"/>
      <c r="E205" s="73"/>
      <c r="F205" s="73" t="s">
        <v>20</v>
      </c>
      <c r="G205" s="74"/>
      <c r="H205" s="82"/>
      <c r="I205" s="74"/>
      <c r="J205" s="74"/>
      <c r="K205" s="74"/>
      <c r="L205" s="101"/>
      <c r="M205" s="83"/>
    </row>
    <row r="206" spans="1:13" s="64" customFormat="1" ht="12.75">
      <c r="A206" s="1149"/>
      <c r="B206" s="1152" t="s">
        <v>27</v>
      </c>
      <c r="C206" s="1152"/>
      <c r="D206" s="1161" t="s">
        <v>28</v>
      </c>
      <c r="E206" s="1149" t="s">
        <v>55</v>
      </c>
      <c r="F206" s="61" t="s">
        <v>21</v>
      </c>
      <c r="G206" s="62">
        <f aca="true" t="shared" si="15" ref="G206:L207">G210+G214+G218+G222+G226+G230+G234</f>
        <v>268566161</v>
      </c>
      <c r="H206" s="62">
        <f t="shared" si="15"/>
        <v>1944153</v>
      </c>
      <c r="I206" s="62">
        <f t="shared" si="15"/>
        <v>34689910</v>
      </c>
      <c r="J206" s="62">
        <f t="shared" si="15"/>
        <v>24427544</v>
      </c>
      <c r="K206" s="62">
        <f t="shared" si="15"/>
        <v>10262366</v>
      </c>
      <c r="L206" s="62">
        <f t="shared" si="15"/>
        <v>0</v>
      </c>
      <c r="M206" s="1149" t="s">
        <v>55</v>
      </c>
    </row>
    <row r="207" spans="1:13" s="64" customFormat="1" ht="12.75">
      <c r="A207" s="1150"/>
      <c r="B207" s="1153"/>
      <c r="C207" s="1153"/>
      <c r="D207" s="1162"/>
      <c r="E207" s="1150"/>
      <c r="F207" s="61" t="s">
        <v>22</v>
      </c>
      <c r="G207" s="62">
        <f t="shared" si="15"/>
        <v>70000</v>
      </c>
      <c r="H207" s="62">
        <f t="shared" si="15"/>
        <v>70000</v>
      </c>
      <c r="I207" s="62">
        <f t="shared" si="15"/>
        <v>0</v>
      </c>
      <c r="J207" s="62">
        <f t="shared" si="15"/>
        <v>0</v>
      </c>
      <c r="K207" s="62">
        <f t="shared" si="15"/>
        <v>0</v>
      </c>
      <c r="L207" s="62">
        <f t="shared" si="15"/>
        <v>0</v>
      </c>
      <c r="M207" s="1150"/>
    </row>
    <row r="208" spans="1:13" s="64" customFormat="1" ht="12.75">
      <c r="A208" s="1151"/>
      <c r="B208" s="1154"/>
      <c r="C208" s="1154"/>
      <c r="D208" s="1163"/>
      <c r="E208" s="1151"/>
      <c r="F208" s="61"/>
      <c r="G208" s="62">
        <f aca="true" t="shared" si="16" ref="G208:L208">G206+G207</f>
        <v>268636161</v>
      </c>
      <c r="H208" s="62">
        <f t="shared" si="16"/>
        <v>2014153</v>
      </c>
      <c r="I208" s="62">
        <f t="shared" si="16"/>
        <v>34689910</v>
      </c>
      <c r="J208" s="62">
        <f t="shared" si="16"/>
        <v>24427544</v>
      </c>
      <c r="K208" s="62">
        <f t="shared" si="16"/>
        <v>10262366</v>
      </c>
      <c r="L208" s="62">
        <f t="shared" si="16"/>
        <v>0</v>
      </c>
      <c r="M208" s="1151"/>
    </row>
    <row r="209" spans="1:13" ht="12.75" hidden="1">
      <c r="A209" s="65"/>
      <c r="B209" s="66"/>
      <c r="C209" s="80"/>
      <c r="D209" s="81"/>
      <c r="E209" s="73"/>
      <c r="F209" s="73"/>
      <c r="G209" s="74"/>
      <c r="H209" s="102"/>
      <c r="I209" s="74"/>
      <c r="J209" s="74"/>
      <c r="K209" s="74"/>
      <c r="L209" s="74"/>
      <c r="M209" s="81"/>
    </row>
    <row r="210" spans="1:13" ht="12.75" hidden="1">
      <c r="A210" s="1134">
        <v>1</v>
      </c>
      <c r="B210" s="1137"/>
      <c r="C210" s="1140" t="s">
        <v>29</v>
      </c>
      <c r="D210" s="1131" t="s">
        <v>116</v>
      </c>
      <c r="E210" s="1143" t="s">
        <v>117</v>
      </c>
      <c r="F210" s="73" t="s">
        <v>20</v>
      </c>
      <c r="G210" s="74">
        <v>40460485</v>
      </c>
      <c r="H210" s="102">
        <v>611021</v>
      </c>
      <c r="I210" s="74">
        <f>J210+K210+L210</f>
        <v>9962366</v>
      </c>
      <c r="J210" s="74">
        <v>0</v>
      </c>
      <c r="K210" s="74">
        <v>9962366</v>
      </c>
      <c r="L210" s="74">
        <v>0</v>
      </c>
      <c r="M210" s="1131" t="s">
        <v>84</v>
      </c>
    </row>
    <row r="211" spans="1:13" ht="12.75" hidden="1">
      <c r="A211" s="1135"/>
      <c r="B211" s="1138"/>
      <c r="C211" s="1141"/>
      <c r="D211" s="1132"/>
      <c r="E211" s="1144"/>
      <c r="F211" s="73" t="s">
        <v>21</v>
      </c>
      <c r="G211" s="74"/>
      <c r="H211" s="102"/>
      <c r="I211" s="74">
        <f>J211+K211+L211</f>
        <v>0</v>
      </c>
      <c r="J211" s="74"/>
      <c r="K211" s="74"/>
      <c r="L211" s="74"/>
      <c r="M211" s="1132"/>
    </row>
    <row r="212" spans="1:13" ht="12.75" hidden="1">
      <c r="A212" s="1136"/>
      <c r="B212" s="1139"/>
      <c r="C212" s="1142"/>
      <c r="D212" s="1133"/>
      <c r="E212" s="1145"/>
      <c r="F212" s="73" t="s">
        <v>22</v>
      </c>
      <c r="G212" s="74">
        <f aca="true" t="shared" si="17" ref="G212:L212">G210+G211</f>
        <v>40460485</v>
      </c>
      <c r="H212" s="74">
        <f t="shared" si="17"/>
        <v>611021</v>
      </c>
      <c r="I212" s="74">
        <f t="shared" si="17"/>
        <v>9962366</v>
      </c>
      <c r="J212" s="74">
        <f t="shared" si="17"/>
        <v>0</v>
      </c>
      <c r="K212" s="74">
        <f t="shared" si="17"/>
        <v>9962366</v>
      </c>
      <c r="L212" s="74">
        <f t="shared" si="17"/>
        <v>0</v>
      </c>
      <c r="M212" s="1133"/>
    </row>
    <row r="213" spans="1:13" ht="7.5" customHeight="1">
      <c r="A213" s="65"/>
      <c r="B213" s="66"/>
      <c r="C213" s="80"/>
      <c r="D213" s="81"/>
      <c r="E213" s="73"/>
      <c r="F213" s="73"/>
      <c r="G213" s="74"/>
      <c r="H213" s="102"/>
      <c r="I213" s="74"/>
      <c r="J213" s="74"/>
      <c r="K213" s="74"/>
      <c r="L213" s="74"/>
      <c r="M213" s="83"/>
    </row>
    <row r="214" spans="1:13" ht="12.75">
      <c r="A214" s="1134">
        <v>1</v>
      </c>
      <c r="B214" s="1137"/>
      <c r="C214" s="1140" t="s">
        <v>31</v>
      </c>
      <c r="D214" s="1131" t="s">
        <v>118</v>
      </c>
      <c r="E214" s="1143" t="s">
        <v>119</v>
      </c>
      <c r="F214" s="73" t="s">
        <v>20</v>
      </c>
      <c r="G214" s="74">
        <v>450000</v>
      </c>
      <c r="H214" s="102">
        <v>200000</v>
      </c>
      <c r="I214" s="74">
        <f>J214+K214+L214</f>
        <v>250000</v>
      </c>
      <c r="J214" s="74">
        <v>250000</v>
      </c>
      <c r="K214" s="74">
        <v>0</v>
      </c>
      <c r="L214" s="74">
        <v>0</v>
      </c>
      <c r="M214" s="1131" t="s">
        <v>120</v>
      </c>
    </row>
    <row r="215" spans="1:13" ht="12.75">
      <c r="A215" s="1135"/>
      <c r="B215" s="1138"/>
      <c r="C215" s="1141"/>
      <c r="D215" s="1132"/>
      <c r="E215" s="1144"/>
      <c r="F215" s="73" t="s">
        <v>21</v>
      </c>
      <c r="G215" s="74">
        <v>70000</v>
      </c>
      <c r="H215" s="102">
        <v>70000</v>
      </c>
      <c r="I215" s="74">
        <f>J215+K215+L215</f>
        <v>0</v>
      </c>
      <c r="J215" s="74"/>
      <c r="K215" s="74"/>
      <c r="L215" s="74"/>
      <c r="M215" s="1132"/>
    </row>
    <row r="216" spans="1:13" ht="12.75">
      <c r="A216" s="1136"/>
      <c r="B216" s="1139"/>
      <c r="C216" s="1142"/>
      <c r="D216" s="1133"/>
      <c r="E216" s="1145"/>
      <c r="F216" s="73" t="s">
        <v>22</v>
      </c>
      <c r="G216" s="74">
        <f aca="true" t="shared" si="18" ref="G216:L216">G214+G215</f>
        <v>520000</v>
      </c>
      <c r="H216" s="74">
        <f t="shared" si="18"/>
        <v>270000</v>
      </c>
      <c r="I216" s="74">
        <f t="shared" si="18"/>
        <v>250000</v>
      </c>
      <c r="J216" s="74">
        <f t="shared" si="18"/>
        <v>250000</v>
      </c>
      <c r="K216" s="74">
        <f t="shared" si="18"/>
        <v>0</v>
      </c>
      <c r="L216" s="74">
        <f t="shared" si="18"/>
        <v>0</v>
      </c>
      <c r="M216" s="1133"/>
    </row>
    <row r="217" spans="1:13" ht="12.75" hidden="1">
      <c r="A217" s="65"/>
      <c r="B217" s="66"/>
      <c r="C217" s="80"/>
      <c r="D217" s="81"/>
      <c r="E217" s="73"/>
      <c r="F217" s="73"/>
      <c r="G217" s="74"/>
      <c r="H217" s="102"/>
      <c r="I217" s="74"/>
      <c r="J217" s="74"/>
      <c r="K217" s="74"/>
      <c r="L217" s="74"/>
      <c r="M217" s="83"/>
    </row>
    <row r="218" spans="1:13" ht="12.75" hidden="1">
      <c r="A218" s="1134">
        <v>3</v>
      </c>
      <c r="B218" s="1137"/>
      <c r="C218" s="1140" t="s">
        <v>31</v>
      </c>
      <c r="D218" s="1131" t="s">
        <v>121</v>
      </c>
      <c r="E218" s="1143" t="s">
        <v>122</v>
      </c>
      <c r="F218" s="73" t="s">
        <v>20</v>
      </c>
      <c r="G218" s="74">
        <v>220000000</v>
      </c>
      <c r="H218" s="102">
        <v>0</v>
      </c>
      <c r="I218" s="74">
        <f>J218+K218+L218</f>
        <v>20000000</v>
      </c>
      <c r="J218" s="74">
        <v>20000000</v>
      </c>
      <c r="K218" s="74">
        <v>0</v>
      </c>
      <c r="L218" s="74">
        <v>0</v>
      </c>
      <c r="M218" s="1131" t="s">
        <v>120</v>
      </c>
    </row>
    <row r="219" spans="1:13" ht="12.75" hidden="1">
      <c r="A219" s="1135"/>
      <c r="B219" s="1138"/>
      <c r="C219" s="1141"/>
      <c r="D219" s="1132"/>
      <c r="E219" s="1144"/>
      <c r="F219" s="73" t="s">
        <v>21</v>
      </c>
      <c r="G219" s="74"/>
      <c r="H219" s="102"/>
      <c r="I219" s="74">
        <f>J219+K219+L219</f>
        <v>0</v>
      </c>
      <c r="J219" s="74"/>
      <c r="K219" s="74"/>
      <c r="L219" s="74"/>
      <c r="M219" s="1132"/>
    </row>
    <row r="220" spans="1:13" ht="12.75" hidden="1">
      <c r="A220" s="1136"/>
      <c r="B220" s="1139"/>
      <c r="C220" s="1142"/>
      <c r="D220" s="1133"/>
      <c r="E220" s="1145"/>
      <c r="F220" s="73" t="s">
        <v>22</v>
      </c>
      <c r="G220" s="74">
        <f aca="true" t="shared" si="19" ref="G220:L220">G218+G219</f>
        <v>220000000</v>
      </c>
      <c r="H220" s="74">
        <f t="shared" si="19"/>
        <v>0</v>
      </c>
      <c r="I220" s="74">
        <f t="shared" si="19"/>
        <v>20000000</v>
      </c>
      <c r="J220" s="74">
        <f t="shared" si="19"/>
        <v>20000000</v>
      </c>
      <c r="K220" s="74">
        <f t="shared" si="19"/>
        <v>0</v>
      </c>
      <c r="L220" s="74">
        <f t="shared" si="19"/>
        <v>0</v>
      </c>
      <c r="M220" s="1133"/>
    </row>
    <row r="221" spans="1:13" ht="12.75" hidden="1">
      <c r="A221" s="65"/>
      <c r="B221" s="66"/>
      <c r="C221" s="80"/>
      <c r="D221" s="81"/>
      <c r="E221" s="73"/>
      <c r="F221" s="73"/>
      <c r="G221" s="74"/>
      <c r="H221" s="102"/>
      <c r="I221" s="74"/>
      <c r="J221" s="74"/>
      <c r="K221" s="74"/>
      <c r="L221" s="74"/>
      <c r="M221" s="83"/>
    </row>
    <row r="222" spans="1:13" ht="18" customHeight="1" hidden="1">
      <c r="A222" s="1134">
        <v>4</v>
      </c>
      <c r="B222" s="1137"/>
      <c r="C222" s="1140" t="s">
        <v>31</v>
      </c>
      <c r="D222" s="1131" t="s">
        <v>123</v>
      </c>
      <c r="E222" s="1143" t="s">
        <v>124</v>
      </c>
      <c r="F222" s="73" t="s">
        <v>20</v>
      </c>
      <c r="G222" s="74">
        <v>75000</v>
      </c>
      <c r="H222" s="102">
        <v>0</v>
      </c>
      <c r="I222" s="74">
        <f>J222+K222+L222</f>
        <v>30000</v>
      </c>
      <c r="J222" s="74">
        <v>30000</v>
      </c>
      <c r="K222" s="74">
        <v>0</v>
      </c>
      <c r="L222" s="74">
        <v>0</v>
      </c>
      <c r="M222" s="1131" t="s">
        <v>120</v>
      </c>
    </row>
    <row r="223" spans="1:13" ht="18" customHeight="1" hidden="1">
      <c r="A223" s="1135"/>
      <c r="B223" s="1138"/>
      <c r="C223" s="1141"/>
      <c r="D223" s="1132"/>
      <c r="E223" s="1144"/>
      <c r="F223" s="73" t="s">
        <v>21</v>
      </c>
      <c r="G223" s="74"/>
      <c r="H223" s="102"/>
      <c r="I223" s="74">
        <f>J223+K223+L223</f>
        <v>0</v>
      </c>
      <c r="J223" s="74"/>
      <c r="K223" s="74"/>
      <c r="L223" s="74"/>
      <c r="M223" s="1132"/>
    </row>
    <row r="224" spans="1:13" ht="18" customHeight="1" hidden="1">
      <c r="A224" s="1136"/>
      <c r="B224" s="1139"/>
      <c r="C224" s="1142"/>
      <c r="D224" s="1133"/>
      <c r="E224" s="1145"/>
      <c r="F224" s="73" t="s">
        <v>22</v>
      </c>
      <c r="G224" s="74">
        <f aca="true" t="shared" si="20" ref="G224:L224">G222+G223</f>
        <v>75000</v>
      </c>
      <c r="H224" s="74">
        <f t="shared" si="20"/>
        <v>0</v>
      </c>
      <c r="I224" s="74">
        <f t="shared" si="20"/>
        <v>30000</v>
      </c>
      <c r="J224" s="74">
        <f t="shared" si="20"/>
        <v>30000</v>
      </c>
      <c r="K224" s="74">
        <f t="shared" si="20"/>
        <v>0</v>
      </c>
      <c r="L224" s="74">
        <f t="shared" si="20"/>
        <v>0</v>
      </c>
      <c r="M224" s="1133"/>
    </row>
    <row r="225" spans="1:13" ht="12.75" hidden="1">
      <c r="A225" s="65"/>
      <c r="B225" s="66"/>
      <c r="C225" s="80"/>
      <c r="D225" s="81"/>
      <c r="E225" s="73"/>
      <c r="F225" s="73"/>
      <c r="G225" s="74"/>
      <c r="H225" s="102"/>
      <c r="I225" s="74"/>
      <c r="J225" s="74"/>
      <c r="K225" s="74"/>
      <c r="L225" s="74"/>
      <c r="M225" s="83"/>
    </row>
    <row r="226" spans="1:13" ht="21" customHeight="1" hidden="1">
      <c r="A226" s="1134">
        <v>5</v>
      </c>
      <c r="B226" s="1137"/>
      <c r="C226" s="1140" t="s">
        <v>31</v>
      </c>
      <c r="D226" s="1131" t="s">
        <v>125</v>
      </c>
      <c r="E226" s="1143" t="s">
        <v>126</v>
      </c>
      <c r="F226" s="73" t="s">
        <v>20</v>
      </c>
      <c r="G226" s="74">
        <v>300000</v>
      </c>
      <c r="H226" s="102">
        <v>0</v>
      </c>
      <c r="I226" s="74">
        <f>J226+K226+L226</f>
        <v>300000</v>
      </c>
      <c r="J226" s="74">
        <v>0</v>
      </c>
      <c r="K226" s="74">
        <v>300000</v>
      </c>
      <c r="L226" s="74">
        <v>0</v>
      </c>
      <c r="M226" s="1131" t="s">
        <v>120</v>
      </c>
    </row>
    <row r="227" spans="1:13" ht="21" customHeight="1" hidden="1">
      <c r="A227" s="1135"/>
      <c r="B227" s="1138"/>
      <c r="C227" s="1141"/>
      <c r="D227" s="1132"/>
      <c r="E227" s="1144"/>
      <c r="F227" s="73" t="s">
        <v>21</v>
      </c>
      <c r="G227" s="74"/>
      <c r="H227" s="102"/>
      <c r="I227" s="74">
        <f>J227+K227+L227</f>
        <v>0</v>
      </c>
      <c r="J227" s="74"/>
      <c r="K227" s="74"/>
      <c r="L227" s="74"/>
      <c r="M227" s="1132"/>
    </row>
    <row r="228" spans="1:13" ht="21" customHeight="1" hidden="1">
      <c r="A228" s="1136"/>
      <c r="B228" s="1139"/>
      <c r="C228" s="1142"/>
      <c r="D228" s="1133"/>
      <c r="E228" s="1145"/>
      <c r="F228" s="73" t="s">
        <v>22</v>
      </c>
      <c r="G228" s="74">
        <f aca="true" t="shared" si="21" ref="G228:L228">G226+G227</f>
        <v>300000</v>
      </c>
      <c r="H228" s="74">
        <f t="shared" si="21"/>
        <v>0</v>
      </c>
      <c r="I228" s="74">
        <f t="shared" si="21"/>
        <v>300000</v>
      </c>
      <c r="J228" s="74">
        <f t="shared" si="21"/>
        <v>0</v>
      </c>
      <c r="K228" s="74">
        <f t="shared" si="21"/>
        <v>300000</v>
      </c>
      <c r="L228" s="74">
        <f t="shared" si="21"/>
        <v>0</v>
      </c>
      <c r="M228" s="1133"/>
    </row>
    <row r="229" spans="1:13" ht="12.75" hidden="1">
      <c r="A229" s="65"/>
      <c r="B229" s="66"/>
      <c r="C229" s="80"/>
      <c r="D229" s="81"/>
      <c r="E229" s="73"/>
      <c r="F229" s="73"/>
      <c r="G229" s="74"/>
      <c r="H229" s="74"/>
      <c r="I229" s="74"/>
      <c r="J229" s="74"/>
      <c r="K229" s="74"/>
      <c r="L229" s="74"/>
      <c r="M229" s="81"/>
    </row>
    <row r="230" spans="1:13" ht="12.75" hidden="1">
      <c r="A230" s="1134">
        <v>6</v>
      </c>
      <c r="B230" s="1137"/>
      <c r="C230" s="1140" t="s">
        <v>31</v>
      </c>
      <c r="D230" s="1131" t="s">
        <v>127</v>
      </c>
      <c r="E230" s="1143" t="s">
        <v>126</v>
      </c>
      <c r="F230" s="73" t="s">
        <v>20</v>
      </c>
      <c r="G230" s="74">
        <v>2000000</v>
      </c>
      <c r="H230" s="102">
        <v>0</v>
      </c>
      <c r="I230" s="74">
        <f>J230+K230+L230</f>
        <v>2000000</v>
      </c>
      <c r="J230" s="74">
        <v>2000000</v>
      </c>
      <c r="K230" s="74">
        <v>0</v>
      </c>
      <c r="L230" s="74">
        <v>0</v>
      </c>
      <c r="M230" s="1131" t="s">
        <v>120</v>
      </c>
    </row>
    <row r="231" spans="1:13" ht="12.75" hidden="1">
      <c r="A231" s="1135"/>
      <c r="B231" s="1138"/>
      <c r="C231" s="1141"/>
      <c r="D231" s="1132"/>
      <c r="E231" s="1144"/>
      <c r="F231" s="73" t="s">
        <v>21</v>
      </c>
      <c r="G231" s="74"/>
      <c r="H231" s="102"/>
      <c r="I231" s="74">
        <f>J231+K231+L231</f>
        <v>0</v>
      </c>
      <c r="J231" s="74"/>
      <c r="K231" s="74"/>
      <c r="L231" s="74"/>
      <c r="M231" s="1132"/>
    </row>
    <row r="232" spans="1:13" ht="12.75" hidden="1">
      <c r="A232" s="1136"/>
      <c r="B232" s="1139"/>
      <c r="C232" s="1142"/>
      <c r="D232" s="1133"/>
      <c r="E232" s="1145"/>
      <c r="F232" s="73" t="s">
        <v>22</v>
      </c>
      <c r="G232" s="74">
        <f aca="true" t="shared" si="22" ref="G232:L232">G230+G231</f>
        <v>2000000</v>
      </c>
      <c r="H232" s="74">
        <f t="shared" si="22"/>
        <v>0</v>
      </c>
      <c r="I232" s="74">
        <f t="shared" si="22"/>
        <v>2000000</v>
      </c>
      <c r="J232" s="74">
        <f t="shared" si="22"/>
        <v>2000000</v>
      </c>
      <c r="K232" s="74">
        <f t="shared" si="22"/>
        <v>0</v>
      </c>
      <c r="L232" s="74">
        <f t="shared" si="22"/>
        <v>0</v>
      </c>
      <c r="M232" s="1133"/>
    </row>
    <row r="233" spans="1:13" ht="12.75" hidden="1">
      <c r="A233" s="65"/>
      <c r="B233" s="66"/>
      <c r="C233" s="80"/>
      <c r="D233" s="81"/>
      <c r="E233" s="73"/>
      <c r="F233" s="73"/>
      <c r="G233" s="74"/>
      <c r="H233" s="74"/>
      <c r="I233" s="74"/>
      <c r="J233" s="74"/>
      <c r="K233" s="74"/>
      <c r="L233" s="74"/>
      <c r="M233" s="81"/>
    </row>
    <row r="234" spans="1:13" ht="22.5" customHeight="1" hidden="1">
      <c r="A234" s="1134">
        <v>7</v>
      </c>
      <c r="B234" s="1137"/>
      <c r="C234" s="1140" t="s">
        <v>64</v>
      </c>
      <c r="D234" s="1131" t="s">
        <v>128</v>
      </c>
      <c r="E234" s="1143" t="s">
        <v>124</v>
      </c>
      <c r="F234" s="73" t="s">
        <v>20</v>
      </c>
      <c r="G234" s="74">
        <v>5280676</v>
      </c>
      <c r="H234" s="102">
        <v>1133132</v>
      </c>
      <c r="I234" s="74">
        <f>J234+K234+L234</f>
        <v>2147544</v>
      </c>
      <c r="J234" s="74">
        <v>2147544</v>
      </c>
      <c r="K234" s="74">
        <v>0</v>
      </c>
      <c r="L234" s="74">
        <v>0</v>
      </c>
      <c r="M234" s="1131" t="s">
        <v>84</v>
      </c>
    </row>
    <row r="235" spans="1:13" ht="22.5" customHeight="1" hidden="1">
      <c r="A235" s="1135"/>
      <c r="B235" s="1138"/>
      <c r="C235" s="1141"/>
      <c r="D235" s="1132"/>
      <c r="E235" s="1144"/>
      <c r="F235" s="73" t="s">
        <v>21</v>
      </c>
      <c r="G235" s="74"/>
      <c r="H235" s="102"/>
      <c r="I235" s="74">
        <f>J235+K235+L235</f>
        <v>0</v>
      </c>
      <c r="J235" s="74"/>
      <c r="K235" s="74"/>
      <c r="L235" s="74"/>
      <c r="M235" s="1132"/>
    </row>
    <row r="236" spans="1:13" ht="22.5" customHeight="1" hidden="1">
      <c r="A236" s="1136"/>
      <c r="B236" s="1139"/>
      <c r="C236" s="1142"/>
      <c r="D236" s="1133"/>
      <c r="E236" s="1145"/>
      <c r="F236" s="73" t="s">
        <v>22</v>
      </c>
      <c r="G236" s="74">
        <f aca="true" t="shared" si="23" ref="G236:L236">G234+G235</f>
        <v>5280676</v>
      </c>
      <c r="H236" s="74">
        <f t="shared" si="23"/>
        <v>1133132</v>
      </c>
      <c r="I236" s="74">
        <f t="shared" si="23"/>
        <v>2147544</v>
      </c>
      <c r="J236" s="74">
        <f t="shared" si="23"/>
        <v>2147544</v>
      </c>
      <c r="K236" s="74">
        <f t="shared" si="23"/>
        <v>0</v>
      </c>
      <c r="L236" s="74">
        <f t="shared" si="23"/>
        <v>0</v>
      </c>
      <c r="M236" s="1133"/>
    </row>
    <row r="237" spans="1:13" ht="12.75" hidden="1">
      <c r="A237" s="65"/>
      <c r="B237" s="66"/>
      <c r="C237" s="80"/>
      <c r="D237" s="81"/>
      <c r="E237" s="73"/>
      <c r="F237" s="73"/>
      <c r="G237" s="74"/>
      <c r="H237" s="102"/>
      <c r="I237" s="74"/>
      <c r="J237" s="74"/>
      <c r="K237" s="74"/>
      <c r="L237" s="74"/>
      <c r="M237" s="83"/>
    </row>
    <row r="238" spans="1:13" s="64" customFormat="1" ht="12.75" hidden="1">
      <c r="A238" s="1149"/>
      <c r="B238" s="1152" t="s">
        <v>32</v>
      </c>
      <c r="C238" s="1152"/>
      <c r="D238" s="1161" t="s">
        <v>33</v>
      </c>
      <c r="E238" s="1149" t="s">
        <v>55</v>
      </c>
      <c r="F238" s="61" t="s">
        <v>20</v>
      </c>
      <c r="G238" s="62">
        <f aca="true" t="shared" si="24" ref="G238:L239">G242+G246+G250</f>
        <v>2434398</v>
      </c>
      <c r="H238" s="62">
        <f t="shared" si="24"/>
        <v>1235589</v>
      </c>
      <c r="I238" s="62">
        <f t="shared" si="24"/>
        <v>535629</v>
      </c>
      <c r="J238" s="62">
        <f t="shared" si="24"/>
        <v>535629</v>
      </c>
      <c r="K238" s="62">
        <f t="shared" si="24"/>
        <v>0</v>
      </c>
      <c r="L238" s="62">
        <f t="shared" si="24"/>
        <v>0</v>
      </c>
      <c r="M238" s="1149" t="s">
        <v>55</v>
      </c>
    </row>
    <row r="239" spans="1:13" s="64" customFormat="1" ht="12.75" hidden="1">
      <c r="A239" s="1150"/>
      <c r="B239" s="1153"/>
      <c r="C239" s="1153"/>
      <c r="D239" s="1162"/>
      <c r="E239" s="1150"/>
      <c r="F239" s="61" t="s">
        <v>21</v>
      </c>
      <c r="G239" s="62">
        <f t="shared" si="24"/>
        <v>0</v>
      </c>
      <c r="H239" s="62">
        <f t="shared" si="24"/>
        <v>0</v>
      </c>
      <c r="I239" s="62">
        <f t="shared" si="24"/>
        <v>0</v>
      </c>
      <c r="J239" s="62">
        <f t="shared" si="24"/>
        <v>0</v>
      </c>
      <c r="K239" s="62">
        <f t="shared" si="24"/>
        <v>0</v>
      </c>
      <c r="L239" s="62">
        <f t="shared" si="24"/>
        <v>0</v>
      </c>
      <c r="M239" s="1150"/>
    </row>
    <row r="240" spans="1:13" s="64" customFormat="1" ht="12.75" hidden="1">
      <c r="A240" s="1151"/>
      <c r="B240" s="1154"/>
      <c r="C240" s="1154"/>
      <c r="D240" s="1163"/>
      <c r="E240" s="1151"/>
      <c r="F240" s="61" t="s">
        <v>22</v>
      </c>
      <c r="G240" s="62">
        <f aca="true" t="shared" si="25" ref="G240:L240">G238+G239</f>
        <v>2434398</v>
      </c>
      <c r="H240" s="62">
        <f t="shared" si="25"/>
        <v>1235589</v>
      </c>
      <c r="I240" s="62">
        <f t="shared" si="25"/>
        <v>535629</v>
      </c>
      <c r="J240" s="62">
        <f t="shared" si="25"/>
        <v>535629</v>
      </c>
      <c r="K240" s="62">
        <f t="shared" si="25"/>
        <v>0</v>
      </c>
      <c r="L240" s="62">
        <f t="shared" si="25"/>
        <v>0</v>
      </c>
      <c r="M240" s="1151"/>
    </row>
    <row r="241" spans="1:13" ht="12.75" hidden="1">
      <c r="A241" s="65"/>
      <c r="B241" s="66"/>
      <c r="C241" s="66"/>
      <c r="D241" s="67"/>
      <c r="E241" s="67"/>
      <c r="F241" s="67"/>
      <c r="G241" s="67"/>
      <c r="H241" s="103"/>
      <c r="I241" s="67"/>
      <c r="J241" s="67"/>
      <c r="K241" s="65"/>
      <c r="L241" s="67"/>
      <c r="M241" s="67"/>
    </row>
    <row r="242" spans="1:13" ht="12.75" hidden="1">
      <c r="A242" s="1134">
        <v>8</v>
      </c>
      <c r="B242" s="1137"/>
      <c r="C242" s="1140" t="s">
        <v>34</v>
      </c>
      <c r="D242" s="1131" t="s">
        <v>129</v>
      </c>
      <c r="E242" s="1143" t="s">
        <v>130</v>
      </c>
      <c r="F242" s="73" t="s">
        <v>20</v>
      </c>
      <c r="G242" s="74">
        <v>1044798</v>
      </c>
      <c r="H242" s="102">
        <f>39000+36300+806509</f>
        <v>881809</v>
      </c>
      <c r="I242" s="74">
        <f>J242+K242+L242</f>
        <v>162989</v>
      </c>
      <c r="J242" s="74">
        <v>162989</v>
      </c>
      <c r="K242" s="74">
        <v>0</v>
      </c>
      <c r="L242" s="74">
        <v>0</v>
      </c>
      <c r="M242" s="1131" t="s">
        <v>84</v>
      </c>
    </row>
    <row r="243" spans="1:13" ht="12.75" hidden="1">
      <c r="A243" s="1135"/>
      <c r="B243" s="1138"/>
      <c r="C243" s="1141"/>
      <c r="D243" s="1132"/>
      <c r="E243" s="1144"/>
      <c r="F243" s="73" t="s">
        <v>21</v>
      </c>
      <c r="G243" s="74"/>
      <c r="H243" s="102"/>
      <c r="I243" s="74">
        <f>J243+K243+L243</f>
        <v>0</v>
      </c>
      <c r="J243" s="74"/>
      <c r="K243" s="74"/>
      <c r="L243" s="74"/>
      <c r="M243" s="1132"/>
    </row>
    <row r="244" spans="1:13" ht="12.75" hidden="1">
      <c r="A244" s="1136"/>
      <c r="B244" s="1139"/>
      <c r="C244" s="1142"/>
      <c r="D244" s="1133"/>
      <c r="E244" s="1145"/>
      <c r="F244" s="73" t="s">
        <v>22</v>
      </c>
      <c r="G244" s="74">
        <f aca="true" t="shared" si="26" ref="G244:L244">G242+G243</f>
        <v>1044798</v>
      </c>
      <c r="H244" s="74">
        <f t="shared" si="26"/>
        <v>881809</v>
      </c>
      <c r="I244" s="74">
        <f t="shared" si="26"/>
        <v>162989</v>
      </c>
      <c r="J244" s="74">
        <f t="shared" si="26"/>
        <v>162989</v>
      </c>
      <c r="K244" s="74">
        <f t="shared" si="26"/>
        <v>0</v>
      </c>
      <c r="L244" s="74">
        <f t="shared" si="26"/>
        <v>0</v>
      </c>
      <c r="M244" s="1133"/>
    </row>
    <row r="245" spans="1:13" ht="12.75" hidden="1">
      <c r="A245" s="65"/>
      <c r="B245" s="66"/>
      <c r="C245" s="80"/>
      <c r="D245" s="81"/>
      <c r="E245" s="73"/>
      <c r="F245" s="73"/>
      <c r="G245" s="74"/>
      <c r="H245" s="74"/>
      <c r="I245" s="74"/>
      <c r="J245" s="74"/>
      <c r="K245" s="74"/>
      <c r="L245" s="74"/>
      <c r="M245" s="81"/>
    </row>
    <row r="246" spans="1:13" ht="12.75" hidden="1">
      <c r="A246" s="1134">
        <v>9</v>
      </c>
      <c r="B246" s="1137"/>
      <c r="C246" s="1140" t="s">
        <v>34</v>
      </c>
      <c r="D246" s="1131" t="s">
        <v>131</v>
      </c>
      <c r="E246" s="1143" t="s">
        <v>124</v>
      </c>
      <c r="F246" s="73" t="s">
        <v>20</v>
      </c>
      <c r="G246" s="74">
        <v>1050000</v>
      </c>
      <c r="H246" s="102">
        <v>350000</v>
      </c>
      <c r="I246" s="74">
        <f>J246+K246+L246</f>
        <v>350000</v>
      </c>
      <c r="J246" s="74">
        <v>350000</v>
      </c>
      <c r="K246" s="74">
        <v>0</v>
      </c>
      <c r="L246" s="74">
        <v>0</v>
      </c>
      <c r="M246" s="1131" t="s">
        <v>84</v>
      </c>
    </row>
    <row r="247" spans="1:13" ht="12.75" hidden="1">
      <c r="A247" s="1135"/>
      <c r="B247" s="1138"/>
      <c r="C247" s="1141"/>
      <c r="D247" s="1132"/>
      <c r="E247" s="1144"/>
      <c r="F247" s="73" t="s">
        <v>21</v>
      </c>
      <c r="G247" s="74"/>
      <c r="H247" s="102"/>
      <c r="I247" s="74">
        <f>J247+K247+L247</f>
        <v>0</v>
      </c>
      <c r="J247" s="74"/>
      <c r="K247" s="74"/>
      <c r="L247" s="74"/>
      <c r="M247" s="1132"/>
    </row>
    <row r="248" spans="1:13" ht="12.75" hidden="1">
      <c r="A248" s="1136"/>
      <c r="B248" s="1139"/>
      <c r="C248" s="1142"/>
      <c r="D248" s="1133"/>
      <c r="E248" s="1145"/>
      <c r="F248" s="73" t="s">
        <v>22</v>
      </c>
      <c r="G248" s="74">
        <f aca="true" t="shared" si="27" ref="G248:L248">G246+G247</f>
        <v>1050000</v>
      </c>
      <c r="H248" s="74">
        <f t="shared" si="27"/>
        <v>350000</v>
      </c>
      <c r="I248" s="74">
        <f t="shared" si="27"/>
        <v>350000</v>
      </c>
      <c r="J248" s="74">
        <f t="shared" si="27"/>
        <v>350000</v>
      </c>
      <c r="K248" s="74">
        <f t="shared" si="27"/>
        <v>0</v>
      </c>
      <c r="L248" s="74">
        <f t="shared" si="27"/>
        <v>0</v>
      </c>
      <c r="M248" s="1133"/>
    </row>
    <row r="249" spans="1:13" ht="12.75" hidden="1">
      <c r="A249" s="65"/>
      <c r="B249" s="66"/>
      <c r="C249" s="80"/>
      <c r="D249" s="81"/>
      <c r="E249" s="73"/>
      <c r="F249" s="73"/>
      <c r="G249" s="74"/>
      <c r="H249" s="74"/>
      <c r="I249" s="74"/>
      <c r="J249" s="74"/>
      <c r="K249" s="74"/>
      <c r="L249" s="74"/>
      <c r="M249" s="81"/>
    </row>
    <row r="250" spans="1:13" ht="12.75" hidden="1">
      <c r="A250" s="1134">
        <v>10</v>
      </c>
      <c r="B250" s="1137"/>
      <c r="C250" s="1140" t="s">
        <v>34</v>
      </c>
      <c r="D250" s="1131" t="s">
        <v>132</v>
      </c>
      <c r="E250" s="1143" t="s">
        <v>133</v>
      </c>
      <c r="F250" s="73" t="s">
        <v>20</v>
      </c>
      <c r="G250" s="74">
        <v>339600</v>
      </c>
      <c r="H250" s="102">
        <v>3780</v>
      </c>
      <c r="I250" s="74">
        <f>J250+K250+L250</f>
        <v>22640</v>
      </c>
      <c r="J250" s="74">
        <v>22640</v>
      </c>
      <c r="K250" s="74">
        <v>0</v>
      </c>
      <c r="L250" s="74">
        <v>0</v>
      </c>
      <c r="M250" s="1131" t="s">
        <v>84</v>
      </c>
    </row>
    <row r="251" spans="1:13" ht="12.75" hidden="1">
      <c r="A251" s="1135"/>
      <c r="B251" s="1138"/>
      <c r="C251" s="1141"/>
      <c r="D251" s="1132"/>
      <c r="E251" s="1144"/>
      <c r="F251" s="73" t="s">
        <v>21</v>
      </c>
      <c r="G251" s="74"/>
      <c r="H251" s="102"/>
      <c r="I251" s="74">
        <f>J251+K251+L251</f>
        <v>0</v>
      </c>
      <c r="J251" s="74"/>
      <c r="K251" s="74"/>
      <c r="L251" s="74"/>
      <c r="M251" s="1132"/>
    </row>
    <row r="252" spans="1:13" ht="12.75" hidden="1">
      <c r="A252" s="1136"/>
      <c r="B252" s="1139"/>
      <c r="C252" s="1142"/>
      <c r="D252" s="1133"/>
      <c r="E252" s="1145"/>
      <c r="F252" s="73" t="s">
        <v>22</v>
      </c>
      <c r="G252" s="74">
        <f aca="true" t="shared" si="28" ref="G252:L252">G250+G251</f>
        <v>339600</v>
      </c>
      <c r="H252" s="74">
        <f t="shared" si="28"/>
        <v>3780</v>
      </c>
      <c r="I252" s="74">
        <f t="shared" si="28"/>
        <v>22640</v>
      </c>
      <c r="J252" s="74">
        <f t="shared" si="28"/>
        <v>22640</v>
      </c>
      <c r="K252" s="74">
        <f t="shared" si="28"/>
        <v>0</v>
      </c>
      <c r="L252" s="74">
        <f t="shared" si="28"/>
        <v>0</v>
      </c>
      <c r="M252" s="1133"/>
    </row>
    <row r="253" spans="1:13" ht="12.75" hidden="1">
      <c r="A253" s="65"/>
      <c r="B253" s="66"/>
      <c r="C253" s="80"/>
      <c r="D253" s="81"/>
      <c r="E253" s="73"/>
      <c r="F253" s="73"/>
      <c r="G253" s="74"/>
      <c r="H253" s="102"/>
      <c r="I253" s="74"/>
      <c r="J253" s="74"/>
      <c r="K253" s="74"/>
      <c r="L253" s="74"/>
      <c r="M253" s="83"/>
    </row>
    <row r="254" spans="1:13" s="64" customFormat="1" ht="12.75" hidden="1">
      <c r="A254" s="1149"/>
      <c r="B254" s="1152" t="s">
        <v>38</v>
      </c>
      <c r="C254" s="1152"/>
      <c r="D254" s="1161" t="s">
        <v>39</v>
      </c>
      <c r="E254" s="1149" t="s">
        <v>55</v>
      </c>
      <c r="F254" s="61" t="s">
        <v>20</v>
      </c>
      <c r="G254" s="62">
        <f aca="true" t="shared" si="29" ref="G254:L255">G258</f>
        <v>2386822</v>
      </c>
      <c r="H254" s="62">
        <f t="shared" si="29"/>
        <v>1762099</v>
      </c>
      <c r="I254" s="62">
        <f t="shared" si="29"/>
        <v>523322</v>
      </c>
      <c r="J254" s="62">
        <f t="shared" si="29"/>
        <v>523322</v>
      </c>
      <c r="K254" s="62">
        <f t="shared" si="29"/>
        <v>0</v>
      </c>
      <c r="L254" s="62">
        <f t="shared" si="29"/>
        <v>0</v>
      </c>
      <c r="M254" s="1149" t="s">
        <v>55</v>
      </c>
    </row>
    <row r="255" spans="1:13" s="64" customFormat="1" ht="12.75" hidden="1">
      <c r="A255" s="1150"/>
      <c r="B255" s="1153"/>
      <c r="C255" s="1153"/>
      <c r="D255" s="1162"/>
      <c r="E255" s="1150"/>
      <c r="F255" s="61" t="s">
        <v>21</v>
      </c>
      <c r="G255" s="62">
        <f t="shared" si="29"/>
        <v>0</v>
      </c>
      <c r="H255" s="62">
        <f t="shared" si="29"/>
        <v>0</v>
      </c>
      <c r="I255" s="62">
        <f t="shared" si="29"/>
        <v>0</v>
      </c>
      <c r="J255" s="62">
        <f t="shared" si="29"/>
        <v>0</v>
      </c>
      <c r="K255" s="62">
        <f t="shared" si="29"/>
        <v>0</v>
      </c>
      <c r="L255" s="62">
        <f t="shared" si="29"/>
        <v>0</v>
      </c>
      <c r="M255" s="1150"/>
    </row>
    <row r="256" spans="1:13" s="64" customFormat="1" ht="12.75" hidden="1">
      <c r="A256" s="1151"/>
      <c r="B256" s="1154"/>
      <c r="C256" s="1154"/>
      <c r="D256" s="1163"/>
      <c r="E256" s="1151"/>
      <c r="F256" s="61" t="s">
        <v>22</v>
      </c>
      <c r="G256" s="62">
        <f aca="true" t="shared" si="30" ref="G256:L256">G254+G255</f>
        <v>2386822</v>
      </c>
      <c r="H256" s="62">
        <f t="shared" si="30"/>
        <v>1762099</v>
      </c>
      <c r="I256" s="62">
        <f t="shared" si="30"/>
        <v>523322</v>
      </c>
      <c r="J256" s="62">
        <f t="shared" si="30"/>
        <v>523322</v>
      </c>
      <c r="K256" s="62">
        <f t="shared" si="30"/>
        <v>0</v>
      </c>
      <c r="L256" s="62">
        <f t="shared" si="30"/>
        <v>0</v>
      </c>
      <c r="M256" s="1151"/>
    </row>
    <row r="257" spans="1:13" s="91" customFormat="1" ht="12.75" hidden="1">
      <c r="A257" s="86"/>
      <c r="B257" s="87"/>
      <c r="C257" s="87"/>
      <c r="D257" s="104"/>
      <c r="E257" s="86"/>
      <c r="F257" s="86"/>
      <c r="G257" s="89"/>
      <c r="H257" s="89"/>
      <c r="I257" s="89"/>
      <c r="J257" s="89"/>
      <c r="K257" s="89"/>
      <c r="L257" s="89"/>
      <c r="M257" s="86"/>
    </row>
    <row r="258" spans="1:13" ht="12.75" hidden="1">
      <c r="A258" s="1134">
        <v>11</v>
      </c>
      <c r="B258" s="1137"/>
      <c r="C258" s="1140" t="s">
        <v>40</v>
      </c>
      <c r="D258" s="1131" t="s">
        <v>134</v>
      </c>
      <c r="E258" s="1143" t="s">
        <v>135</v>
      </c>
      <c r="F258" s="73" t="s">
        <v>20</v>
      </c>
      <c r="G258" s="74">
        <v>2386822</v>
      </c>
      <c r="H258" s="102">
        <f>849330+476748+406397+29624</f>
        <v>1762099</v>
      </c>
      <c r="I258" s="74">
        <f>J258+K258+L258</f>
        <v>523322</v>
      </c>
      <c r="J258" s="74">
        <v>523322</v>
      </c>
      <c r="K258" s="74">
        <v>0</v>
      </c>
      <c r="L258" s="74">
        <v>0</v>
      </c>
      <c r="M258" s="1131" t="s">
        <v>84</v>
      </c>
    </row>
    <row r="259" spans="1:13" ht="12.75" hidden="1">
      <c r="A259" s="1135"/>
      <c r="B259" s="1138"/>
      <c r="C259" s="1141"/>
      <c r="D259" s="1132"/>
      <c r="E259" s="1144"/>
      <c r="F259" s="73" t="s">
        <v>21</v>
      </c>
      <c r="G259" s="74"/>
      <c r="H259" s="102"/>
      <c r="I259" s="74">
        <f>J259+K259+L259</f>
        <v>0</v>
      </c>
      <c r="J259" s="74"/>
      <c r="K259" s="74"/>
      <c r="L259" s="74"/>
      <c r="M259" s="1132"/>
    </row>
    <row r="260" spans="1:13" ht="12.75" hidden="1">
      <c r="A260" s="1136"/>
      <c r="B260" s="1139"/>
      <c r="C260" s="1142"/>
      <c r="D260" s="1133"/>
      <c r="E260" s="1145"/>
      <c r="F260" s="73" t="s">
        <v>22</v>
      </c>
      <c r="G260" s="74">
        <f aca="true" t="shared" si="31" ref="G260:L260">G258+G259</f>
        <v>2386822</v>
      </c>
      <c r="H260" s="74">
        <f t="shared" si="31"/>
        <v>1762099</v>
      </c>
      <c r="I260" s="74">
        <f t="shared" si="31"/>
        <v>523322</v>
      </c>
      <c r="J260" s="74">
        <f t="shared" si="31"/>
        <v>523322</v>
      </c>
      <c r="K260" s="74">
        <f t="shared" si="31"/>
        <v>0</v>
      </c>
      <c r="L260" s="74">
        <f t="shared" si="31"/>
        <v>0</v>
      </c>
      <c r="M260" s="1133"/>
    </row>
    <row r="261" spans="1:13" ht="6.75" customHeight="1">
      <c r="A261" s="65"/>
      <c r="B261" s="66"/>
      <c r="C261" s="80"/>
      <c r="D261" s="81"/>
      <c r="E261" s="73"/>
      <c r="F261" s="73"/>
      <c r="G261" s="74"/>
      <c r="H261" s="102"/>
      <c r="I261" s="74"/>
      <c r="J261" s="74"/>
      <c r="K261" s="74"/>
      <c r="L261" s="74"/>
      <c r="M261" s="83"/>
    </row>
    <row r="262" spans="1:13" s="64" customFormat="1" ht="12.75">
      <c r="A262" s="1149"/>
      <c r="B262" s="1152" t="s">
        <v>44</v>
      </c>
      <c r="C262" s="1152"/>
      <c r="D262" s="1155" t="s">
        <v>45</v>
      </c>
      <c r="E262" s="1149" t="s">
        <v>55</v>
      </c>
      <c r="F262" s="61" t="s">
        <v>20</v>
      </c>
      <c r="G262" s="62">
        <f aca="true" t="shared" si="32" ref="G262:L263">G266+G270+G274</f>
        <v>3706721</v>
      </c>
      <c r="H262" s="62">
        <f t="shared" si="32"/>
        <v>1112826</v>
      </c>
      <c r="I262" s="62">
        <f t="shared" si="32"/>
        <v>921074</v>
      </c>
      <c r="J262" s="62">
        <f t="shared" si="32"/>
        <v>921074</v>
      </c>
      <c r="K262" s="62">
        <f t="shared" si="32"/>
        <v>0</v>
      </c>
      <c r="L262" s="62">
        <f t="shared" si="32"/>
        <v>0</v>
      </c>
      <c r="M262" s="1149" t="s">
        <v>55</v>
      </c>
    </row>
    <row r="263" spans="1:13" s="64" customFormat="1" ht="12.75">
      <c r="A263" s="1150"/>
      <c r="B263" s="1153"/>
      <c r="C263" s="1153"/>
      <c r="D263" s="1156"/>
      <c r="E263" s="1150"/>
      <c r="F263" s="61" t="s">
        <v>21</v>
      </c>
      <c r="G263" s="62">
        <f t="shared" si="32"/>
        <v>0</v>
      </c>
      <c r="H263" s="62">
        <f t="shared" si="32"/>
        <v>-23156</v>
      </c>
      <c r="I263" s="62">
        <f t="shared" si="32"/>
        <v>0</v>
      </c>
      <c r="J263" s="62">
        <f t="shared" si="32"/>
        <v>0</v>
      </c>
      <c r="K263" s="62">
        <f t="shared" si="32"/>
        <v>0</v>
      </c>
      <c r="L263" s="62">
        <f t="shared" si="32"/>
        <v>0</v>
      </c>
      <c r="M263" s="1150"/>
    </row>
    <row r="264" spans="1:13" s="64" customFormat="1" ht="12.75">
      <c r="A264" s="1151"/>
      <c r="B264" s="1154"/>
      <c r="C264" s="1154"/>
      <c r="D264" s="1157"/>
      <c r="E264" s="1151"/>
      <c r="F264" s="61" t="s">
        <v>22</v>
      </c>
      <c r="G264" s="62">
        <f aca="true" t="shared" si="33" ref="G264:L264">G262+G263</f>
        <v>3706721</v>
      </c>
      <c r="H264" s="62">
        <f t="shared" si="33"/>
        <v>1089670</v>
      </c>
      <c r="I264" s="62">
        <f t="shared" si="33"/>
        <v>921074</v>
      </c>
      <c r="J264" s="62">
        <f t="shared" si="33"/>
        <v>921074</v>
      </c>
      <c r="K264" s="62">
        <f t="shared" si="33"/>
        <v>0</v>
      </c>
      <c r="L264" s="62">
        <f t="shared" si="33"/>
        <v>0</v>
      </c>
      <c r="M264" s="1151"/>
    </row>
    <row r="265" spans="1:13" s="91" customFormat="1" ht="12.75" hidden="1">
      <c r="A265" s="86"/>
      <c r="B265" s="87"/>
      <c r="C265" s="87"/>
      <c r="D265" s="93"/>
      <c r="E265" s="86"/>
      <c r="F265" s="86"/>
      <c r="G265" s="89"/>
      <c r="H265" s="89"/>
      <c r="I265" s="89"/>
      <c r="J265" s="89"/>
      <c r="K265" s="89"/>
      <c r="L265" s="89"/>
      <c r="M265" s="86"/>
    </row>
    <row r="266" spans="1:13" ht="18" customHeight="1" hidden="1">
      <c r="A266" s="1134">
        <v>12</v>
      </c>
      <c r="B266" s="1137"/>
      <c r="C266" s="1140" t="s">
        <v>136</v>
      </c>
      <c r="D266" s="1131" t="s">
        <v>137</v>
      </c>
      <c r="E266" s="1143" t="s">
        <v>138</v>
      </c>
      <c r="F266" s="73" t="s">
        <v>20</v>
      </c>
      <c r="G266" s="74">
        <v>1278853</v>
      </c>
      <c r="H266" s="102">
        <f>106206+316956</f>
        <v>423162</v>
      </c>
      <c r="I266" s="74">
        <f>J266+K266+L266</f>
        <v>316956</v>
      </c>
      <c r="J266" s="74">
        <v>316956</v>
      </c>
      <c r="K266" s="74">
        <v>0</v>
      </c>
      <c r="L266" s="74">
        <v>0</v>
      </c>
      <c r="M266" s="1131" t="s">
        <v>139</v>
      </c>
    </row>
    <row r="267" spans="1:13" ht="18" customHeight="1" hidden="1">
      <c r="A267" s="1135"/>
      <c r="B267" s="1138"/>
      <c r="C267" s="1141"/>
      <c r="D267" s="1132"/>
      <c r="E267" s="1144"/>
      <c r="F267" s="73" t="s">
        <v>21</v>
      </c>
      <c r="G267" s="74"/>
      <c r="H267" s="102"/>
      <c r="I267" s="74">
        <f>J267+K267+L267</f>
        <v>0</v>
      </c>
      <c r="J267" s="74"/>
      <c r="K267" s="74"/>
      <c r="L267" s="74"/>
      <c r="M267" s="1132"/>
    </row>
    <row r="268" spans="1:13" ht="18" customHeight="1" hidden="1">
      <c r="A268" s="1136"/>
      <c r="B268" s="1139"/>
      <c r="C268" s="1142"/>
      <c r="D268" s="1133"/>
      <c r="E268" s="1145"/>
      <c r="F268" s="73" t="s">
        <v>22</v>
      </c>
      <c r="G268" s="74">
        <f aca="true" t="shared" si="34" ref="G268:L268">G266+G267</f>
        <v>1278853</v>
      </c>
      <c r="H268" s="74">
        <f t="shared" si="34"/>
        <v>423162</v>
      </c>
      <c r="I268" s="74">
        <f t="shared" si="34"/>
        <v>316956</v>
      </c>
      <c r="J268" s="74">
        <f t="shared" si="34"/>
        <v>316956</v>
      </c>
      <c r="K268" s="74">
        <f t="shared" si="34"/>
        <v>0</v>
      </c>
      <c r="L268" s="74">
        <f t="shared" si="34"/>
        <v>0</v>
      </c>
      <c r="M268" s="1133"/>
    </row>
    <row r="269" spans="1:13" s="91" customFormat="1" ht="12.75" hidden="1">
      <c r="A269" s="86"/>
      <c r="B269" s="87"/>
      <c r="C269" s="87"/>
      <c r="D269" s="93"/>
      <c r="E269" s="86"/>
      <c r="F269" s="86"/>
      <c r="G269" s="89"/>
      <c r="H269" s="89"/>
      <c r="I269" s="89"/>
      <c r="J269" s="89"/>
      <c r="K269" s="89"/>
      <c r="L269" s="89"/>
      <c r="M269" s="86"/>
    </row>
    <row r="270" spans="1:13" ht="17.25" customHeight="1" hidden="1">
      <c r="A270" s="1134">
        <v>13</v>
      </c>
      <c r="B270" s="1137"/>
      <c r="C270" s="1140" t="s">
        <v>136</v>
      </c>
      <c r="D270" s="1131" t="s">
        <v>140</v>
      </c>
      <c r="E270" s="1143" t="s">
        <v>138</v>
      </c>
      <c r="F270" s="73" t="s">
        <v>20</v>
      </c>
      <c r="G270" s="74">
        <v>1282988</v>
      </c>
      <c r="H270" s="102">
        <f>86234+317990</f>
        <v>404224</v>
      </c>
      <c r="I270" s="74">
        <f>J270+K270+L270</f>
        <v>317990</v>
      </c>
      <c r="J270" s="74">
        <v>317990</v>
      </c>
      <c r="K270" s="74">
        <v>0</v>
      </c>
      <c r="L270" s="74">
        <v>0</v>
      </c>
      <c r="M270" s="1131" t="s">
        <v>141</v>
      </c>
    </row>
    <row r="271" spans="1:13" ht="17.25" customHeight="1" hidden="1">
      <c r="A271" s="1135"/>
      <c r="B271" s="1138"/>
      <c r="C271" s="1141"/>
      <c r="D271" s="1132"/>
      <c r="E271" s="1144"/>
      <c r="F271" s="73" t="s">
        <v>21</v>
      </c>
      <c r="G271" s="74"/>
      <c r="H271" s="102"/>
      <c r="I271" s="74">
        <f>J271+K271+L271</f>
        <v>0</v>
      </c>
      <c r="J271" s="74"/>
      <c r="K271" s="74"/>
      <c r="L271" s="74"/>
      <c r="M271" s="1132"/>
    </row>
    <row r="272" spans="1:13" ht="17.25" customHeight="1" hidden="1">
      <c r="A272" s="1136"/>
      <c r="B272" s="1139"/>
      <c r="C272" s="1142"/>
      <c r="D272" s="1133"/>
      <c r="E272" s="1145"/>
      <c r="F272" s="73" t="s">
        <v>22</v>
      </c>
      <c r="G272" s="74">
        <f aca="true" t="shared" si="35" ref="G272:L272">G270+G271</f>
        <v>1282988</v>
      </c>
      <c r="H272" s="74">
        <f t="shared" si="35"/>
        <v>404224</v>
      </c>
      <c r="I272" s="74">
        <f t="shared" si="35"/>
        <v>317990</v>
      </c>
      <c r="J272" s="74">
        <f t="shared" si="35"/>
        <v>317990</v>
      </c>
      <c r="K272" s="74">
        <f t="shared" si="35"/>
        <v>0</v>
      </c>
      <c r="L272" s="74">
        <f t="shared" si="35"/>
        <v>0</v>
      </c>
      <c r="M272" s="1133"/>
    </row>
    <row r="273" spans="1:13" s="91" customFormat="1" ht="6" customHeight="1">
      <c r="A273" s="86"/>
      <c r="B273" s="87"/>
      <c r="C273" s="87"/>
      <c r="D273" s="93"/>
      <c r="E273" s="86"/>
      <c r="F273" s="86"/>
      <c r="G273" s="89"/>
      <c r="H273" s="89"/>
      <c r="I273" s="89"/>
      <c r="J273" s="89"/>
      <c r="K273" s="89"/>
      <c r="L273" s="89"/>
      <c r="M273" s="86"/>
    </row>
    <row r="274" spans="1:13" ht="12.75">
      <c r="A274" s="1134">
        <v>2</v>
      </c>
      <c r="B274" s="1137"/>
      <c r="C274" s="1140" t="s">
        <v>142</v>
      </c>
      <c r="D274" s="1131" t="s">
        <v>143</v>
      </c>
      <c r="E274" s="1143" t="s">
        <v>117</v>
      </c>
      <c r="F274" s="73" t="s">
        <v>20</v>
      </c>
      <c r="G274" s="74">
        <v>1144880</v>
      </c>
      <c r="H274" s="102">
        <v>285440</v>
      </c>
      <c r="I274" s="74">
        <f>J274+K274+L274</f>
        <v>286128</v>
      </c>
      <c r="J274" s="74">
        <v>286128</v>
      </c>
      <c r="K274" s="74">
        <v>0</v>
      </c>
      <c r="L274" s="74">
        <v>0</v>
      </c>
      <c r="M274" s="1131" t="s">
        <v>144</v>
      </c>
    </row>
    <row r="275" spans="1:13" ht="12.75">
      <c r="A275" s="1135"/>
      <c r="B275" s="1138"/>
      <c r="C275" s="1141"/>
      <c r="D275" s="1132"/>
      <c r="E275" s="1144"/>
      <c r="F275" s="73" t="s">
        <v>21</v>
      </c>
      <c r="G275" s="74"/>
      <c r="H275" s="102">
        <v>-23156</v>
      </c>
      <c r="I275" s="74">
        <f>J275+K275+L275</f>
        <v>0</v>
      </c>
      <c r="J275" s="74"/>
      <c r="K275" s="74"/>
      <c r="L275" s="74"/>
      <c r="M275" s="1132"/>
    </row>
    <row r="276" spans="1:13" ht="12.75">
      <c r="A276" s="1136"/>
      <c r="B276" s="1139"/>
      <c r="C276" s="1142"/>
      <c r="D276" s="1133"/>
      <c r="E276" s="1145"/>
      <c r="F276" s="73" t="s">
        <v>22</v>
      </c>
      <c r="G276" s="74">
        <f aca="true" t="shared" si="36" ref="G276:L276">G274+G275</f>
        <v>1144880</v>
      </c>
      <c r="H276" s="74">
        <f t="shared" si="36"/>
        <v>262284</v>
      </c>
      <c r="I276" s="74">
        <f t="shared" si="36"/>
        <v>286128</v>
      </c>
      <c r="J276" s="74">
        <f t="shared" si="36"/>
        <v>286128</v>
      </c>
      <c r="K276" s="74">
        <f t="shared" si="36"/>
        <v>0</v>
      </c>
      <c r="L276" s="74">
        <f t="shared" si="36"/>
        <v>0</v>
      </c>
      <c r="M276" s="1133"/>
    </row>
    <row r="277" spans="1:13" ht="12.75" hidden="1">
      <c r="A277" s="65"/>
      <c r="B277" s="66"/>
      <c r="C277" s="80"/>
      <c r="D277" s="81"/>
      <c r="E277" s="73"/>
      <c r="F277" s="73"/>
      <c r="G277" s="74"/>
      <c r="H277" s="74"/>
      <c r="I277" s="74"/>
      <c r="J277" s="74"/>
      <c r="K277" s="74"/>
      <c r="L277" s="74"/>
      <c r="M277" s="81"/>
    </row>
    <row r="278" spans="1:13" s="64" customFormat="1" ht="12.75" hidden="1">
      <c r="A278" s="1149"/>
      <c r="B278" s="1152" t="s">
        <v>56</v>
      </c>
      <c r="C278" s="1152"/>
      <c r="D278" s="1155" t="s">
        <v>46</v>
      </c>
      <c r="E278" s="1149" t="s">
        <v>55</v>
      </c>
      <c r="F278" s="61" t="s">
        <v>20</v>
      </c>
      <c r="G278" s="62">
        <f aca="true" t="shared" si="37" ref="G278:L279">G282</f>
        <v>1275000</v>
      </c>
      <c r="H278" s="62">
        <f t="shared" si="37"/>
        <v>200000</v>
      </c>
      <c r="I278" s="62">
        <f t="shared" si="37"/>
        <v>1075000</v>
      </c>
      <c r="J278" s="62">
        <f t="shared" si="37"/>
        <v>1075000</v>
      </c>
      <c r="K278" s="62">
        <f t="shared" si="37"/>
        <v>0</v>
      </c>
      <c r="L278" s="62">
        <f t="shared" si="37"/>
        <v>0</v>
      </c>
      <c r="M278" s="1149" t="s">
        <v>55</v>
      </c>
    </row>
    <row r="279" spans="1:13" s="64" customFormat="1" ht="12.75" hidden="1">
      <c r="A279" s="1150"/>
      <c r="B279" s="1153"/>
      <c r="C279" s="1153"/>
      <c r="D279" s="1156"/>
      <c r="E279" s="1150"/>
      <c r="F279" s="61" t="s">
        <v>21</v>
      </c>
      <c r="G279" s="62">
        <f t="shared" si="37"/>
        <v>0</v>
      </c>
      <c r="H279" s="62">
        <f t="shared" si="37"/>
        <v>0</v>
      </c>
      <c r="I279" s="62">
        <f t="shared" si="37"/>
        <v>0</v>
      </c>
      <c r="J279" s="62">
        <f t="shared" si="37"/>
        <v>0</v>
      </c>
      <c r="K279" s="62">
        <f t="shared" si="37"/>
        <v>0</v>
      </c>
      <c r="L279" s="62">
        <f t="shared" si="37"/>
        <v>0</v>
      </c>
      <c r="M279" s="1150"/>
    </row>
    <row r="280" spans="1:13" s="64" customFormat="1" ht="12.75" hidden="1">
      <c r="A280" s="1151"/>
      <c r="B280" s="1154"/>
      <c r="C280" s="1154"/>
      <c r="D280" s="1157"/>
      <c r="E280" s="1151"/>
      <c r="F280" s="61" t="s">
        <v>22</v>
      </c>
      <c r="G280" s="62">
        <f aca="true" t="shared" si="38" ref="G280:L280">G278+G279</f>
        <v>1275000</v>
      </c>
      <c r="H280" s="62">
        <f t="shared" si="38"/>
        <v>200000</v>
      </c>
      <c r="I280" s="62">
        <f t="shared" si="38"/>
        <v>1075000</v>
      </c>
      <c r="J280" s="62">
        <f t="shared" si="38"/>
        <v>1075000</v>
      </c>
      <c r="K280" s="62">
        <f t="shared" si="38"/>
        <v>0</v>
      </c>
      <c r="L280" s="62">
        <f t="shared" si="38"/>
        <v>0</v>
      </c>
      <c r="M280" s="1151"/>
    </row>
    <row r="281" spans="1:13" ht="12.75" hidden="1">
      <c r="A281" s="65"/>
      <c r="B281" s="66"/>
      <c r="C281" s="80"/>
      <c r="D281" s="81"/>
      <c r="E281" s="73"/>
      <c r="F281" s="73"/>
      <c r="G281" s="74"/>
      <c r="H281" s="74"/>
      <c r="I281" s="74"/>
      <c r="J281" s="74"/>
      <c r="K281" s="74"/>
      <c r="L281" s="74"/>
      <c r="M281" s="81"/>
    </row>
    <row r="282" spans="1:13" ht="12.75" hidden="1">
      <c r="A282" s="1134">
        <v>15</v>
      </c>
      <c r="B282" s="1137"/>
      <c r="C282" s="1140" t="s">
        <v>98</v>
      </c>
      <c r="D282" s="1131" t="s">
        <v>145</v>
      </c>
      <c r="E282" s="1143" t="s">
        <v>126</v>
      </c>
      <c r="F282" s="73" t="s">
        <v>20</v>
      </c>
      <c r="G282" s="74">
        <v>1275000</v>
      </c>
      <c r="H282" s="102">
        <v>200000</v>
      </c>
      <c r="I282" s="74">
        <f>J282+K282+L282</f>
        <v>1075000</v>
      </c>
      <c r="J282" s="74">
        <v>1075000</v>
      </c>
      <c r="K282" s="74">
        <v>0</v>
      </c>
      <c r="L282" s="74">
        <v>0</v>
      </c>
      <c r="M282" s="1131" t="s">
        <v>84</v>
      </c>
    </row>
    <row r="283" spans="1:13" ht="12.75" hidden="1">
      <c r="A283" s="1135"/>
      <c r="B283" s="1138"/>
      <c r="C283" s="1141"/>
      <c r="D283" s="1132"/>
      <c r="E283" s="1144"/>
      <c r="F283" s="73" t="s">
        <v>21</v>
      </c>
      <c r="G283" s="74"/>
      <c r="H283" s="102"/>
      <c r="I283" s="74">
        <f>J283+K283+L283</f>
        <v>0</v>
      </c>
      <c r="J283" s="74"/>
      <c r="K283" s="74"/>
      <c r="L283" s="74"/>
      <c r="M283" s="1132"/>
    </row>
    <row r="284" spans="1:13" ht="12.75" hidden="1">
      <c r="A284" s="1136"/>
      <c r="B284" s="1139"/>
      <c r="C284" s="1142"/>
      <c r="D284" s="1133"/>
      <c r="E284" s="1145"/>
      <c r="F284" s="73" t="s">
        <v>22</v>
      </c>
      <c r="G284" s="74">
        <f aca="true" t="shared" si="39" ref="G284:L284">G282+G283</f>
        <v>1275000</v>
      </c>
      <c r="H284" s="74">
        <f t="shared" si="39"/>
        <v>200000</v>
      </c>
      <c r="I284" s="74">
        <f t="shared" si="39"/>
        <v>1075000</v>
      </c>
      <c r="J284" s="74">
        <f t="shared" si="39"/>
        <v>1075000</v>
      </c>
      <c r="K284" s="74">
        <f t="shared" si="39"/>
        <v>0</v>
      </c>
      <c r="L284" s="74">
        <f t="shared" si="39"/>
        <v>0</v>
      </c>
      <c r="M284" s="1133"/>
    </row>
    <row r="285" spans="1:13" ht="12.75" hidden="1">
      <c r="A285" s="65"/>
      <c r="B285" s="66"/>
      <c r="C285" s="80"/>
      <c r="D285" s="81"/>
      <c r="E285" s="73"/>
      <c r="F285" s="73"/>
      <c r="G285" s="74"/>
      <c r="H285" s="102"/>
      <c r="I285" s="74"/>
      <c r="J285" s="74"/>
      <c r="K285" s="74"/>
      <c r="L285" s="74"/>
      <c r="M285" s="83"/>
    </row>
    <row r="286" spans="1:13" s="64" customFormat="1" ht="12.75" hidden="1">
      <c r="A286" s="1149"/>
      <c r="B286" s="1152" t="s">
        <v>62</v>
      </c>
      <c r="C286" s="1152"/>
      <c r="D286" s="1155" t="s">
        <v>63</v>
      </c>
      <c r="E286" s="1149" t="s">
        <v>55</v>
      </c>
      <c r="F286" s="61" t="s">
        <v>20</v>
      </c>
      <c r="G286" s="62">
        <f aca="true" t="shared" si="40" ref="G286:L287">G290</f>
        <v>355148</v>
      </c>
      <c r="H286" s="62">
        <f t="shared" si="40"/>
        <v>102952</v>
      </c>
      <c r="I286" s="62">
        <f t="shared" si="40"/>
        <v>252196</v>
      </c>
      <c r="J286" s="62">
        <f t="shared" si="40"/>
        <v>252196</v>
      </c>
      <c r="K286" s="62">
        <f t="shared" si="40"/>
        <v>0</v>
      </c>
      <c r="L286" s="62">
        <f t="shared" si="40"/>
        <v>0</v>
      </c>
      <c r="M286" s="1149" t="s">
        <v>55</v>
      </c>
    </row>
    <row r="287" spans="1:13" s="64" customFormat="1" ht="12.75" hidden="1">
      <c r="A287" s="1150"/>
      <c r="B287" s="1153"/>
      <c r="C287" s="1153"/>
      <c r="D287" s="1156"/>
      <c r="E287" s="1150"/>
      <c r="F287" s="61" t="s">
        <v>21</v>
      </c>
      <c r="G287" s="62">
        <f t="shared" si="40"/>
        <v>0</v>
      </c>
      <c r="H287" s="62">
        <f t="shared" si="40"/>
        <v>0</v>
      </c>
      <c r="I287" s="62">
        <f t="shared" si="40"/>
        <v>0</v>
      </c>
      <c r="J287" s="62">
        <f t="shared" si="40"/>
        <v>0</v>
      </c>
      <c r="K287" s="62">
        <f t="shared" si="40"/>
        <v>0</v>
      </c>
      <c r="L287" s="62">
        <f t="shared" si="40"/>
        <v>0</v>
      </c>
      <c r="M287" s="1150"/>
    </row>
    <row r="288" spans="1:13" s="64" customFormat="1" ht="12.75" hidden="1">
      <c r="A288" s="1151"/>
      <c r="B288" s="1154"/>
      <c r="C288" s="1154"/>
      <c r="D288" s="1157"/>
      <c r="E288" s="1151"/>
      <c r="F288" s="61" t="s">
        <v>22</v>
      </c>
      <c r="G288" s="62">
        <f aca="true" t="shared" si="41" ref="G288:L288">G286+G287</f>
        <v>355148</v>
      </c>
      <c r="H288" s="62">
        <f t="shared" si="41"/>
        <v>102952</v>
      </c>
      <c r="I288" s="62">
        <f t="shared" si="41"/>
        <v>252196</v>
      </c>
      <c r="J288" s="62">
        <f t="shared" si="41"/>
        <v>252196</v>
      </c>
      <c r="K288" s="62">
        <f t="shared" si="41"/>
        <v>0</v>
      </c>
      <c r="L288" s="62">
        <f t="shared" si="41"/>
        <v>0</v>
      </c>
      <c r="M288" s="1151"/>
    </row>
    <row r="289" spans="1:13" ht="12.75" hidden="1">
      <c r="A289" s="65"/>
      <c r="B289" s="66"/>
      <c r="C289" s="80"/>
      <c r="D289" s="81"/>
      <c r="E289" s="73"/>
      <c r="F289" s="73"/>
      <c r="G289" s="74"/>
      <c r="H289" s="74"/>
      <c r="I289" s="74"/>
      <c r="J289" s="74"/>
      <c r="K289" s="74"/>
      <c r="L289" s="74"/>
      <c r="M289" s="81"/>
    </row>
    <row r="290" spans="1:13" ht="12.75" hidden="1">
      <c r="A290" s="1134">
        <v>16</v>
      </c>
      <c r="B290" s="1137"/>
      <c r="C290" s="1140" t="s">
        <v>103</v>
      </c>
      <c r="D290" s="1131" t="s">
        <v>146</v>
      </c>
      <c r="E290" s="1143" t="s">
        <v>130</v>
      </c>
      <c r="F290" s="73" t="s">
        <v>20</v>
      </c>
      <c r="G290" s="74">
        <v>355148</v>
      </c>
      <c r="H290" s="102">
        <f>5148+97804</f>
        <v>102952</v>
      </c>
      <c r="I290" s="74">
        <f>J290+K290+L290</f>
        <v>252196</v>
      </c>
      <c r="J290" s="74">
        <v>252196</v>
      </c>
      <c r="K290" s="74">
        <v>0</v>
      </c>
      <c r="L290" s="74">
        <v>0</v>
      </c>
      <c r="M290" s="1131" t="s">
        <v>84</v>
      </c>
    </row>
    <row r="291" spans="1:13" ht="12.75" hidden="1">
      <c r="A291" s="1135"/>
      <c r="B291" s="1138"/>
      <c r="C291" s="1141"/>
      <c r="D291" s="1132"/>
      <c r="E291" s="1144"/>
      <c r="F291" s="73" t="s">
        <v>21</v>
      </c>
      <c r="G291" s="74"/>
      <c r="H291" s="102"/>
      <c r="I291" s="74">
        <f>J291+K291+L291</f>
        <v>0</v>
      </c>
      <c r="J291" s="74"/>
      <c r="K291" s="74"/>
      <c r="L291" s="74"/>
      <c r="M291" s="1132"/>
    </row>
    <row r="292" spans="1:13" ht="12.75" hidden="1">
      <c r="A292" s="1136"/>
      <c r="B292" s="1139"/>
      <c r="C292" s="1142"/>
      <c r="D292" s="1133"/>
      <c r="E292" s="1145"/>
      <c r="F292" s="73" t="s">
        <v>22</v>
      </c>
      <c r="G292" s="74">
        <f aca="true" t="shared" si="42" ref="G292:L292">G290+G291</f>
        <v>355148</v>
      </c>
      <c r="H292" s="74">
        <f t="shared" si="42"/>
        <v>102952</v>
      </c>
      <c r="I292" s="74">
        <f t="shared" si="42"/>
        <v>252196</v>
      </c>
      <c r="J292" s="74">
        <f t="shared" si="42"/>
        <v>252196</v>
      </c>
      <c r="K292" s="74">
        <f t="shared" si="42"/>
        <v>0</v>
      </c>
      <c r="L292" s="74">
        <f t="shared" si="42"/>
        <v>0</v>
      </c>
      <c r="M292" s="1133"/>
    </row>
    <row r="293" spans="1:13" ht="6.75" customHeight="1">
      <c r="A293" s="65"/>
      <c r="B293" s="66"/>
      <c r="C293" s="80"/>
      <c r="D293" s="83"/>
      <c r="E293" s="73"/>
      <c r="F293" s="73"/>
      <c r="G293" s="74"/>
      <c r="H293" s="74"/>
      <c r="I293" s="74"/>
      <c r="J293" s="74"/>
      <c r="K293" s="74"/>
      <c r="L293" s="74"/>
      <c r="M293" s="81"/>
    </row>
    <row r="294" spans="1:13" s="64" customFormat="1" ht="12.75">
      <c r="A294" s="1149"/>
      <c r="B294" s="1152" t="s">
        <v>147</v>
      </c>
      <c r="C294" s="1152"/>
      <c r="D294" s="1155" t="s">
        <v>49</v>
      </c>
      <c r="E294" s="1149" t="s">
        <v>55</v>
      </c>
      <c r="F294" s="61" t="s">
        <v>20</v>
      </c>
      <c r="G294" s="62">
        <f aca="true" t="shared" si="43" ref="G294:L295">G298+G302+G306+G310+G314</f>
        <v>15468136</v>
      </c>
      <c r="H294" s="62">
        <f t="shared" si="43"/>
        <v>574470</v>
      </c>
      <c r="I294" s="62">
        <f t="shared" si="43"/>
        <v>4337630</v>
      </c>
      <c r="J294" s="62">
        <f t="shared" si="43"/>
        <v>4337630</v>
      </c>
      <c r="K294" s="62">
        <f t="shared" si="43"/>
        <v>0</v>
      </c>
      <c r="L294" s="62">
        <f t="shared" si="43"/>
        <v>0</v>
      </c>
      <c r="M294" s="1149" t="s">
        <v>55</v>
      </c>
    </row>
    <row r="295" spans="1:13" s="64" customFormat="1" ht="12.75">
      <c r="A295" s="1150"/>
      <c r="B295" s="1153"/>
      <c r="C295" s="1153"/>
      <c r="D295" s="1156"/>
      <c r="E295" s="1150"/>
      <c r="F295" s="61" t="s">
        <v>21</v>
      </c>
      <c r="G295" s="62">
        <f t="shared" si="43"/>
        <v>0</v>
      </c>
      <c r="H295" s="62">
        <f t="shared" si="43"/>
        <v>-712</v>
      </c>
      <c r="I295" s="62">
        <f t="shared" si="43"/>
        <v>0</v>
      </c>
      <c r="J295" s="62">
        <f t="shared" si="43"/>
        <v>0</v>
      </c>
      <c r="K295" s="62">
        <f t="shared" si="43"/>
        <v>0</v>
      </c>
      <c r="L295" s="62">
        <f t="shared" si="43"/>
        <v>0</v>
      </c>
      <c r="M295" s="1150"/>
    </row>
    <row r="296" spans="1:13" s="64" customFormat="1" ht="12.75">
      <c r="A296" s="1151"/>
      <c r="B296" s="1154"/>
      <c r="C296" s="1154"/>
      <c r="D296" s="1157"/>
      <c r="E296" s="1151"/>
      <c r="F296" s="61" t="s">
        <v>22</v>
      </c>
      <c r="G296" s="62">
        <f aca="true" t="shared" si="44" ref="G296:L296">G294+G295</f>
        <v>15468136</v>
      </c>
      <c r="H296" s="62">
        <f t="shared" si="44"/>
        <v>573758</v>
      </c>
      <c r="I296" s="62">
        <f t="shared" si="44"/>
        <v>4337630</v>
      </c>
      <c r="J296" s="62">
        <f t="shared" si="44"/>
        <v>4337630</v>
      </c>
      <c r="K296" s="62">
        <f t="shared" si="44"/>
        <v>0</v>
      </c>
      <c r="L296" s="62">
        <f t="shared" si="44"/>
        <v>0</v>
      </c>
      <c r="M296" s="1151"/>
    </row>
    <row r="297" spans="1:13" ht="6" customHeight="1">
      <c r="A297" s="65"/>
      <c r="B297" s="66"/>
      <c r="C297" s="80"/>
      <c r="D297" s="81"/>
      <c r="E297" s="73"/>
      <c r="F297" s="73"/>
      <c r="G297" s="74"/>
      <c r="H297" s="74"/>
      <c r="I297" s="74"/>
      <c r="J297" s="74"/>
      <c r="K297" s="74"/>
      <c r="L297" s="74"/>
      <c r="M297" s="81"/>
    </row>
    <row r="298" spans="1:13" ht="12.75">
      <c r="A298" s="1134">
        <v>3</v>
      </c>
      <c r="B298" s="1137"/>
      <c r="C298" s="1140" t="s">
        <v>148</v>
      </c>
      <c r="D298" s="1131" t="s">
        <v>149</v>
      </c>
      <c r="E298" s="1143" t="s">
        <v>124</v>
      </c>
      <c r="F298" s="73" t="s">
        <v>20</v>
      </c>
      <c r="G298" s="74">
        <v>1833925</v>
      </c>
      <c r="H298" s="102">
        <v>8861</v>
      </c>
      <c r="I298" s="74">
        <f>J298+K298+L298</f>
        <v>1229187</v>
      </c>
      <c r="J298" s="74">
        <v>1229187</v>
      </c>
      <c r="K298" s="74">
        <v>0</v>
      </c>
      <c r="L298" s="74">
        <v>0</v>
      </c>
      <c r="M298" s="1131" t="s">
        <v>150</v>
      </c>
    </row>
    <row r="299" spans="1:13" ht="12.75">
      <c r="A299" s="1135"/>
      <c r="B299" s="1138"/>
      <c r="C299" s="1141"/>
      <c r="D299" s="1132"/>
      <c r="E299" s="1144"/>
      <c r="F299" s="73" t="s">
        <v>21</v>
      </c>
      <c r="G299" s="74"/>
      <c r="H299" s="102">
        <v>-712</v>
      </c>
      <c r="I299" s="74">
        <f>J299+K299+L299</f>
        <v>0</v>
      </c>
      <c r="J299" s="74"/>
      <c r="K299" s="74"/>
      <c r="L299" s="74"/>
      <c r="M299" s="1132"/>
    </row>
    <row r="300" spans="1:13" ht="12.75">
      <c r="A300" s="1136"/>
      <c r="B300" s="1139"/>
      <c r="C300" s="1142"/>
      <c r="D300" s="1133"/>
      <c r="E300" s="1145"/>
      <c r="F300" s="73" t="s">
        <v>22</v>
      </c>
      <c r="G300" s="74">
        <f aca="true" t="shared" si="45" ref="G300:L300">G298+G299</f>
        <v>1833925</v>
      </c>
      <c r="H300" s="74">
        <f t="shared" si="45"/>
        <v>8149</v>
      </c>
      <c r="I300" s="74">
        <f t="shared" si="45"/>
        <v>1229187</v>
      </c>
      <c r="J300" s="74">
        <f t="shared" si="45"/>
        <v>1229187</v>
      </c>
      <c r="K300" s="74">
        <f t="shared" si="45"/>
        <v>0</v>
      </c>
      <c r="L300" s="74">
        <f t="shared" si="45"/>
        <v>0</v>
      </c>
      <c r="M300" s="1133"/>
    </row>
    <row r="301" spans="1:13" ht="12.75" hidden="1">
      <c r="A301" s="65"/>
      <c r="B301" s="66"/>
      <c r="C301" s="80"/>
      <c r="D301" s="81"/>
      <c r="E301" s="73"/>
      <c r="F301" s="73"/>
      <c r="G301" s="74"/>
      <c r="H301" s="102"/>
      <c r="I301" s="74"/>
      <c r="J301" s="74"/>
      <c r="K301" s="74"/>
      <c r="L301" s="74"/>
      <c r="M301" s="81"/>
    </row>
    <row r="302" spans="1:13" ht="12.75" hidden="1">
      <c r="A302" s="1134">
        <v>18</v>
      </c>
      <c r="B302" s="1137"/>
      <c r="C302" s="1140" t="s">
        <v>148</v>
      </c>
      <c r="D302" s="1131" t="s">
        <v>151</v>
      </c>
      <c r="E302" s="1143" t="s">
        <v>152</v>
      </c>
      <c r="F302" s="73" t="s">
        <v>20</v>
      </c>
      <c r="G302" s="74">
        <v>4713706</v>
      </c>
      <c r="H302" s="102">
        <f>12300+110700</f>
        <v>123000</v>
      </c>
      <c r="I302" s="74">
        <f>J302+K302+L302</f>
        <v>1005427</v>
      </c>
      <c r="J302" s="74">
        <v>1005427</v>
      </c>
      <c r="K302" s="74">
        <v>0</v>
      </c>
      <c r="L302" s="74">
        <v>0</v>
      </c>
      <c r="M302" s="1209" t="s">
        <v>153</v>
      </c>
    </row>
    <row r="303" spans="1:13" ht="12.75" hidden="1">
      <c r="A303" s="1135"/>
      <c r="B303" s="1138"/>
      <c r="C303" s="1141"/>
      <c r="D303" s="1132"/>
      <c r="E303" s="1144"/>
      <c r="F303" s="73" t="s">
        <v>21</v>
      </c>
      <c r="G303" s="74"/>
      <c r="H303" s="102"/>
      <c r="I303" s="74">
        <f>J303+K303+L303</f>
        <v>0</v>
      </c>
      <c r="J303" s="74"/>
      <c r="K303" s="74"/>
      <c r="L303" s="74"/>
      <c r="M303" s="1210"/>
    </row>
    <row r="304" spans="1:13" ht="12.75" hidden="1">
      <c r="A304" s="1136"/>
      <c r="B304" s="1139"/>
      <c r="C304" s="1142"/>
      <c r="D304" s="1133"/>
      <c r="E304" s="1145"/>
      <c r="F304" s="73" t="s">
        <v>22</v>
      </c>
      <c r="G304" s="74">
        <f aca="true" t="shared" si="46" ref="G304:L304">G302+G303</f>
        <v>4713706</v>
      </c>
      <c r="H304" s="74">
        <f t="shared" si="46"/>
        <v>123000</v>
      </c>
      <c r="I304" s="74">
        <f t="shared" si="46"/>
        <v>1005427</v>
      </c>
      <c r="J304" s="74">
        <f t="shared" si="46"/>
        <v>1005427</v>
      </c>
      <c r="K304" s="74">
        <f t="shared" si="46"/>
        <v>0</v>
      </c>
      <c r="L304" s="74">
        <f t="shared" si="46"/>
        <v>0</v>
      </c>
      <c r="M304" s="1211"/>
    </row>
    <row r="305" spans="1:13" ht="12.75" hidden="1">
      <c r="A305" s="65"/>
      <c r="B305" s="66"/>
      <c r="C305" s="80"/>
      <c r="D305" s="81"/>
      <c r="E305" s="73"/>
      <c r="F305" s="73"/>
      <c r="G305" s="74"/>
      <c r="H305" s="74"/>
      <c r="I305" s="74"/>
      <c r="J305" s="74"/>
      <c r="K305" s="74"/>
      <c r="L305" s="74"/>
      <c r="M305" s="81"/>
    </row>
    <row r="306" spans="1:13" ht="12.75" hidden="1">
      <c r="A306" s="1134">
        <v>19</v>
      </c>
      <c r="B306" s="1137"/>
      <c r="C306" s="1140" t="s">
        <v>154</v>
      </c>
      <c r="D306" s="1131" t="s">
        <v>155</v>
      </c>
      <c r="E306" s="1143" t="s">
        <v>124</v>
      </c>
      <c r="F306" s="73" t="s">
        <v>20</v>
      </c>
      <c r="G306" s="74">
        <v>6734960</v>
      </c>
      <c r="H306" s="102">
        <v>50000</v>
      </c>
      <c r="I306" s="74">
        <f>J306+K306+L306</f>
        <v>800000</v>
      </c>
      <c r="J306" s="74">
        <v>800000</v>
      </c>
      <c r="K306" s="74">
        <v>0</v>
      </c>
      <c r="L306" s="74">
        <v>0</v>
      </c>
      <c r="M306" s="1131" t="s">
        <v>156</v>
      </c>
    </row>
    <row r="307" spans="1:13" ht="12.75" hidden="1">
      <c r="A307" s="1135"/>
      <c r="B307" s="1138"/>
      <c r="C307" s="1141"/>
      <c r="D307" s="1132"/>
      <c r="E307" s="1144"/>
      <c r="F307" s="73" t="s">
        <v>21</v>
      </c>
      <c r="G307" s="74"/>
      <c r="H307" s="102"/>
      <c r="I307" s="74">
        <f>J307+K307+L307</f>
        <v>0</v>
      </c>
      <c r="J307" s="74"/>
      <c r="K307" s="74"/>
      <c r="L307" s="74"/>
      <c r="M307" s="1132"/>
    </row>
    <row r="308" spans="1:13" ht="12.75" hidden="1">
      <c r="A308" s="1136"/>
      <c r="B308" s="1139"/>
      <c r="C308" s="1142"/>
      <c r="D308" s="1133"/>
      <c r="E308" s="1145"/>
      <c r="F308" s="73" t="s">
        <v>22</v>
      </c>
      <c r="G308" s="74">
        <f aca="true" t="shared" si="47" ref="G308:L308">G306+G307</f>
        <v>6734960</v>
      </c>
      <c r="H308" s="74">
        <f t="shared" si="47"/>
        <v>50000</v>
      </c>
      <c r="I308" s="74">
        <f t="shared" si="47"/>
        <v>800000</v>
      </c>
      <c r="J308" s="74">
        <f t="shared" si="47"/>
        <v>800000</v>
      </c>
      <c r="K308" s="74">
        <f t="shared" si="47"/>
        <v>0</v>
      </c>
      <c r="L308" s="74">
        <f t="shared" si="47"/>
        <v>0</v>
      </c>
      <c r="M308" s="1133"/>
    </row>
    <row r="309" spans="1:13" ht="12.75" hidden="1">
      <c r="A309" s="65"/>
      <c r="B309" s="66"/>
      <c r="C309" s="80"/>
      <c r="D309" s="81"/>
      <c r="E309" s="73"/>
      <c r="F309" s="73"/>
      <c r="G309" s="74"/>
      <c r="H309" s="74"/>
      <c r="I309" s="74"/>
      <c r="J309" s="74"/>
      <c r="K309" s="74"/>
      <c r="L309" s="74"/>
      <c r="M309" s="81"/>
    </row>
    <row r="310" spans="1:13" ht="12.75" hidden="1">
      <c r="A310" s="1134">
        <v>20</v>
      </c>
      <c r="B310" s="1137"/>
      <c r="C310" s="1140" t="s">
        <v>157</v>
      </c>
      <c r="D310" s="1131" t="s">
        <v>158</v>
      </c>
      <c r="E310" s="1143" t="s">
        <v>126</v>
      </c>
      <c r="F310" s="73" t="s">
        <v>20</v>
      </c>
      <c r="G310" s="74">
        <v>550000</v>
      </c>
      <c r="H310" s="102">
        <v>50000</v>
      </c>
      <c r="I310" s="74">
        <f>J310+K310+L310</f>
        <v>500000</v>
      </c>
      <c r="J310" s="74">
        <v>500000</v>
      </c>
      <c r="K310" s="74">
        <v>0</v>
      </c>
      <c r="L310" s="74">
        <v>0</v>
      </c>
      <c r="M310" s="1131" t="s">
        <v>159</v>
      </c>
    </row>
    <row r="311" spans="1:13" ht="12.75" hidden="1">
      <c r="A311" s="1135"/>
      <c r="B311" s="1138"/>
      <c r="C311" s="1141"/>
      <c r="D311" s="1132"/>
      <c r="E311" s="1144"/>
      <c r="F311" s="73" t="s">
        <v>21</v>
      </c>
      <c r="G311" s="74"/>
      <c r="H311" s="102"/>
      <c r="I311" s="74">
        <f>J311+K311+L311</f>
        <v>0</v>
      </c>
      <c r="J311" s="74"/>
      <c r="K311" s="74"/>
      <c r="L311" s="74"/>
      <c r="M311" s="1132"/>
    </row>
    <row r="312" spans="1:13" ht="12.75" hidden="1">
      <c r="A312" s="1136"/>
      <c r="B312" s="1139"/>
      <c r="C312" s="1142"/>
      <c r="D312" s="1133"/>
      <c r="E312" s="1145"/>
      <c r="F312" s="73" t="s">
        <v>22</v>
      </c>
      <c r="G312" s="74">
        <f aca="true" t="shared" si="48" ref="G312:L312">G310+G311</f>
        <v>550000</v>
      </c>
      <c r="H312" s="74">
        <f t="shared" si="48"/>
        <v>50000</v>
      </c>
      <c r="I312" s="74">
        <f t="shared" si="48"/>
        <v>500000</v>
      </c>
      <c r="J312" s="74">
        <f t="shared" si="48"/>
        <v>500000</v>
      </c>
      <c r="K312" s="74">
        <f t="shared" si="48"/>
        <v>0</v>
      </c>
      <c r="L312" s="74">
        <f t="shared" si="48"/>
        <v>0</v>
      </c>
      <c r="M312" s="1133"/>
    </row>
    <row r="313" spans="1:13" ht="12.75" hidden="1">
      <c r="A313" s="65"/>
      <c r="B313" s="66"/>
      <c r="C313" s="80"/>
      <c r="D313" s="81"/>
      <c r="E313" s="73"/>
      <c r="F313" s="73"/>
      <c r="G313" s="74"/>
      <c r="H313" s="102"/>
      <c r="I313" s="74"/>
      <c r="J313" s="74"/>
      <c r="K313" s="74"/>
      <c r="L313" s="74"/>
      <c r="M313" s="81"/>
    </row>
    <row r="314" spans="1:13" ht="12.75" hidden="1">
      <c r="A314" s="1134">
        <v>21</v>
      </c>
      <c r="B314" s="1137"/>
      <c r="C314" s="1140" t="s">
        <v>160</v>
      </c>
      <c r="D314" s="1131" t="s">
        <v>161</v>
      </c>
      <c r="E314" s="1143" t="s">
        <v>162</v>
      </c>
      <c r="F314" s="73" t="s">
        <v>20</v>
      </c>
      <c r="G314" s="74">
        <v>1635545</v>
      </c>
      <c r="H314" s="102">
        <f>273796+68813</f>
        <v>342609</v>
      </c>
      <c r="I314" s="74">
        <f>J314+K314+L314</f>
        <v>803016</v>
      </c>
      <c r="J314" s="74">
        <v>803016</v>
      </c>
      <c r="K314" s="74">
        <v>0</v>
      </c>
      <c r="L314" s="74">
        <v>0</v>
      </c>
      <c r="M314" s="1131" t="s">
        <v>163</v>
      </c>
    </row>
    <row r="315" spans="1:13" ht="12.75" hidden="1">
      <c r="A315" s="1135"/>
      <c r="B315" s="1138"/>
      <c r="C315" s="1141"/>
      <c r="D315" s="1132"/>
      <c r="E315" s="1144"/>
      <c r="F315" s="72" t="s">
        <v>21</v>
      </c>
      <c r="G315" s="74"/>
      <c r="H315" s="105"/>
      <c r="I315" s="74">
        <f>J315+K315+L315</f>
        <v>0</v>
      </c>
      <c r="J315" s="94"/>
      <c r="K315" s="94"/>
      <c r="L315" s="106"/>
      <c r="M315" s="1132"/>
    </row>
    <row r="316" spans="1:13" ht="12.75" hidden="1">
      <c r="A316" s="1136"/>
      <c r="B316" s="1139"/>
      <c r="C316" s="1142"/>
      <c r="D316" s="1133"/>
      <c r="E316" s="1145"/>
      <c r="F316" s="72" t="s">
        <v>22</v>
      </c>
      <c r="G316" s="94">
        <f aca="true" t="shared" si="49" ref="G316:L316">G314+G315</f>
        <v>1635545</v>
      </c>
      <c r="H316" s="94">
        <f t="shared" si="49"/>
        <v>342609</v>
      </c>
      <c r="I316" s="94">
        <f t="shared" si="49"/>
        <v>803016</v>
      </c>
      <c r="J316" s="94">
        <f t="shared" si="49"/>
        <v>803016</v>
      </c>
      <c r="K316" s="94">
        <f t="shared" si="49"/>
        <v>0</v>
      </c>
      <c r="L316" s="94">
        <f t="shared" si="49"/>
        <v>0</v>
      </c>
      <c r="M316" s="1133"/>
    </row>
    <row r="317" spans="1:13" ht="6.75" customHeight="1">
      <c r="A317" s="44"/>
      <c r="B317" s="76"/>
      <c r="C317" s="77"/>
      <c r="D317" s="78"/>
      <c r="E317" s="79"/>
      <c r="F317" s="72"/>
      <c r="G317" s="94"/>
      <c r="H317" s="94"/>
      <c r="I317" s="94"/>
      <c r="J317" s="94"/>
      <c r="K317" s="94"/>
      <c r="L317" s="106"/>
      <c r="M317" s="78"/>
    </row>
    <row r="318" spans="1:13" s="64" customFormat="1" ht="12.75">
      <c r="A318" s="1149"/>
      <c r="B318" s="1152" t="s">
        <v>60</v>
      </c>
      <c r="C318" s="1152"/>
      <c r="D318" s="1155" t="s">
        <v>50</v>
      </c>
      <c r="E318" s="1149" t="s">
        <v>55</v>
      </c>
      <c r="F318" s="61" t="s">
        <v>20</v>
      </c>
      <c r="G318" s="62">
        <f aca="true" t="shared" si="50" ref="G318:L319">G322+G326</f>
        <v>0</v>
      </c>
      <c r="H318" s="62">
        <f t="shared" si="50"/>
        <v>0</v>
      </c>
      <c r="I318" s="62">
        <f t="shared" si="50"/>
        <v>0</v>
      </c>
      <c r="J318" s="62">
        <f t="shared" si="50"/>
        <v>0</v>
      </c>
      <c r="K318" s="62">
        <f t="shared" si="50"/>
        <v>0</v>
      </c>
      <c r="L318" s="62">
        <f t="shared" si="50"/>
        <v>0</v>
      </c>
      <c r="M318" s="1149" t="s">
        <v>55</v>
      </c>
    </row>
    <row r="319" spans="1:13" s="64" customFormat="1" ht="12.75">
      <c r="A319" s="1150"/>
      <c r="B319" s="1153"/>
      <c r="C319" s="1153"/>
      <c r="D319" s="1156"/>
      <c r="E319" s="1150"/>
      <c r="F319" s="61" t="s">
        <v>21</v>
      </c>
      <c r="G319" s="62">
        <f t="shared" si="50"/>
        <v>53000</v>
      </c>
      <c r="H319" s="62">
        <f t="shared" si="50"/>
        <v>0</v>
      </c>
      <c r="I319" s="62">
        <f t="shared" si="50"/>
        <v>53000</v>
      </c>
      <c r="J319" s="62">
        <f t="shared" si="50"/>
        <v>53000</v>
      </c>
      <c r="K319" s="62">
        <f t="shared" si="50"/>
        <v>0</v>
      </c>
      <c r="L319" s="62">
        <f t="shared" si="50"/>
        <v>0</v>
      </c>
      <c r="M319" s="1150"/>
    </row>
    <row r="320" spans="1:13" s="64" customFormat="1" ht="12.75">
      <c r="A320" s="1151"/>
      <c r="B320" s="1154"/>
      <c r="C320" s="1154"/>
      <c r="D320" s="1157"/>
      <c r="E320" s="1151"/>
      <c r="F320" s="61" t="s">
        <v>22</v>
      </c>
      <c r="G320" s="62">
        <f aca="true" t="shared" si="51" ref="G320:L320">G318+G319</f>
        <v>53000</v>
      </c>
      <c r="H320" s="62">
        <f t="shared" si="51"/>
        <v>0</v>
      </c>
      <c r="I320" s="62">
        <f t="shared" si="51"/>
        <v>53000</v>
      </c>
      <c r="J320" s="62">
        <f t="shared" si="51"/>
        <v>53000</v>
      </c>
      <c r="K320" s="62">
        <f t="shared" si="51"/>
        <v>0</v>
      </c>
      <c r="L320" s="62">
        <f t="shared" si="51"/>
        <v>0</v>
      </c>
      <c r="M320" s="1151"/>
    </row>
    <row r="321" spans="1:13" s="91" customFormat="1" ht="6" customHeight="1">
      <c r="A321" s="86"/>
      <c r="B321" s="87"/>
      <c r="C321" s="87"/>
      <c r="D321" s="93"/>
      <c r="E321" s="86"/>
      <c r="F321" s="86"/>
      <c r="G321" s="89"/>
      <c r="H321" s="86"/>
      <c r="I321" s="90"/>
      <c r="J321" s="90"/>
      <c r="K321" s="90"/>
      <c r="L321" s="90"/>
      <c r="M321" s="86"/>
    </row>
    <row r="322" spans="1:13" ht="22.5" customHeight="1">
      <c r="A322" s="1134">
        <v>4</v>
      </c>
      <c r="B322" s="1137"/>
      <c r="C322" s="1140" t="s">
        <v>110</v>
      </c>
      <c r="D322" s="1131" t="s">
        <v>171</v>
      </c>
      <c r="E322" s="1143" t="s">
        <v>170</v>
      </c>
      <c r="F322" s="73" t="s">
        <v>20</v>
      </c>
      <c r="G322" s="74">
        <v>0</v>
      </c>
      <c r="H322" s="102">
        <v>0</v>
      </c>
      <c r="I322" s="74">
        <f>J322+K322+L322</f>
        <v>0</v>
      </c>
      <c r="J322" s="74">
        <v>0</v>
      </c>
      <c r="K322" s="74">
        <v>0</v>
      </c>
      <c r="L322" s="74">
        <v>0</v>
      </c>
      <c r="M322" s="1131" t="s">
        <v>84</v>
      </c>
    </row>
    <row r="323" spans="1:13" ht="22.5" customHeight="1">
      <c r="A323" s="1135"/>
      <c r="B323" s="1138"/>
      <c r="C323" s="1141"/>
      <c r="D323" s="1132"/>
      <c r="E323" s="1144"/>
      <c r="F323" s="73" t="s">
        <v>21</v>
      </c>
      <c r="G323" s="74">
        <v>26000</v>
      </c>
      <c r="H323" s="105"/>
      <c r="I323" s="74">
        <f>J323+K323+L323</f>
        <v>26000</v>
      </c>
      <c r="J323" s="74">
        <v>26000</v>
      </c>
      <c r="K323" s="74"/>
      <c r="L323" s="74"/>
      <c r="M323" s="1132"/>
    </row>
    <row r="324" spans="1:13" ht="22.5" customHeight="1">
      <c r="A324" s="1136"/>
      <c r="B324" s="1139"/>
      <c r="C324" s="1142"/>
      <c r="D324" s="1133"/>
      <c r="E324" s="1145"/>
      <c r="F324" s="73" t="s">
        <v>22</v>
      </c>
      <c r="G324" s="74">
        <f aca="true" t="shared" si="52" ref="G324:L324">G322+G323</f>
        <v>26000</v>
      </c>
      <c r="H324" s="94">
        <f t="shared" si="52"/>
        <v>0</v>
      </c>
      <c r="I324" s="74">
        <f t="shared" si="52"/>
        <v>26000</v>
      </c>
      <c r="J324" s="74">
        <f t="shared" si="52"/>
        <v>26000</v>
      </c>
      <c r="K324" s="74">
        <f t="shared" si="52"/>
        <v>0</v>
      </c>
      <c r="L324" s="74">
        <f t="shared" si="52"/>
        <v>0</v>
      </c>
      <c r="M324" s="1133"/>
    </row>
    <row r="325" spans="1:13" ht="6" customHeight="1">
      <c r="A325" s="44"/>
      <c r="B325" s="76"/>
      <c r="C325" s="77"/>
      <c r="D325" s="78"/>
      <c r="E325" s="79"/>
      <c r="F325" s="72"/>
      <c r="G325" s="94"/>
      <c r="H325" s="94"/>
      <c r="I325" s="94"/>
      <c r="J325" s="94"/>
      <c r="K325" s="94"/>
      <c r="L325" s="106"/>
      <c r="M325" s="78"/>
    </row>
    <row r="326" spans="1:13" ht="22.5" customHeight="1">
      <c r="A326" s="1134">
        <v>5</v>
      </c>
      <c r="B326" s="1137"/>
      <c r="C326" s="1140" t="s">
        <v>110</v>
      </c>
      <c r="D326" s="1131" t="s">
        <v>172</v>
      </c>
      <c r="E326" s="1143" t="s">
        <v>173</v>
      </c>
      <c r="F326" s="73" t="s">
        <v>20</v>
      </c>
      <c r="G326" s="74">
        <v>0</v>
      </c>
      <c r="H326" s="102">
        <v>0</v>
      </c>
      <c r="I326" s="74">
        <f>J326+K326+L326</f>
        <v>0</v>
      </c>
      <c r="J326" s="74">
        <v>0</v>
      </c>
      <c r="K326" s="74">
        <v>0</v>
      </c>
      <c r="L326" s="74">
        <v>0</v>
      </c>
      <c r="M326" s="1131" t="s">
        <v>84</v>
      </c>
    </row>
    <row r="327" spans="1:13" ht="22.5" customHeight="1">
      <c r="A327" s="1135"/>
      <c r="B327" s="1138"/>
      <c r="C327" s="1141"/>
      <c r="D327" s="1132"/>
      <c r="E327" s="1144"/>
      <c r="F327" s="73" t="s">
        <v>21</v>
      </c>
      <c r="G327" s="74">
        <v>27000</v>
      </c>
      <c r="H327" s="105"/>
      <c r="I327" s="74">
        <f>J327+K327+L327</f>
        <v>27000</v>
      </c>
      <c r="J327" s="74">
        <v>27000</v>
      </c>
      <c r="K327" s="74"/>
      <c r="L327" s="74"/>
      <c r="M327" s="1132"/>
    </row>
    <row r="328" spans="1:13" ht="22.5" customHeight="1">
      <c r="A328" s="1136"/>
      <c r="B328" s="1139"/>
      <c r="C328" s="1142"/>
      <c r="D328" s="1133"/>
      <c r="E328" s="1145"/>
      <c r="F328" s="73" t="s">
        <v>22</v>
      </c>
      <c r="G328" s="74">
        <f aca="true" t="shared" si="53" ref="G328:L328">G326+G327</f>
        <v>27000</v>
      </c>
      <c r="H328" s="94">
        <f t="shared" si="53"/>
        <v>0</v>
      </c>
      <c r="I328" s="74">
        <f t="shared" si="53"/>
        <v>27000</v>
      </c>
      <c r="J328" s="74">
        <f t="shared" si="53"/>
        <v>27000</v>
      </c>
      <c r="K328" s="74">
        <f t="shared" si="53"/>
        <v>0</v>
      </c>
      <c r="L328" s="74">
        <f t="shared" si="53"/>
        <v>0</v>
      </c>
      <c r="M328" s="1133"/>
    </row>
    <row r="329" spans="1:13" ht="6" customHeight="1" thickBot="1">
      <c r="A329" s="68"/>
      <c r="B329" s="69"/>
      <c r="C329" s="70"/>
      <c r="D329" s="71"/>
      <c r="E329" s="72"/>
      <c r="F329" s="72"/>
      <c r="G329" s="94"/>
      <c r="H329" s="105"/>
      <c r="I329" s="94"/>
      <c r="J329" s="94"/>
      <c r="K329" s="94"/>
      <c r="L329" s="106"/>
      <c r="M329" s="92"/>
    </row>
    <row r="330" spans="1:13" s="91" customFormat="1" ht="15.75">
      <c r="A330" s="1194" t="s">
        <v>113</v>
      </c>
      <c r="B330" s="1195"/>
      <c r="C330" s="1195"/>
      <c r="D330" s="1195"/>
      <c r="E330" s="1200" t="s">
        <v>55</v>
      </c>
      <c r="F330" s="95" t="s">
        <v>20</v>
      </c>
      <c r="G330" s="96">
        <f aca="true" t="shared" si="54" ref="G330:L331">G206+G238+G254+G262+G278+G286+G294+G318</f>
        <v>294192386</v>
      </c>
      <c r="H330" s="96">
        <f t="shared" si="54"/>
        <v>6932089</v>
      </c>
      <c r="I330" s="96">
        <f t="shared" si="54"/>
        <v>42334761</v>
      </c>
      <c r="J330" s="96">
        <f t="shared" si="54"/>
        <v>32072395</v>
      </c>
      <c r="K330" s="96">
        <f t="shared" si="54"/>
        <v>10262366</v>
      </c>
      <c r="L330" s="96">
        <f t="shared" si="54"/>
        <v>0</v>
      </c>
      <c r="M330" s="1203" t="s">
        <v>55</v>
      </c>
    </row>
    <row r="331" spans="1:13" s="91" customFormat="1" ht="15.75">
      <c r="A331" s="1196"/>
      <c r="B331" s="1197"/>
      <c r="C331" s="1197"/>
      <c r="D331" s="1197"/>
      <c r="E331" s="1201"/>
      <c r="F331" s="97" t="s">
        <v>21</v>
      </c>
      <c r="G331" s="98">
        <f t="shared" si="54"/>
        <v>123000</v>
      </c>
      <c r="H331" s="98">
        <f t="shared" si="54"/>
        <v>46132</v>
      </c>
      <c r="I331" s="98">
        <f t="shared" si="54"/>
        <v>53000</v>
      </c>
      <c r="J331" s="98">
        <f t="shared" si="54"/>
        <v>53000</v>
      </c>
      <c r="K331" s="98">
        <f t="shared" si="54"/>
        <v>0</v>
      </c>
      <c r="L331" s="98">
        <f t="shared" si="54"/>
        <v>0</v>
      </c>
      <c r="M331" s="1204"/>
    </row>
    <row r="332" spans="1:13" s="91" customFormat="1" ht="16.5" thickBot="1">
      <c r="A332" s="1198"/>
      <c r="B332" s="1199"/>
      <c r="C332" s="1199"/>
      <c r="D332" s="1199"/>
      <c r="E332" s="1202"/>
      <c r="F332" s="99" t="s">
        <v>22</v>
      </c>
      <c r="G332" s="100">
        <f aca="true" t="shared" si="55" ref="G332:L332">G330+G331</f>
        <v>294315386</v>
      </c>
      <c r="H332" s="100">
        <f t="shared" si="55"/>
        <v>6978221</v>
      </c>
      <c r="I332" s="100">
        <f t="shared" si="55"/>
        <v>42387761</v>
      </c>
      <c r="J332" s="100">
        <f t="shared" si="55"/>
        <v>32125395</v>
      </c>
      <c r="K332" s="100">
        <f t="shared" si="55"/>
        <v>10262366</v>
      </c>
      <c r="L332" s="100">
        <f t="shared" si="55"/>
        <v>0</v>
      </c>
      <c r="M332" s="1205"/>
    </row>
    <row r="333" spans="1:13" ht="3.75" customHeight="1" thickBot="1">
      <c r="A333" s="1206"/>
      <c r="B333" s="1207"/>
      <c r="C333" s="1207"/>
      <c r="D333" s="1207"/>
      <c r="E333" s="1207"/>
      <c r="F333" s="1207"/>
      <c r="G333" s="1207"/>
      <c r="H333" s="1207"/>
      <c r="I333" s="1207"/>
      <c r="J333" s="1207"/>
      <c r="K333" s="1207"/>
      <c r="L333" s="1207"/>
      <c r="M333" s="1208"/>
    </row>
    <row r="334" spans="1:13" s="107" customFormat="1" ht="16.5" thickBot="1">
      <c r="A334" s="56" t="s">
        <v>164</v>
      </c>
      <c r="B334" s="1188" t="s">
        <v>165</v>
      </c>
      <c r="C334" s="1189"/>
      <c r="D334" s="1189"/>
      <c r="E334" s="1189"/>
      <c r="F334" s="1189"/>
      <c r="G334" s="1189"/>
      <c r="H334" s="1189"/>
      <c r="I334" s="1189"/>
      <c r="J334" s="1189"/>
      <c r="K334" s="1189"/>
      <c r="L334" s="1189"/>
      <c r="M334" s="1190"/>
    </row>
    <row r="335" spans="1:13" s="91" customFormat="1" ht="7.5" customHeight="1">
      <c r="A335" s="1191"/>
      <c r="B335" s="1192"/>
      <c r="C335" s="1192"/>
      <c r="D335" s="1192"/>
      <c r="E335" s="1192"/>
      <c r="F335" s="1192"/>
      <c r="G335" s="1192"/>
      <c r="H335" s="1192"/>
      <c r="I335" s="1192"/>
      <c r="J335" s="1192"/>
      <c r="K335" s="1192"/>
      <c r="L335" s="1192"/>
      <c r="M335" s="1193"/>
    </row>
    <row r="336" spans="1:13" s="64" customFormat="1" ht="12.75">
      <c r="A336" s="1172" t="s">
        <v>55</v>
      </c>
      <c r="B336" s="1172" t="s">
        <v>55</v>
      </c>
      <c r="C336" s="1172" t="s">
        <v>55</v>
      </c>
      <c r="D336" s="1172" t="s">
        <v>55</v>
      </c>
      <c r="E336" s="1172" t="s">
        <v>55</v>
      </c>
      <c r="F336" s="61" t="s">
        <v>20</v>
      </c>
      <c r="G336" s="1171" t="s">
        <v>55</v>
      </c>
      <c r="H336" s="1171" t="s">
        <v>55</v>
      </c>
      <c r="I336" s="63">
        <f>J336+K336+L336</f>
        <v>163206802</v>
      </c>
      <c r="J336" s="63">
        <v>9826525</v>
      </c>
      <c r="K336" s="63">
        <v>153380277</v>
      </c>
      <c r="L336" s="63">
        <v>0</v>
      </c>
      <c r="M336" s="1172" t="s">
        <v>55</v>
      </c>
    </row>
    <row r="337" spans="1:13" s="64" customFormat="1" ht="12.75">
      <c r="A337" s="1172"/>
      <c r="B337" s="1172"/>
      <c r="C337" s="1172"/>
      <c r="D337" s="1172"/>
      <c r="E337" s="1172"/>
      <c r="F337" s="61" t="s">
        <v>21</v>
      </c>
      <c r="G337" s="1171"/>
      <c r="H337" s="1171"/>
      <c r="I337" s="63">
        <f>J337+K337+L337</f>
        <v>-18844</v>
      </c>
      <c r="J337" s="63">
        <v>-38501</v>
      </c>
      <c r="K337" s="63">
        <v>19657</v>
      </c>
      <c r="L337" s="63"/>
      <c r="M337" s="1172"/>
    </row>
    <row r="338" spans="1:13" s="64" customFormat="1" ht="12.75">
      <c r="A338" s="1172"/>
      <c r="B338" s="1172"/>
      <c r="C338" s="1172"/>
      <c r="D338" s="1172"/>
      <c r="E338" s="1172"/>
      <c r="F338" s="61" t="s">
        <v>22</v>
      </c>
      <c r="G338" s="1171"/>
      <c r="H338" s="1171"/>
      <c r="I338" s="63">
        <f>I336+I337</f>
        <v>163187958</v>
      </c>
      <c r="J338" s="63">
        <f>J336+J337</f>
        <v>9788024</v>
      </c>
      <c r="K338" s="63">
        <f>K336+K337</f>
        <v>153399934</v>
      </c>
      <c r="L338" s="63"/>
      <c r="M338" s="1172"/>
    </row>
    <row r="339" spans="1:13" s="91" customFormat="1" ht="10.5" customHeight="1" hidden="1" thickBot="1">
      <c r="A339" s="1185" t="s">
        <v>166</v>
      </c>
      <c r="B339" s="1186"/>
      <c r="C339" s="1186"/>
      <c r="D339" s="1186"/>
      <c r="E339" s="1186"/>
      <c r="F339" s="1186"/>
      <c r="G339" s="1186"/>
      <c r="H339" s="1186"/>
      <c r="I339" s="1186"/>
      <c r="J339" s="1186"/>
      <c r="K339" s="1186"/>
      <c r="L339" s="1186"/>
      <c r="M339" s="1187"/>
    </row>
    <row r="340" spans="1:13" s="107" customFormat="1" ht="16.5" hidden="1" thickBot="1">
      <c r="A340" s="56" t="s">
        <v>167</v>
      </c>
      <c r="B340" s="1188" t="s">
        <v>168</v>
      </c>
      <c r="C340" s="1189"/>
      <c r="D340" s="1189"/>
      <c r="E340" s="1189"/>
      <c r="F340" s="1189"/>
      <c r="G340" s="1189"/>
      <c r="H340" s="1189"/>
      <c r="I340" s="1189"/>
      <c r="J340" s="1189"/>
      <c r="K340" s="1189"/>
      <c r="L340" s="1189"/>
      <c r="M340" s="1190"/>
    </row>
    <row r="341" spans="1:13" s="91" customFormat="1" ht="12.75" hidden="1">
      <c r="A341" s="1191"/>
      <c r="B341" s="1192"/>
      <c r="C341" s="1192"/>
      <c r="D341" s="1192"/>
      <c r="E341" s="1192"/>
      <c r="F341" s="1192"/>
      <c r="G341" s="1192"/>
      <c r="H341" s="1192"/>
      <c r="I341" s="1192"/>
      <c r="J341" s="1192"/>
      <c r="K341" s="1192"/>
      <c r="L341" s="1192"/>
      <c r="M341" s="1193"/>
    </row>
    <row r="342" spans="1:13" s="64" customFormat="1" ht="12.75" hidden="1">
      <c r="A342" s="1172" t="s">
        <v>55</v>
      </c>
      <c r="B342" s="1172" t="s">
        <v>55</v>
      </c>
      <c r="C342" s="1172" t="s">
        <v>55</v>
      </c>
      <c r="D342" s="1172" t="s">
        <v>55</v>
      </c>
      <c r="E342" s="1172" t="s">
        <v>55</v>
      </c>
      <c r="F342" s="61" t="s">
        <v>20</v>
      </c>
      <c r="G342" s="1171" t="s">
        <v>55</v>
      </c>
      <c r="H342" s="1171" t="s">
        <v>55</v>
      </c>
      <c r="I342" s="63">
        <f>J342+K342+L342</f>
        <v>20215354</v>
      </c>
      <c r="J342" s="63">
        <v>17879</v>
      </c>
      <c r="K342" s="63">
        <v>20197475</v>
      </c>
      <c r="L342" s="63">
        <v>0</v>
      </c>
      <c r="M342" s="1172" t="s">
        <v>55</v>
      </c>
    </row>
    <row r="343" spans="1:13" s="64" customFormat="1" ht="12.75" hidden="1">
      <c r="A343" s="1172"/>
      <c r="B343" s="1172"/>
      <c r="C343" s="1172"/>
      <c r="D343" s="1172"/>
      <c r="E343" s="1172"/>
      <c r="F343" s="61" t="s">
        <v>21</v>
      </c>
      <c r="G343" s="1171"/>
      <c r="H343" s="1171"/>
      <c r="I343" s="63">
        <f>J343+K343+L343</f>
        <v>0</v>
      </c>
      <c r="J343" s="63"/>
      <c r="K343" s="63"/>
      <c r="L343" s="63"/>
      <c r="M343" s="1172"/>
    </row>
    <row r="344" spans="1:13" s="64" customFormat="1" ht="12.75" hidden="1">
      <c r="A344" s="1172"/>
      <c r="B344" s="1172"/>
      <c r="C344" s="1172"/>
      <c r="D344" s="1172"/>
      <c r="E344" s="1172"/>
      <c r="F344" s="61" t="s">
        <v>22</v>
      </c>
      <c r="G344" s="1171"/>
      <c r="H344" s="1171"/>
      <c r="I344" s="63">
        <f>I343+I342</f>
        <v>20215354</v>
      </c>
      <c r="J344" s="63">
        <f>J343+J342</f>
        <v>17879</v>
      </c>
      <c r="K344" s="63">
        <f>K343+K342</f>
        <v>20197475</v>
      </c>
      <c r="L344" s="63">
        <f>L343+L342</f>
        <v>0</v>
      </c>
      <c r="M344" s="1172"/>
    </row>
    <row r="345" spans="1:13" s="91" customFormat="1" ht="3.75" customHeight="1" thickBot="1">
      <c r="A345" s="1173"/>
      <c r="B345" s="1174"/>
      <c r="C345" s="1174"/>
      <c r="D345" s="1174"/>
      <c r="E345" s="1174"/>
      <c r="F345" s="1174"/>
      <c r="G345" s="1174"/>
      <c r="H345" s="1174"/>
      <c r="I345" s="1174"/>
      <c r="J345" s="1174"/>
      <c r="K345" s="1174"/>
      <c r="L345" s="1174"/>
      <c r="M345" s="1175"/>
    </row>
    <row r="346" spans="1:13" s="48" customFormat="1" ht="16.5">
      <c r="A346" s="1176"/>
      <c r="B346" s="1179"/>
      <c r="C346" s="1179"/>
      <c r="D346" s="1182" t="s">
        <v>19</v>
      </c>
      <c r="E346" s="1179" t="s">
        <v>55</v>
      </c>
      <c r="F346" s="46" t="s">
        <v>20</v>
      </c>
      <c r="G346" s="1164" t="s">
        <v>55</v>
      </c>
      <c r="H346" s="1164" t="s">
        <v>55</v>
      </c>
      <c r="I346" s="47">
        <f aca="true" t="shared" si="56" ref="I346:L347">I14</f>
        <v>249411697</v>
      </c>
      <c r="J346" s="47">
        <f t="shared" si="56"/>
        <v>56373771</v>
      </c>
      <c r="K346" s="47">
        <f t="shared" si="56"/>
        <v>193037926</v>
      </c>
      <c r="L346" s="47">
        <f t="shared" si="56"/>
        <v>0</v>
      </c>
      <c r="M346" s="1167" t="s">
        <v>55</v>
      </c>
    </row>
    <row r="347" spans="1:13" s="48" customFormat="1" ht="16.5">
      <c r="A347" s="1177"/>
      <c r="B347" s="1180"/>
      <c r="C347" s="1180"/>
      <c r="D347" s="1183"/>
      <c r="E347" s="1180"/>
      <c r="F347" s="49" t="s">
        <v>21</v>
      </c>
      <c r="G347" s="1165"/>
      <c r="H347" s="1165"/>
      <c r="I347" s="50">
        <f t="shared" si="56"/>
        <v>1015886</v>
      </c>
      <c r="J347" s="50">
        <f t="shared" si="56"/>
        <v>858297</v>
      </c>
      <c r="K347" s="50">
        <f t="shared" si="56"/>
        <v>157589</v>
      </c>
      <c r="L347" s="50">
        <f t="shared" si="56"/>
        <v>0</v>
      </c>
      <c r="M347" s="1168"/>
    </row>
    <row r="348" spans="1:13" s="48" customFormat="1" ht="17.25" thickBot="1">
      <c r="A348" s="1178"/>
      <c r="B348" s="1181"/>
      <c r="C348" s="1181"/>
      <c r="D348" s="1184"/>
      <c r="E348" s="1181"/>
      <c r="F348" s="51" t="s">
        <v>22</v>
      </c>
      <c r="G348" s="1166"/>
      <c r="H348" s="1166"/>
      <c r="I348" s="52">
        <f>I346+I347</f>
        <v>250427583</v>
      </c>
      <c r="J348" s="52">
        <f>J346+J347</f>
        <v>57232068</v>
      </c>
      <c r="K348" s="52">
        <f>K346+K347</f>
        <v>193195515</v>
      </c>
      <c r="L348" s="52">
        <f>L346+L347</f>
        <v>0</v>
      </c>
      <c r="M348" s="1169"/>
    </row>
    <row r="349" ht="6" customHeight="1"/>
    <row r="350" spans="1:3" s="3" customFormat="1" ht="12.75">
      <c r="A350" s="247" t="s">
        <v>18</v>
      </c>
      <c r="C350" s="37"/>
    </row>
    <row r="351" spans="1:3" s="3" customFormat="1" ht="12.75">
      <c r="A351" s="247" t="s">
        <v>51</v>
      </c>
      <c r="C351" s="37"/>
    </row>
    <row r="352" spans="1:3" s="3" customFormat="1" ht="12.75">
      <c r="A352" s="247" t="s">
        <v>52</v>
      </c>
      <c r="C352" s="37"/>
    </row>
    <row r="353" spans="1:3" s="3" customFormat="1" ht="12.75">
      <c r="A353" s="247" t="s">
        <v>53</v>
      </c>
      <c r="C353" s="37"/>
    </row>
  </sheetData>
  <sheetProtection password="C25B" sheet="1"/>
  <mergeCells count="564">
    <mergeCell ref="M196:M198"/>
    <mergeCell ref="A196:A198"/>
    <mergeCell ref="B196:B198"/>
    <mergeCell ref="C196:C198"/>
    <mergeCell ref="D196:D198"/>
    <mergeCell ref="E196:E198"/>
    <mergeCell ref="H196:H198"/>
    <mergeCell ref="M152:M154"/>
    <mergeCell ref="A192:A194"/>
    <mergeCell ref="B192:B194"/>
    <mergeCell ref="C192:C194"/>
    <mergeCell ref="D192:D194"/>
    <mergeCell ref="E192:E194"/>
    <mergeCell ref="H192:H194"/>
    <mergeCell ref="M192:M194"/>
    <mergeCell ref="A152:A154"/>
    <mergeCell ref="B152:B154"/>
    <mergeCell ref="C152:C154"/>
    <mergeCell ref="D152:D154"/>
    <mergeCell ref="E152:E154"/>
    <mergeCell ref="H152:H154"/>
    <mergeCell ref="M28:M30"/>
    <mergeCell ref="A72:A74"/>
    <mergeCell ref="B72:B74"/>
    <mergeCell ref="C72:C74"/>
    <mergeCell ref="D72:D74"/>
    <mergeCell ref="E72:E74"/>
    <mergeCell ref="H72:H74"/>
    <mergeCell ref="M72:M74"/>
    <mergeCell ref="A28:A30"/>
    <mergeCell ref="B28:B30"/>
    <mergeCell ref="C28:C30"/>
    <mergeCell ref="D28:D30"/>
    <mergeCell ref="E28:E30"/>
    <mergeCell ref="H28:H30"/>
    <mergeCell ref="A32:A34"/>
    <mergeCell ref="B32:B34"/>
    <mergeCell ref="A326:A328"/>
    <mergeCell ref="B326:B328"/>
    <mergeCell ref="C326:C328"/>
    <mergeCell ref="D326:D328"/>
    <mergeCell ref="E326:E328"/>
    <mergeCell ref="M326:M328"/>
    <mergeCell ref="M318:M320"/>
    <mergeCell ref="A322:A324"/>
    <mergeCell ref="B322:B324"/>
    <mergeCell ref="C322:C324"/>
    <mergeCell ref="D322:D324"/>
    <mergeCell ref="E322:E324"/>
    <mergeCell ref="M322:M324"/>
    <mergeCell ref="G8:G11"/>
    <mergeCell ref="A318:A320"/>
    <mergeCell ref="B318:B320"/>
    <mergeCell ref="C318:C320"/>
    <mergeCell ref="D318:D320"/>
    <mergeCell ref="E318:E320"/>
    <mergeCell ref="A8:A11"/>
    <mergeCell ref="B8:B11"/>
    <mergeCell ref="C8:C11"/>
    <mergeCell ref="D8:D11"/>
    <mergeCell ref="E8:E11"/>
    <mergeCell ref="F8:F11"/>
    <mergeCell ref="H8:H11"/>
    <mergeCell ref="I8:L8"/>
    <mergeCell ref="M8:M11"/>
    <mergeCell ref="I9:I11"/>
    <mergeCell ref="J9:L9"/>
    <mergeCell ref="J10:J11"/>
    <mergeCell ref="K10:K11"/>
    <mergeCell ref="L10:L11"/>
    <mergeCell ref="A14:A16"/>
    <mergeCell ref="B14:B16"/>
    <mergeCell ref="C14:C16"/>
    <mergeCell ref="D14:D16"/>
    <mergeCell ref="E14:E16"/>
    <mergeCell ref="G14:G16"/>
    <mergeCell ref="A20:A22"/>
    <mergeCell ref="B20:B22"/>
    <mergeCell ref="C20:C22"/>
    <mergeCell ref="D20:D22"/>
    <mergeCell ref="E20:E22"/>
    <mergeCell ref="H20:H22"/>
    <mergeCell ref="H24:H26"/>
    <mergeCell ref="H14:H16"/>
    <mergeCell ref="M14:M16"/>
    <mergeCell ref="B18:M18"/>
    <mergeCell ref="M20:M22"/>
    <mergeCell ref="M24:M26"/>
    <mergeCell ref="C32:C34"/>
    <mergeCell ref="D32:D34"/>
    <mergeCell ref="E32:E34"/>
    <mergeCell ref="H32:H34"/>
    <mergeCell ref="M32:M34"/>
    <mergeCell ref="A24:A26"/>
    <mergeCell ref="B24:B26"/>
    <mergeCell ref="C24:C26"/>
    <mergeCell ref="D24:D26"/>
    <mergeCell ref="E24:E26"/>
    <mergeCell ref="H40:H42"/>
    <mergeCell ref="M40:M42"/>
    <mergeCell ref="A36:A38"/>
    <mergeCell ref="B36:B38"/>
    <mergeCell ref="C36:C38"/>
    <mergeCell ref="D36:D38"/>
    <mergeCell ref="E36:E38"/>
    <mergeCell ref="H36:H38"/>
    <mergeCell ref="C44:C46"/>
    <mergeCell ref="D44:D46"/>
    <mergeCell ref="E44:E46"/>
    <mergeCell ref="H44:H46"/>
    <mergeCell ref="M36:M38"/>
    <mergeCell ref="A40:A42"/>
    <mergeCell ref="B40:B42"/>
    <mergeCell ref="C40:C42"/>
    <mergeCell ref="D40:D42"/>
    <mergeCell ref="E40:E42"/>
    <mergeCell ref="M44:M46"/>
    <mergeCell ref="A48:A50"/>
    <mergeCell ref="B48:B50"/>
    <mergeCell ref="C48:C50"/>
    <mergeCell ref="D48:D50"/>
    <mergeCell ref="E48:E50"/>
    <mergeCell ref="H48:H50"/>
    <mergeCell ref="M48:M50"/>
    <mergeCell ref="A44:A46"/>
    <mergeCell ref="B44:B46"/>
    <mergeCell ref="H56:H58"/>
    <mergeCell ref="M56:M58"/>
    <mergeCell ref="A52:A54"/>
    <mergeCell ref="B52:B54"/>
    <mergeCell ref="C52:C54"/>
    <mergeCell ref="D52:D54"/>
    <mergeCell ref="E52:E54"/>
    <mergeCell ref="H52:H54"/>
    <mergeCell ref="C60:C62"/>
    <mergeCell ref="D60:D62"/>
    <mergeCell ref="E60:E62"/>
    <mergeCell ref="H60:H62"/>
    <mergeCell ref="M52:M54"/>
    <mergeCell ref="A56:A58"/>
    <mergeCell ref="B56:B58"/>
    <mergeCell ref="C56:C58"/>
    <mergeCell ref="D56:D58"/>
    <mergeCell ref="E56:E58"/>
    <mergeCell ref="M60:M62"/>
    <mergeCell ref="A76:A78"/>
    <mergeCell ref="B76:B78"/>
    <mergeCell ref="C76:C78"/>
    <mergeCell ref="D76:D78"/>
    <mergeCell ref="E76:E78"/>
    <mergeCell ref="H76:H78"/>
    <mergeCell ref="M76:M78"/>
    <mergeCell ref="A60:A62"/>
    <mergeCell ref="B60:B62"/>
    <mergeCell ref="H84:H86"/>
    <mergeCell ref="M84:M86"/>
    <mergeCell ref="A80:A82"/>
    <mergeCell ref="B80:B82"/>
    <mergeCell ref="C80:C82"/>
    <mergeCell ref="D80:D82"/>
    <mergeCell ref="E80:E82"/>
    <mergeCell ref="H80:H82"/>
    <mergeCell ref="C88:C90"/>
    <mergeCell ref="D88:D90"/>
    <mergeCell ref="E88:E90"/>
    <mergeCell ref="H88:H90"/>
    <mergeCell ref="M80:M82"/>
    <mergeCell ref="A84:A86"/>
    <mergeCell ref="B84:B86"/>
    <mergeCell ref="C84:C86"/>
    <mergeCell ref="D84:D86"/>
    <mergeCell ref="E84:E86"/>
    <mergeCell ref="M88:M90"/>
    <mergeCell ref="A92:A94"/>
    <mergeCell ref="B92:B94"/>
    <mergeCell ref="C92:C94"/>
    <mergeCell ref="D92:D94"/>
    <mergeCell ref="E92:E94"/>
    <mergeCell ref="H92:H94"/>
    <mergeCell ref="M92:M94"/>
    <mergeCell ref="A88:A90"/>
    <mergeCell ref="B88:B90"/>
    <mergeCell ref="M100:M102"/>
    <mergeCell ref="A96:A98"/>
    <mergeCell ref="B96:B98"/>
    <mergeCell ref="C96:C98"/>
    <mergeCell ref="D96:D98"/>
    <mergeCell ref="E96:E98"/>
    <mergeCell ref="H96:H98"/>
    <mergeCell ref="D104:D106"/>
    <mergeCell ref="E104:E106"/>
    <mergeCell ref="H104:H106"/>
    <mergeCell ref="M96:M98"/>
    <mergeCell ref="A100:A102"/>
    <mergeCell ref="B100:B102"/>
    <mergeCell ref="C100:C102"/>
    <mergeCell ref="D100:D102"/>
    <mergeCell ref="E100:E102"/>
    <mergeCell ref="H100:H102"/>
    <mergeCell ref="M104:M106"/>
    <mergeCell ref="A108:A110"/>
    <mergeCell ref="B108:B110"/>
    <mergeCell ref="C108:C110"/>
    <mergeCell ref="D108:D110"/>
    <mergeCell ref="E108:E110"/>
    <mergeCell ref="H108:H110"/>
    <mergeCell ref="A104:A106"/>
    <mergeCell ref="B104:B106"/>
    <mergeCell ref="C104:C106"/>
    <mergeCell ref="H116:H118"/>
    <mergeCell ref="M116:M118"/>
    <mergeCell ref="A112:A114"/>
    <mergeCell ref="B112:B114"/>
    <mergeCell ref="C112:C114"/>
    <mergeCell ref="D112:D114"/>
    <mergeCell ref="E112:E114"/>
    <mergeCell ref="H112:H114"/>
    <mergeCell ref="C120:C122"/>
    <mergeCell ref="D120:D122"/>
    <mergeCell ref="E120:E122"/>
    <mergeCell ref="H120:H122"/>
    <mergeCell ref="M112:M114"/>
    <mergeCell ref="A116:A118"/>
    <mergeCell ref="B116:B118"/>
    <mergeCell ref="C116:C118"/>
    <mergeCell ref="D116:D118"/>
    <mergeCell ref="E116:E118"/>
    <mergeCell ref="M120:M122"/>
    <mergeCell ref="A124:A126"/>
    <mergeCell ref="B124:B126"/>
    <mergeCell ref="C124:C126"/>
    <mergeCell ref="D124:D126"/>
    <mergeCell ref="E124:E126"/>
    <mergeCell ref="H124:H126"/>
    <mergeCell ref="M124:M126"/>
    <mergeCell ref="A120:A122"/>
    <mergeCell ref="B120:B122"/>
    <mergeCell ref="H132:H134"/>
    <mergeCell ref="M132:M134"/>
    <mergeCell ref="A128:A130"/>
    <mergeCell ref="B128:B130"/>
    <mergeCell ref="C128:C130"/>
    <mergeCell ref="D128:D130"/>
    <mergeCell ref="E128:E130"/>
    <mergeCell ref="H128:H130"/>
    <mergeCell ref="C136:C138"/>
    <mergeCell ref="D136:D138"/>
    <mergeCell ref="E136:E138"/>
    <mergeCell ref="H136:H138"/>
    <mergeCell ref="M128:M130"/>
    <mergeCell ref="A132:A134"/>
    <mergeCell ref="B132:B134"/>
    <mergeCell ref="C132:C134"/>
    <mergeCell ref="D132:D134"/>
    <mergeCell ref="E132:E134"/>
    <mergeCell ref="M136:M138"/>
    <mergeCell ref="A148:A150"/>
    <mergeCell ref="B148:B150"/>
    <mergeCell ref="C148:C150"/>
    <mergeCell ref="D148:D150"/>
    <mergeCell ref="E148:E150"/>
    <mergeCell ref="H148:H150"/>
    <mergeCell ref="M148:M150"/>
    <mergeCell ref="A136:A138"/>
    <mergeCell ref="B136:B138"/>
    <mergeCell ref="A156:A158"/>
    <mergeCell ref="B156:B158"/>
    <mergeCell ref="C156:C158"/>
    <mergeCell ref="D156:D158"/>
    <mergeCell ref="E156:E158"/>
    <mergeCell ref="H156:H158"/>
    <mergeCell ref="A160:A162"/>
    <mergeCell ref="B160:B162"/>
    <mergeCell ref="C160:C162"/>
    <mergeCell ref="D160:D162"/>
    <mergeCell ref="E160:E162"/>
    <mergeCell ref="H160:H162"/>
    <mergeCell ref="B180:B182"/>
    <mergeCell ref="C180:C182"/>
    <mergeCell ref="D180:D182"/>
    <mergeCell ref="E180:E182"/>
    <mergeCell ref="H180:H182"/>
    <mergeCell ref="M156:M158"/>
    <mergeCell ref="M160:M162"/>
    <mergeCell ref="M164:M166"/>
    <mergeCell ref="M172:M174"/>
    <mergeCell ref="M176:M178"/>
    <mergeCell ref="E188:E190"/>
    <mergeCell ref="H188:H190"/>
    <mergeCell ref="M180:M182"/>
    <mergeCell ref="A184:A186"/>
    <mergeCell ref="B184:B186"/>
    <mergeCell ref="C184:C186"/>
    <mergeCell ref="D184:D186"/>
    <mergeCell ref="E184:E186"/>
    <mergeCell ref="M184:M186"/>
    <mergeCell ref="A180:A182"/>
    <mergeCell ref="M188:M190"/>
    <mergeCell ref="A200:D202"/>
    <mergeCell ref="E200:E202"/>
    <mergeCell ref="H200:H202"/>
    <mergeCell ref="M200:M202"/>
    <mergeCell ref="A203:M203"/>
    <mergeCell ref="A188:A190"/>
    <mergeCell ref="B188:B190"/>
    <mergeCell ref="C188:C190"/>
    <mergeCell ref="D188:D190"/>
    <mergeCell ref="B204:M204"/>
    <mergeCell ref="A206:A208"/>
    <mergeCell ref="B206:B208"/>
    <mergeCell ref="C206:C208"/>
    <mergeCell ref="D206:D208"/>
    <mergeCell ref="E206:E208"/>
    <mergeCell ref="M206:M208"/>
    <mergeCell ref="A210:A212"/>
    <mergeCell ref="B210:B212"/>
    <mergeCell ref="C210:C212"/>
    <mergeCell ref="D210:D212"/>
    <mergeCell ref="E210:E212"/>
    <mergeCell ref="M210:M212"/>
    <mergeCell ref="A214:A216"/>
    <mergeCell ref="B214:B216"/>
    <mergeCell ref="C214:C216"/>
    <mergeCell ref="D214:D216"/>
    <mergeCell ref="E214:E216"/>
    <mergeCell ref="M214:M216"/>
    <mergeCell ref="A218:A220"/>
    <mergeCell ref="B218:B220"/>
    <mergeCell ref="C218:C220"/>
    <mergeCell ref="D218:D220"/>
    <mergeCell ref="E218:E220"/>
    <mergeCell ref="M218:M220"/>
    <mergeCell ref="A222:A224"/>
    <mergeCell ref="B222:B224"/>
    <mergeCell ref="C222:C224"/>
    <mergeCell ref="D222:D224"/>
    <mergeCell ref="E222:E224"/>
    <mergeCell ref="M222:M224"/>
    <mergeCell ref="A226:A228"/>
    <mergeCell ref="B226:B228"/>
    <mergeCell ref="C226:C228"/>
    <mergeCell ref="D226:D228"/>
    <mergeCell ref="E226:E228"/>
    <mergeCell ref="M226:M228"/>
    <mergeCell ref="A230:A232"/>
    <mergeCell ref="B230:B232"/>
    <mergeCell ref="C230:C232"/>
    <mergeCell ref="D230:D232"/>
    <mergeCell ref="E230:E232"/>
    <mergeCell ref="M230:M232"/>
    <mergeCell ref="A234:A236"/>
    <mergeCell ref="B234:B236"/>
    <mergeCell ref="C234:C236"/>
    <mergeCell ref="D234:D236"/>
    <mergeCell ref="E234:E236"/>
    <mergeCell ref="M234:M236"/>
    <mergeCell ref="A238:A240"/>
    <mergeCell ref="B238:B240"/>
    <mergeCell ref="C238:C240"/>
    <mergeCell ref="D238:D240"/>
    <mergeCell ref="E238:E240"/>
    <mergeCell ref="M238:M240"/>
    <mergeCell ref="A242:A244"/>
    <mergeCell ref="B242:B244"/>
    <mergeCell ref="C242:C244"/>
    <mergeCell ref="D242:D244"/>
    <mergeCell ref="E242:E244"/>
    <mergeCell ref="M242:M244"/>
    <mergeCell ref="A246:A248"/>
    <mergeCell ref="B246:B248"/>
    <mergeCell ref="C246:C248"/>
    <mergeCell ref="D246:D248"/>
    <mergeCell ref="E246:E248"/>
    <mergeCell ref="M246:M248"/>
    <mergeCell ref="A250:A252"/>
    <mergeCell ref="B250:B252"/>
    <mergeCell ref="C250:C252"/>
    <mergeCell ref="D250:D252"/>
    <mergeCell ref="E250:E252"/>
    <mergeCell ref="M250:M252"/>
    <mergeCell ref="A254:A256"/>
    <mergeCell ref="B254:B256"/>
    <mergeCell ref="C254:C256"/>
    <mergeCell ref="D254:D256"/>
    <mergeCell ref="E254:E256"/>
    <mergeCell ref="M254:M256"/>
    <mergeCell ref="A258:A260"/>
    <mergeCell ref="B258:B260"/>
    <mergeCell ref="C258:C260"/>
    <mergeCell ref="D258:D260"/>
    <mergeCell ref="E258:E260"/>
    <mergeCell ref="M258:M260"/>
    <mergeCell ref="A262:A264"/>
    <mergeCell ref="B262:B264"/>
    <mergeCell ref="C262:C264"/>
    <mergeCell ref="D262:D264"/>
    <mergeCell ref="E262:E264"/>
    <mergeCell ref="M262:M264"/>
    <mergeCell ref="A266:A268"/>
    <mergeCell ref="B266:B268"/>
    <mergeCell ref="C266:C268"/>
    <mergeCell ref="D266:D268"/>
    <mergeCell ref="E266:E268"/>
    <mergeCell ref="M266:M268"/>
    <mergeCell ref="A270:A272"/>
    <mergeCell ref="B270:B272"/>
    <mergeCell ref="C270:C272"/>
    <mergeCell ref="D270:D272"/>
    <mergeCell ref="E270:E272"/>
    <mergeCell ref="M270:M272"/>
    <mergeCell ref="A274:A276"/>
    <mergeCell ref="B274:B276"/>
    <mergeCell ref="C274:C276"/>
    <mergeCell ref="D274:D276"/>
    <mergeCell ref="E274:E276"/>
    <mergeCell ref="M274:M276"/>
    <mergeCell ref="A278:A280"/>
    <mergeCell ref="B278:B280"/>
    <mergeCell ref="C278:C280"/>
    <mergeCell ref="D278:D280"/>
    <mergeCell ref="E278:E280"/>
    <mergeCell ref="M278:M280"/>
    <mergeCell ref="A282:A284"/>
    <mergeCell ref="B282:B284"/>
    <mergeCell ref="C282:C284"/>
    <mergeCell ref="D282:D284"/>
    <mergeCell ref="E282:E284"/>
    <mergeCell ref="M282:M284"/>
    <mergeCell ref="A286:A288"/>
    <mergeCell ref="B286:B288"/>
    <mergeCell ref="C286:C288"/>
    <mergeCell ref="D286:D288"/>
    <mergeCell ref="E286:E288"/>
    <mergeCell ref="M286:M288"/>
    <mergeCell ref="A290:A292"/>
    <mergeCell ref="B290:B292"/>
    <mergeCell ref="C290:C292"/>
    <mergeCell ref="D290:D292"/>
    <mergeCell ref="E290:E292"/>
    <mergeCell ref="M290:M292"/>
    <mergeCell ref="A294:A296"/>
    <mergeCell ref="B294:B296"/>
    <mergeCell ref="C294:C296"/>
    <mergeCell ref="D294:D296"/>
    <mergeCell ref="E294:E296"/>
    <mergeCell ref="M294:M296"/>
    <mergeCell ref="A298:A300"/>
    <mergeCell ref="B298:B300"/>
    <mergeCell ref="C298:C300"/>
    <mergeCell ref="D298:D300"/>
    <mergeCell ref="E298:E300"/>
    <mergeCell ref="M298:M300"/>
    <mergeCell ref="A302:A304"/>
    <mergeCell ref="B302:B304"/>
    <mergeCell ref="C302:C304"/>
    <mergeCell ref="D302:D304"/>
    <mergeCell ref="E302:E304"/>
    <mergeCell ref="M302:M304"/>
    <mergeCell ref="A306:A308"/>
    <mergeCell ref="B306:B308"/>
    <mergeCell ref="C306:C308"/>
    <mergeCell ref="D306:D308"/>
    <mergeCell ref="E306:E308"/>
    <mergeCell ref="M306:M308"/>
    <mergeCell ref="A310:A312"/>
    <mergeCell ref="B310:B312"/>
    <mergeCell ref="C310:C312"/>
    <mergeCell ref="D310:D312"/>
    <mergeCell ref="E310:E312"/>
    <mergeCell ref="M310:M312"/>
    <mergeCell ref="A314:A316"/>
    <mergeCell ref="B314:B316"/>
    <mergeCell ref="C314:C316"/>
    <mergeCell ref="D314:D316"/>
    <mergeCell ref="E314:E316"/>
    <mergeCell ref="M314:M316"/>
    <mergeCell ref="G336:G338"/>
    <mergeCell ref="A330:D332"/>
    <mergeCell ref="E330:E332"/>
    <mergeCell ref="M330:M332"/>
    <mergeCell ref="A333:M333"/>
    <mergeCell ref="B334:M334"/>
    <mergeCell ref="A335:M335"/>
    <mergeCell ref="C342:C344"/>
    <mergeCell ref="D342:D344"/>
    <mergeCell ref="E342:E344"/>
    <mergeCell ref="A336:A338"/>
    <mergeCell ref="B336:B338"/>
    <mergeCell ref="C336:C338"/>
    <mergeCell ref="D336:D338"/>
    <mergeCell ref="E336:E338"/>
    <mergeCell ref="D346:D348"/>
    <mergeCell ref="E346:E348"/>
    <mergeCell ref="G346:G348"/>
    <mergeCell ref="H336:H338"/>
    <mergeCell ref="M336:M338"/>
    <mergeCell ref="A339:M339"/>
    <mergeCell ref="B340:M340"/>
    <mergeCell ref="A341:M341"/>
    <mergeCell ref="A342:A344"/>
    <mergeCell ref="B342:B344"/>
    <mergeCell ref="H346:H348"/>
    <mergeCell ref="M346:M348"/>
    <mergeCell ref="A5:M5"/>
    <mergeCell ref="G342:G344"/>
    <mergeCell ref="H342:H344"/>
    <mergeCell ref="M342:M344"/>
    <mergeCell ref="A345:M345"/>
    <mergeCell ref="A346:A348"/>
    <mergeCell ref="B346:B348"/>
    <mergeCell ref="C346:C348"/>
    <mergeCell ref="H68:H70"/>
    <mergeCell ref="M68:M70"/>
    <mergeCell ref="A64:A66"/>
    <mergeCell ref="B64:B66"/>
    <mergeCell ref="C64:C66"/>
    <mergeCell ref="D64:D66"/>
    <mergeCell ref="E64:E66"/>
    <mergeCell ref="H64:H66"/>
    <mergeCell ref="C140:C142"/>
    <mergeCell ref="D140:D142"/>
    <mergeCell ref="E140:E142"/>
    <mergeCell ref="H140:H142"/>
    <mergeCell ref="M64:M66"/>
    <mergeCell ref="A68:A70"/>
    <mergeCell ref="B68:B70"/>
    <mergeCell ref="C68:C70"/>
    <mergeCell ref="D68:D70"/>
    <mergeCell ref="E68:E70"/>
    <mergeCell ref="M140:M142"/>
    <mergeCell ref="A144:A146"/>
    <mergeCell ref="B144:B146"/>
    <mergeCell ref="C144:C146"/>
    <mergeCell ref="D144:D146"/>
    <mergeCell ref="E144:E146"/>
    <mergeCell ref="H144:H146"/>
    <mergeCell ref="M144:M146"/>
    <mergeCell ref="A140:A142"/>
    <mergeCell ref="B140:B142"/>
    <mergeCell ref="A164:A166"/>
    <mergeCell ref="B164:B166"/>
    <mergeCell ref="C164:C166"/>
    <mergeCell ref="D164:D166"/>
    <mergeCell ref="E164:E166"/>
    <mergeCell ref="H164:H166"/>
    <mergeCell ref="A172:A174"/>
    <mergeCell ref="B172:B174"/>
    <mergeCell ref="C172:C174"/>
    <mergeCell ref="D172:D174"/>
    <mergeCell ref="E172:E174"/>
    <mergeCell ref="H172:H174"/>
    <mergeCell ref="A176:A178"/>
    <mergeCell ref="B176:B178"/>
    <mergeCell ref="C176:C178"/>
    <mergeCell ref="D176:D178"/>
    <mergeCell ref="E176:E178"/>
    <mergeCell ref="H176:H178"/>
    <mergeCell ref="M168:M170"/>
    <mergeCell ref="A168:A170"/>
    <mergeCell ref="B168:B170"/>
    <mergeCell ref="C168:C170"/>
    <mergeCell ref="D168:D170"/>
    <mergeCell ref="E168:E170"/>
    <mergeCell ref="H168:H170"/>
  </mergeCells>
  <printOptions horizontalCentered="1"/>
  <pageMargins left="0.7086614173228347" right="0.7086614173228347" top="0.984251968503937" bottom="0.7480314960629921" header="0" footer="0.31496062992125984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1"/>
  <sheetViews>
    <sheetView view="pageBreakPreview" zoomScaleNormal="75" zoomScaleSheetLayoutView="100" zoomScalePageLayoutView="0" workbookViewId="0" topLeftCell="A246">
      <selection activeCell="L1" sqref="A1:N431"/>
    </sheetView>
  </sheetViews>
  <sheetFormatPr defaultColWidth="8" defaultRowHeight="14.25"/>
  <cols>
    <col min="1" max="1" width="2.19921875" style="756" customWidth="1"/>
    <col min="2" max="2" width="3.3984375" style="756" customWidth="1"/>
    <col min="3" max="3" width="3.5" style="756" customWidth="1"/>
    <col min="4" max="4" width="5.3984375" style="756" customWidth="1"/>
    <col min="5" max="5" width="9.59765625" style="750" customWidth="1"/>
    <col min="6" max="6" width="49.3984375" style="749" customWidth="1"/>
    <col min="7" max="7" width="2.3984375" style="750" customWidth="1"/>
    <col min="8" max="8" width="12.3984375" style="751" customWidth="1"/>
    <col min="9" max="9" width="12.59765625" style="752" customWidth="1"/>
    <col min="10" max="14" width="12.19921875" style="752" customWidth="1"/>
    <col min="15" max="16384" width="8" style="758" customWidth="1"/>
  </cols>
  <sheetData>
    <row r="1" spans="4:14" s="624" customFormat="1" ht="15" customHeight="1">
      <c r="D1" s="625"/>
      <c r="E1" s="626"/>
      <c r="F1" s="627"/>
      <c r="G1" s="626"/>
      <c r="H1" s="628"/>
      <c r="I1" s="627"/>
      <c r="J1" s="627"/>
      <c r="K1" s="627"/>
      <c r="L1" s="1326" t="s">
        <v>724</v>
      </c>
      <c r="M1" s="1326"/>
      <c r="N1" s="1326"/>
    </row>
    <row r="2" spans="3:14" s="624" customFormat="1" ht="12.75" customHeight="1">
      <c r="C2" s="629" t="s">
        <v>725</v>
      </c>
      <c r="D2" s="629"/>
      <c r="E2" s="626"/>
      <c r="F2" s="627"/>
      <c r="G2" s="626"/>
      <c r="H2" s="628"/>
      <c r="I2" s="627"/>
      <c r="J2" s="630"/>
      <c r="K2" s="630"/>
      <c r="L2" s="1326" t="s">
        <v>726</v>
      </c>
      <c r="M2" s="1326"/>
      <c r="N2" s="1326"/>
    </row>
    <row r="3" spans="4:14" s="624" customFormat="1" ht="11.25" customHeight="1">
      <c r="D3" s="629"/>
      <c r="E3" s="626"/>
      <c r="F3" s="627"/>
      <c r="G3" s="626"/>
      <c r="H3" s="628"/>
      <c r="I3" s="627"/>
      <c r="J3" s="630"/>
      <c r="K3" s="630"/>
      <c r="L3" s="627" t="s">
        <v>727</v>
      </c>
      <c r="M3" s="630"/>
      <c r="N3" s="630"/>
    </row>
    <row r="4" spans="1:14" s="624" customFormat="1" ht="37.5" customHeight="1">
      <c r="A4" s="1327" t="s">
        <v>728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</row>
    <row r="5" spans="1:14" s="624" customFormat="1" ht="15" customHeight="1">
      <c r="A5" s="631"/>
      <c r="B5" s="631"/>
      <c r="C5" s="631"/>
      <c r="D5" s="631"/>
      <c r="E5" s="632"/>
      <c r="F5" s="630"/>
      <c r="G5" s="632"/>
      <c r="H5" s="633"/>
      <c r="I5" s="625"/>
      <c r="J5" s="625"/>
      <c r="K5" s="625"/>
      <c r="L5" s="625"/>
      <c r="M5" s="625"/>
      <c r="N5" s="625" t="s">
        <v>0</v>
      </c>
    </row>
    <row r="6" spans="1:14" s="636" customFormat="1" ht="30.75" customHeight="1">
      <c r="A6" s="1329" t="s">
        <v>729</v>
      </c>
      <c r="B6" s="1330"/>
      <c r="C6" s="1329" t="s">
        <v>8</v>
      </c>
      <c r="D6" s="1330"/>
      <c r="E6" s="1329" t="s">
        <v>730</v>
      </c>
      <c r="F6" s="1335"/>
      <c r="G6" s="1338" t="s">
        <v>18</v>
      </c>
      <c r="H6" s="1341" t="s">
        <v>186</v>
      </c>
      <c r="I6" s="1344" t="s">
        <v>731</v>
      </c>
      <c r="J6" s="1345"/>
      <c r="K6" s="1346"/>
      <c r="L6" s="1344" t="s">
        <v>732</v>
      </c>
      <c r="M6" s="1345"/>
      <c r="N6" s="1346"/>
    </row>
    <row r="7" spans="1:14" s="636" customFormat="1" ht="15.75" customHeight="1">
      <c r="A7" s="1331"/>
      <c r="B7" s="1332"/>
      <c r="C7" s="1331"/>
      <c r="D7" s="1332"/>
      <c r="E7" s="1336"/>
      <c r="F7" s="1337"/>
      <c r="G7" s="1339"/>
      <c r="H7" s="1342"/>
      <c r="I7" s="1319" t="s">
        <v>733</v>
      </c>
      <c r="J7" s="634" t="s">
        <v>187</v>
      </c>
      <c r="K7" s="635"/>
      <c r="L7" s="1319" t="s">
        <v>733</v>
      </c>
      <c r="M7" s="634" t="s">
        <v>187</v>
      </c>
      <c r="N7" s="635"/>
    </row>
    <row r="8" spans="1:14" s="636" customFormat="1" ht="17.25" customHeight="1">
      <c r="A8" s="1333"/>
      <c r="B8" s="1334"/>
      <c r="C8" s="1333"/>
      <c r="D8" s="1334"/>
      <c r="E8" s="637" t="s">
        <v>446</v>
      </c>
      <c r="F8" s="638"/>
      <c r="G8" s="1340"/>
      <c r="H8" s="1343"/>
      <c r="I8" s="1320"/>
      <c r="J8" s="635" t="s">
        <v>734</v>
      </c>
      <c r="K8" s="639" t="s">
        <v>735</v>
      </c>
      <c r="L8" s="1320"/>
      <c r="M8" s="635" t="s">
        <v>734</v>
      </c>
      <c r="N8" s="639" t="s">
        <v>735</v>
      </c>
    </row>
    <row r="9" spans="1:14" s="642" customFormat="1" ht="11.25">
      <c r="A9" s="1321">
        <v>1</v>
      </c>
      <c r="B9" s="1322"/>
      <c r="C9" s="1321">
        <v>2</v>
      </c>
      <c r="D9" s="1322"/>
      <c r="E9" s="640">
        <v>3</v>
      </c>
      <c r="F9" s="640">
        <v>4</v>
      </c>
      <c r="G9" s="640"/>
      <c r="H9" s="640">
        <v>5</v>
      </c>
      <c r="I9" s="641">
        <v>6</v>
      </c>
      <c r="J9" s="641">
        <v>7</v>
      </c>
      <c r="K9" s="641">
        <v>8</v>
      </c>
      <c r="L9" s="641">
        <v>9</v>
      </c>
      <c r="M9" s="641">
        <v>10</v>
      </c>
      <c r="N9" s="641">
        <v>11</v>
      </c>
    </row>
    <row r="10" spans="1:14" s="649" customFormat="1" ht="3.75" customHeight="1" thickBot="1">
      <c r="A10" s="643"/>
      <c r="B10" s="644"/>
      <c r="C10" s="644"/>
      <c r="D10" s="644"/>
      <c r="E10" s="645"/>
      <c r="F10" s="645"/>
      <c r="G10" s="645"/>
      <c r="H10" s="646"/>
      <c r="I10" s="647"/>
      <c r="J10" s="647"/>
      <c r="K10" s="647"/>
      <c r="L10" s="647"/>
      <c r="M10" s="647"/>
      <c r="N10" s="648"/>
    </row>
    <row r="11" spans="1:14" s="653" customFormat="1" ht="18" customHeight="1" thickBot="1">
      <c r="A11" s="1323" t="s">
        <v>19</v>
      </c>
      <c r="B11" s="1324"/>
      <c r="C11" s="1324"/>
      <c r="D11" s="1324"/>
      <c r="E11" s="1324"/>
      <c r="F11" s="1324"/>
      <c r="G11" s="650" t="s">
        <v>20</v>
      </c>
      <c r="H11" s="651">
        <f>I11+L11</f>
        <v>248865366</v>
      </c>
      <c r="I11" s="652">
        <f>J11+K11</f>
        <v>125989200</v>
      </c>
      <c r="J11" s="652">
        <f aca="true" t="shared" si="0" ref="J11:K13">J15+J23+J158</f>
        <v>31664169</v>
      </c>
      <c r="K11" s="652">
        <f t="shared" si="0"/>
        <v>94325031</v>
      </c>
      <c r="L11" s="652">
        <f>M11+N11</f>
        <v>122876166</v>
      </c>
      <c r="M11" s="652">
        <f aca="true" t="shared" si="1" ref="M11:N13">M15+M23+M158</f>
        <v>1925001</v>
      </c>
      <c r="N11" s="652">
        <f t="shared" si="1"/>
        <v>120951165</v>
      </c>
    </row>
    <row r="12" spans="1:14" s="653" customFormat="1" ht="18" customHeight="1" thickBot="1">
      <c r="A12" s="1236"/>
      <c r="B12" s="1237"/>
      <c r="C12" s="1237"/>
      <c r="D12" s="1237"/>
      <c r="E12" s="1237"/>
      <c r="F12" s="1325"/>
      <c r="G12" s="650" t="s">
        <v>21</v>
      </c>
      <c r="H12" s="651">
        <f>I12+L12</f>
        <v>2347208</v>
      </c>
      <c r="I12" s="652">
        <f>J12+K12</f>
        <v>79922</v>
      </c>
      <c r="J12" s="652">
        <f t="shared" si="0"/>
        <v>656730</v>
      </c>
      <c r="K12" s="652">
        <f t="shared" si="0"/>
        <v>-576808</v>
      </c>
      <c r="L12" s="652">
        <f>M12+N12</f>
        <v>2267286</v>
      </c>
      <c r="M12" s="652">
        <f t="shared" si="1"/>
        <v>200000</v>
      </c>
      <c r="N12" s="652">
        <f t="shared" si="1"/>
        <v>2067286</v>
      </c>
    </row>
    <row r="13" spans="1:14" s="653" customFormat="1" ht="18" customHeight="1" thickBot="1">
      <c r="A13" s="1239"/>
      <c r="B13" s="1240"/>
      <c r="C13" s="1240"/>
      <c r="D13" s="1240"/>
      <c r="E13" s="1240"/>
      <c r="F13" s="1240"/>
      <c r="G13" s="650" t="s">
        <v>22</v>
      </c>
      <c r="H13" s="651">
        <f>I13+L13</f>
        <v>251212574</v>
      </c>
      <c r="I13" s="652">
        <f>J13+K13</f>
        <v>126069122</v>
      </c>
      <c r="J13" s="652">
        <f t="shared" si="0"/>
        <v>32320899</v>
      </c>
      <c r="K13" s="652">
        <f t="shared" si="0"/>
        <v>93748223</v>
      </c>
      <c r="L13" s="652">
        <f>M13+N13</f>
        <v>125143452</v>
      </c>
      <c r="M13" s="652">
        <f t="shared" si="1"/>
        <v>2125001</v>
      </c>
      <c r="N13" s="652">
        <f t="shared" si="1"/>
        <v>123018451</v>
      </c>
    </row>
    <row r="14" spans="1:14" s="661" customFormat="1" ht="3.75" customHeight="1" thickBot="1">
      <c r="A14" s="654"/>
      <c r="B14" s="655"/>
      <c r="C14" s="655"/>
      <c r="D14" s="655"/>
      <c r="E14" s="656"/>
      <c r="F14" s="657"/>
      <c r="G14" s="656"/>
      <c r="H14" s="658"/>
      <c r="I14" s="659"/>
      <c r="J14" s="659"/>
      <c r="K14" s="659"/>
      <c r="L14" s="659"/>
      <c r="M14" s="659"/>
      <c r="N14" s="660"/>
    </row>
    <row r="15" spans="1:14" s="665" customFormat="1" ht="16.5" customHeight="1" hidden="1" thickBot="1">
      <c r="A15" s="1290" t="s">
        <v>736</v>
      </c>
      <c r="B15" s="1291"/>
      <c r="C15" s="1291"/>
      <c r="D15" s="1291"/>
      <c r="E15" s="1291"/>
      <c r="F15" s="1291"/>
      <c r="G15" s="662" t="s">
        <v>20</v>
      </c>
      <c r="H15" s="663">
        <f>I15+L15</f>
        <v>95653586</v>
      </c>
      <c r="I15" s="664">
        <f>J15+K15</f>
        <v>0</v>
      </c>
      <c r="J15" s="663">
        <f aca="true" t="shared" si="2" ref="J15:K17">J19</f>
        <v>0</v>
      </c>
      <c r="K15" s="663">
        <f t="shared" si="2"/>
        <v>0</v>
      </c>
      <c r="L15" s="663">
        <f>M15+N15</f>
        <v>95653586</v>
      </c>
      <c r="M15" s="663">
        <f aca="true" t="shared" si="3" ref="M15:N17">M19</f>
        <v>0</v>
      </c>
      <c r="N15" s="663">
        <f t="shared" si="3"/>
        <v>95653586</v>
      </c>
    </row>
    <row r="16" spans="1:14" s="665" customFormat="1" ht="16.5" customHeight="1" hidden="1" thickBot="1">
      <c r="A16" s="1274"/>
      <c r="B16" s="1275"/>
      <c r="C16" s="1275"/>
      <c r="D16" s="1275"/>
      <c r="E16" s="1275"/>
      <c r="F16" s="1275"/>
      <c r="G16" s="662" t="s">
        <v>21</v>
      </c>
      <c r="H16" s="663">
        <f>I16+L16</f>
        <v>0</v>
      </c>
      <c r="I16" s="664">
        <f>J16+K16</f>
        <v>0</v>
      </c>
      <c r="J16" s="663">
        <f t="shared" si="2"/>
        <v>0</v>
      </c>
      <c r="K16" s="663">
        <f t="shared" si="2"/>
        <v>0</v>
      </c>
      <c r="L16" s="663">
        <f>M16+N16</f>
        <v>0</v>
      </c>
      <c r="M16" s="663">
        <f t="shared" si="3"/>
        <v>0</v>
      </c>
      <c r="N16" s="663">
        <f t="shared" si="3"/>
        <v>0</v>
      </c>
    </row>
    <row r="17" spans="1:14" s="665" customFormat="1" ht="16.5" customHeight="1" hidden="1" thickBot="1">
      <c r="A17" s="1292"/>
      <c r="B17" s="1293"/>
      <c r="C17" s="1293"/>
      <c r="D17" s="1293"/>
      <c r="E17" s="1293"/>
      <c r="F17" s="1293"/>
      <c r="G17" s="662" t="s">
        <v>22</v>
      </c>
      <c r="H17" s="663">
        <f>I17+L17</f>
        <v>95653586</v>
      </c>
      <c r="I17" s="664">
        <f>J17+K17</f>
        <v>0</v>
      </c>
      <c r="J17" s="663">
        <f t="shared" si="2"/>
        <v>0</v>
      </c>
      <c r="K17" s="663">
        <f t="shared" si="2"/>
        <v>0</v>
      </c>
      <c r="L17" s="663">
        <f>M17+N17</f>
        <v>95653586</v>
      </c>
      <c r="M17" s="663">
        <f t="shared" si="3"/>
        <v>0</v>
      </c>
      <c r="N17" s="663">
        <f t="shared" si="3"/>
        <v>95653586</v>
      </c>
    </row>
    <row r="18" spans="1:14" s="661" customFormat="1" ht="3.75" customHeight="1" hidden="1">
      <c r="A18" s="666"/>
      <c r="B18" s="667"/>
      <c r="C18" s="668"/>
      <c r="D18" s="668"/>
      <c r="E18" s="669"/>
      <c r="F18" s="669"/>
      <c r="G18" s="669"/>
      <c r="H18" s="670"/>
      <c r="I18" s="671"/>
      <c r="J18" s="671"/>
      <c r="K18" s="671"/>
      <c r="L18" s="671"/>
      <c r="M18" s="671"/>
      <c r="N18" s="672"/>
    </row>
    <row r="19" spans="1:14" s="676" customFormat="1" ht="13.5" customHeight="1" hidden="1">
      <c r="A19" s="1266" t="s">
        <v>27</v>
      </c>
      <c r="B19" s="1267"/>
      <c r="C19" s="1266" t="s">
        <v>29</v>
      </c>
      <c r="D19" s="1267"/>
      <c r="E19" s="1246" t="s">
        <v>737</v>
      </c>
      <c r="F19" s="1314"/>
      <c r="G19" s="673" t="s">
        <v>20</v>
      </c>
      <c r="H19" s="674">
        <f>I19+L19</f>
        <v>95653586</v>
      </c>
      <c r="I19" s="675">
        <f>J19+K19</f>
        <v>0</v>
      </c>
      <c r="J19" s="675">
        <v>0</v>
      </c>
      <c r="K19" s="675">
        <v>0</v>
      </c>
      <c r="L19" s="675">
        <f>M19+N19</f>
        <v>95653586</v>
      </c>
      <c r="M19" s="675">
        <v>0</v>
      </c>
      <c r="N19" s="675">
        <v>95653586</v>
      </c>
    </row>
    <row r="20" spans="1:14" s="676" customFormat="1" ht="13.5" customHeight="1" hidden="1">
      <c r="A20" s="1262"/>
      <c r="B20" s="1263"/>
      <c r="C20" s="1262"/>
      <c r="D20" s="1263"/>
      <c r="E20" s="1248"/>
      <c r="F20" s="1315"/>
      <c r="G20" s="673" t="s">
        <v>21</v>
      </c>
      <c r="H20" s="674">
        <f>I20+L20</f>
        <v>0</v>
      </c>
      <c r="I20" s="675">
        <f>J20+K20</f>
        <v>0</v>
      </c>
      <c r="J20" s="675">
        <v>0</v>
      </c>
      <c r="K20" s="675">
        <v>0</v>
      </c>
      <c r="L20" s="675">
        <f>M20+N20</f>
        <v>0</v>
      </c>
      <c r="M20" s="675">
        <v>0</v>
      </c>
      <c r="N20" s="675">
        <v>0</v>
      </c>
    </row>
    <row r="21" spans="1:14" s="676" customFormat="1" ht="13.5" customHeight="1" hidden="1">
      <c r="A21" s="1317"/>
      <c r="B21" s="1318"/>
      <c r="C21" s="1317"/>
      <c r="D21" s="1318"/>
      <c r="E21" s="1250"/>
      <c r="F21" s="1316"/>
      <c r="G21" s="673" t="s">
        <v>22</v>
      </c>
      <c r="H21" s="674">
        <f>I21+L21</f>
        <v>95653586</v>
      </c>
      <c r="I21" s="675">
        <f>J21+K21</f>
        <v>0</v>
      </c>
      <c r="J21" s="675">
        <f>J19+J20</f>
        <v>0</v>
      </c>
      <c r="K21" s="675">
        <f>K19+K20</f>
        <v>0</v>
      </c>
      <c r="L21" s="675">
        <f>M21+N21</f>
        <v>95653586</v>
      </c>
      <c r="M21" s="675">
        <f>M19+M20</f>
        <v>0</v>
      </c>
      <c r="N21" s="675">
        <f>N19+N20</f>
        <v>95653586</v>
      </c>
    </row>
    <row r="22" spans="1:14" s="661" customFormat="1" ht="3.75" customHeight="1" hidden="1" thickBot="1">
      <c r="A22" s="677"/>
      <c r="B22" s="678"/>
      <c r="C22" s="678"/>
      <c r="D22" s="678"/>
      <c r="E22" s="679"/>
      <c r="F22" s="680"/>
      <c r="G22" s="679"/>
      <c r="H22" s="681"/>
      <c r="I22" s="682"/>
      <c r="J22" s="682"/>
      <c r="K22" s="682"/>
      <c r="L22" s="682"/>
      <c r="M22" s="682"/>
      <c r="N22" s="683"/>
    </row>
    <row r="23" spans="1:14" s="665" customFormat="1" ht="16.5" customHeight="1" hidden="1" thickBot="1">
      <c r="A23" s="1290" t="s">
        <v>738</v>
      </c>
      <c r="B23" s="1291"/>
      <c r="C23" s="1291"/>
      <c r="D23" s="1291"/>
      <c r="E23" s="1291"/>
      <c r="F23" s="1291"/>
      <c r="G23" s="662" t="s">
        <v>20</v>
      </c>
      <c r="H23" s="684">
        <f>I23+L23</f>
        <v>71919130</v>
      </c>
      <c r="I23" s="685">
        <f>J23+K23</f>
        <v>71919130</v>
      </c>
      <c r="J23" s="685">
        <f aca="true" t="shared" si="4" ref="J23:K25">J27</f>
        <v>0</v>
      </c>
      <c r="K23" s="685">
        <f t="shared" si="4"/>
        <v>71919130</v>
      </c>
      <c r="L23" s="685">
        <f>M23+N23</f>
        <v>0</v>
      </c>
      <c r="M23" s="685">
        <f aca="true" t="shared" si="5" ref="M23:N25">M27</f>
        <v>0</v>
      </c>
      <c r="N23" s="685">
        <f t="shared" si="5"/>
        <v>0</v>
      </c>
    </row>
    <row r="24" spans="1:14" s="665" customFormat="1" ht="16.5" customHeight="1" hidden="1" thickBot="1">
      <c r="A24" s="1274"/>
      <c r="B24" s="1275"/>
      <c r="C24" s="1275"/>
      <c r="D24" s="1275"/>
      <c r="E24" s="1275"/>
      <c r="F24" s="1275"/>
      <c r="G24" s="662" t="s">
        <v>21</v>
      </c>
      <c r="H24" s="684">
        <f>I24+L24</f>
        <v>0</v>
      </c>
      <c r="I24" s="685">
        <f>J24+K24</f>
        <v>0</v>
      </c>
      <c r="J24" s="685">
        <f t="shared" si="4"/>
        <v>0</v>
      </c>
      <c r="K24" s="685">
        <f t="shared" si="4"/>
        <v>0</v>
      </c>
      <c r="L24" s="685">
        <f>M24+N24</f>
        <v>0</v>
      </c>
      <c r="M24" s="685">
        <f t="shared" si="5"/>
        <v>0</v>
      </c>
      <c r="N24" s="685">
        <f t="shared" si="5"/>
        <v>0</v>
      </c>
    </row>
    <row r="25" spans="1:14" s="665" customFormat="1" ht="16.5" customHeight="1" hidden="1" thickBot="1">
      <c r="A25" s="1292"/>
      <c r="B25" s="1293"/>
      <c r="C25" s="1293"/>
      <c r="D25" s="1293"/>
      <c r="E25" s="1293"/>
      <c r="F25" s="1293"/>
      <c r="G25" s="662" t="s">
        <v>22</v>
      </c>
      <c r="H25" s="684">
        <f>I25+L25</f>
        <v>71919130</v>
      </c>
      <c r="I25" s="685">
        <f>J25+K25</f>
        <v>71919130</v>
      </c>
      <c r="J25" s="685">
        <f t="shared" si="4"/>
        <v>0</v>
      </c>
      <c r="K25" s="685">
        <f t="shared" si="4"/>
        <v>71919130</v>
      </c>
      <c r="L25" s="685">
        <f>M25+N25</f>
        <v>0</v>
      </c>
      <c r="M25" s="685">
        <f t="shared" si="5"/>
        <v>0</v>
      </c>
      <c r="N25" s="685">
        <f t="shared" si="5"/>
        <v>0</v>
      </c>
    </row>
    <row r="26" spans="1:14" s="661" customFormat="1" ht="6" customHeight="1" hidden="1">
      <c r="A26" s="686"/>
      <c r="B26" s="668"/>
      <c r="C26" s="668"/>
      <c r="D26" s="668"/>
      <c r="E26" s="669"/>
      <c r="F26" s="669"/>
      <c r="G26" s="669"/>
      <c r="H26" s="670"/>
      <c r="I26" s="671"/>
      <c r="J26" s="671"/>
      <c r="K26" s="671"/>
      <c r="L26" s="671"/>
      <c r="M26" s="671"/>
      <c r="N26" s="672"/>
    </row>
    <row r="27" spans="1:14" s="690" customFormat="1" ht="15.75" customHeight="1" hidden="1">
      <c r="A27" s="1271" t="s">
        <v>739</v>
      </c>
      <c r="B27" s="1272"/>
      <c r="C27" s="1272"/>
      <c r="D27" s="1272"/>
      <c r="E27" s="1272"/>
      <c r="F27" s="1273"/>
      <c r="G27" s="687" t="s">
        <v>20</v>
      </c>
      <c r="H27" s="688">
        <f>I27+L27</f>
        <v>71919130</v>
      </c>
      <c r="I27" s="689">
        <f>J27+K27</f>
        <v>71919130</v>
      </c>
      <c r="J27" s="689">
        <f aca="true" t="shared" si="6" ref="J27:K29">J31+J37+J46+J52+J58+J67+J73+J88+J94+J100+J106+J112+J124+J136+J145+J151</f>
        <v>0</v>
      </c>
      <c r="K27" s="689">
        <f t="shared" si="6"/>
        <v>71919130</v>
      </c>
      <c r="L27" s="689">
        <f>M27+N27</f>
        <v>0</v>
      </c>
      <c r="M27" s="689">
        <f aca="true" t="shared" si="7" ref="M27:N29">M31+M37+M46+M52+M58+M67+M73+M88+M94+M100+M106+M112+M124+M136+M145+M151</f>
        <v>0</v>
      </c>
      <c r="N27" s="689">
        <f t="shared" si="7"/>
        <v>0</v>
      </c>
    </row>
    <row r="28" spans="1:14" s="690" customFormat="1" ht="15.75" customHeight="1" hidden="1">
      <c r="A28" s="1274"/>
      <c r="B28" s="1275"/>
      <c r="C28" s="1275"/>
      <c r="D28" s="1275"/>
      <c r="E28" s="1275"/>
      <c r="F28" s="1276"/>
      <c r="G28" s="687" t="s">
        <v>21</v>
      </c>
      <c r="H28" s="688">
        <f>I28+L28</f>
        <v>0</v>
      </c>
      <c r="I28" s="689">
        <f>J28+K28</f>
        <v>0</v>
      </c>
      <c r="J28" s="689">
        <f t="shared" si="6"/>
        <v>0</v>
      </c>
      <c r="K28" s="689">
        <f t="shared" si="6"/>
        <v>0</v>
      </c>
      <c r="L28" s="689">
        <f>M28+N28</f>
        <v>0</v>
      </c>
      <c r="M28" s="689">
        <f t="shared" si="7"/>
        <v>0</v>
      </c>
      <c r="N28" s="689">
        <f t="shared" si="7"/>
        <v>0</v>
      </c>
    </row>
    <row r="29" spans="1:14" s="690" customFormat="1" ht="15.75" customHeight="1" hidden="1">
      <c r="A29" s="1277"/>
      <c r="B29" s="1278"/>
      <c r="C29" s="1278"/>
      <c r="D29" s="1278"/>
      <c r="E29" s="1278"/>
      <c r="F29" s="1279"/>
      <c r="G29" s="687" t="s">
        <v>22</v>
      </c>
      <c r="H29" s="688">
        <f>I29+L29</f>
        <v>71919130</v>
      </c>
      <c r="I29" s="689">
        <f>J29+K29</f>
        <v>71919130</v>
      </c>
      <c r="J29" s="689">
        <f t="shared" si="6"/>
        <v>0</v>
      </c>
      <c r="K29" s="689">
        <f t="shared" si="6"/>
        <v>71919130</v>
      </c>
      <c r="L29" s="689">
        <f>M29+N29</f>
        <v>0</v>
      </c>
      <c r="M29" s="689">
        <f t="shared" si="7"/>
        <v>0</v>
      </c>
      <c r="N29" s="689">
        <f t="shared" si="7"/>
        <v>0</v>
      </c>
    </row>
    <row r="30" spans="1:14" s="698" customFormat="1" ht="5.25" customHeight="1" hidden="1">
      <c r="A30" s="691"/>
      <c r="B30" s="692"/>
      <c r="C30" s="693"/>
      <c r="D30" s="693"/>
      <c r="E30" s="693"/>
      <c r="F30" s="693"/>
      <c r="G30" s="694"/>
      <c r="H30" s="695"/>
      <c r="I30" s="696"/>
      <c r="J30" s="696"/>
      <c r="K30" s="696"/>
      <c r="L30" s="696"/>
      <c r="M30" s="696"/>
      <c r="N30" s="697"/>
    </row>
    <row r="31" spans="1:14" s="636" customFormat="1" ht="12.75" customHeight="1" hidden="1">
      <c r="A31" s="1294" t="s">
        <v>740</v>
      </c>
      <c r="B31" s="1295"/>
      <c r="C31" s="1295"/>
      <c r="D31" s="1295"/>
      <c r="E31" s="1295"/>
      <c r="F31" s="1296"/>
      <c r="G31" s="699" t="s">
        <v>20</v>
      </c>
      <c r="H31" s="700">
        <f aca="true" t="shared" si="8" ref="H31:H94">I31+L31</f>
        <v>7350000</v>
      </c>
      <c r="I31" s="701">
        <f aca="true" t="shared" si="9" ref="I31:I94">J31+K31</f>
        <v>7350000</v>
      </c>
      <c r="J31" s="701">
        <f aca="true" t="shared" si="10" ref="J31:K33">J34</f>
        <v>0</v>
      </c>
      <c r="K31" s="701">
        <f t="shared" si="10"/>
        <v>7350000</v>
      </c>
      <c r="L31" s="701">
        <f aca="true" t="shared" si="11" ref="L31:L94">M31+N31</f>
        <v>0</v>
      </c>
      <c r="M31" s="701">
        <f aca="true" t="shared" si="12" ref="M31:N33">M34</f>
        <v>0</v>
      </c>
      <c r="N31" s="701">
        <f t="shared" si="12"/>
        <v>0</v>
      </c>
    </row>
    <row r="32" spans="1:14" s="636" customFormat="1" ht="12.75" customHeight="1" hidden="1">
      <c r="A32" s="1297"/>
      <c r="B32" s="1298"/>
      <c r="C32" s="1298"/>
      <c r="D32" s="1298"/>
      <c r="E32" s="1298"/>
      <c r="F32" s="1299"/>
      <c r="G32" s="699" t="s">
        <v>21</v>
      </c>
      <c r="H32" s="700">
        <f t="shared" si="8"/>
        <v>0</v>
      </c>
      <c r="I32" s="701">
        <f t="shared" si="9"/>
        <v>0</v>
      </c>
      <c r="J32" s="701">
        <f t="shared" si="10"/>
        <v>0</v>
      </c>
      <c r="K32" s="701">
        <f t="shared" si="10"/>
        <v>0</v>
      </c>
      <c r="L32" s="701">
        <f t="shared" si="11"/>
        <v>0</v>
      </c>
      <c r="M32" s="701">
        <f t="shared" si="12"/>
        <v>0</v>
      </c>
      <c r="N32" s="701">
        <f t="shared" si="12"/>
        <v>0</v>
      </c>
    </row>
    <row r="33" spans="1:14" s="636" customFormat="1" ht="12.75" customHeight="1" hidden="1">
      <c r="A33" s="1300"/>
      <c r="B33" s="1301"/>
      <c r="C33" s="1301"/>
      <c r="D33" s="1301"/>
      <c r="E33" s="1301"/>
      <c r="F33" s="1302"/>
      <c r="G33" s="699" t="s">
        <v>22</v>
      </c>
      <c r="H33" s="700">
        <f t="shared" si="8"/>
        <v>7350000</v>
      </c>
      <c r="I33" s="701">
        <f t="shared" si="9"/>
        <v>7350000</v>
      </c>
      <c r="J33" s="701">
        <f t="shared" si="10"/>
        <v>0</v>
      </c>
      <c r="K33" s="701">
        <f t="shared" si="10"/>
        <v>7350000</v>
      </c>
      <c r="L33" s="701">
        <f t="shared" si="11"/>
        <v>0</v>
      </c>
      <c r="M33" s="701">
        <f t="shared" si="12"/>
        <v>0</v>
      </c>
      <c r="N33" s="701">
        <f t="shared" si="12"/>
        <v>0</v>
      </c>
    </row>
    <row r="34" spans="1:14" s="624" customFormat="1" ht="13.5" customHeight="1" hidden="1">
      <c r="A34" s="1242" t="s">
        <v>147</v>
      </c>
      <c r="B34" s="1243"/>
      <c r="C34" s="1244" t="s">
        <v>148</v>
      </c>
      <c r="D34" s="1245"/>
      <c r="E34" s="1246" t="s">
        <v>741</v>
      </c>
      <c r="F34" s="1247"/>
      <c r="G34" s="702" t="s">
        <v>20</v>
      </c>
      <c r="H34" s="703">
        <f t="shared" si="8"/>
        <v>7350000</v>
      </c>
      <c r="I34" s="704">
        <f t="shared" si="9"/>
        <v>7350000</v>
      </c>
      <c r="J34" s="704">
        <v>0</v>
      </c>
      <c r="K34" s="704">
        <v>7350000</v>
      </c>
      <c r="L34" s="704">
        <f t="shared" si="11"/>
        <v>0</v>
      </c>
      <c r="M34" s="704">
        <v>0</v>
      </c>
      <c r="N34" s="704">
        <v>0</v>
      </c>
    </row>
    <row r="35" spans="1:14" s="624" customFormat="1" ht="13.5" customHeight="1" hidden="1">
      <c r="A35" s="1252"/>
      <c r="B35" s="1253"/>
      <c r="C35" s="1254"/>
      <c r="D35" s="1255"/>
      <c r="E35" s="1248"/>
      <c r="F35" s="1249"/>
      <c r="G35" s="702" t="s">
        <v>21</v>
      </c>
      <c r="H35" s="703">
        <f t="shared" si="8"/>
        <v>0</v>
      </c>
      <c r="I35" s="704">
        <f t="shared" si="9"/>
        <v>0</v>
      </c>
      <c r="J35" s="704">
        <v>0</v>
      </c>
      <c r="K35" s="704">
        <v>0</v>
      </c>
      <c r="L35" s="704">
        <f t="shared" si="11"/>
        <v>0</v>
      </c>
      <c r="M35" s="704">
        <v>0</v>
      </c>
      <c r="N35" s="704">
        <v>0</v>
      </c>
    </row>
    <row r="36" spans="1:14" s="624" customFormat="1" ht="13.5" customHeight="1" hidden="1">
      <c r="A36" s="1252"/>
      <c r="B36" s="1253"/>
      <c r="C36" s="1254"/>
      <c r="D36" s="1255"/>
      <c r="E36" s="1250"/>
      <c r="F36" s="1251"/>
      <c r="G36" s="702" t="s">
        <v>22</v>
      </c>
      <c r="H36" s="703">
        <f t="shared" si="8"/>
        <v>7350000</v>
      </c>
      <c r="I36" s="704">
        <f t="shared" si="9"/>
        <v>7350000</v>
      </c>
      <c r="J36" s="704">
        <f>J34+J35</f>
        <v>0</v>
      </c>
      <c r="K36" s="704">
        <f>K34+K35</f>
        <v>7350000</v>
      </c>
      <c r="L36" s="704">
        <f t="shared" si="11"/>
        <v>0</v>
      </c>
      <c r="M36" s="704">
        <f>M34+M35</f>
        <v>0</v>
      </c>
      <c r="N36" s="704">
        <f>N34+N35</f>
        <v>0</v>
      </c>
    </row>
    <row r="37" spans="1:14" s="636" customFormat="1" ht="12.75" customHeight="1" hidden="1">
      <c r="A37" s="1294" t="s">
        <v>742</v>
      </c>
      <c r="B37" s="1295"/>
      <c r="C37" s="1295"/>
      <c r="D37" s="1295"/>
      <c r="E37" s="1295"/>
      <c r="F37" s="1296"/>
      <c r="G37" s="699" t="s">
        <v>20</v>
      </c>
      <c r="H37" s="700">
        <f t="shared" si="8"/>
        <v>16642500</v>
      </c>
      <c r="I37" s="701">
        <f t="shared" si="9"/>
        <v>16642500</v>
      </c>
      <c r="J37" s="701">
        <f aca="true" t="shared" si="13" ref="J37:K39">J40+J43</f>
        <v>0</v>
      </c>
      <c r="K37" s="701">
        <f t="shared" si="13"/>
        <v>16642500</v>
      </c>
      <c r="L37" s="701">
        <f t="shared" si="11"/>
        <v>0</v>
      </c>
      <c r="M37" s="701">
        <f aca="true" t="shared" si="14" ref="M37:N39">M40+M43</f>
        <v>0</v>
      </c>
      <c r="N37" s="701">
        <f t="shared" si="14"/>
        <v>0</v>
      </c>
    </row>
    <row r="38" spans="1:14" s="636" customFormat="1" ht="12.75" customHeight="1" hidden="1">
      <c r="A38" s="1297"/>
      <c r="B38" s="1298"/>
      <c r="C38" s="1298"/>
      <c r="D38" s="1298"/>
      <c r="E38" s="1298"/>
      <c r="F38" s="1299"/>
      <c r="G38" s="699" t="s">
        <v>21</v>
      </c>
      <c r="H38" s="700">
        <f t="shared" si="8"/>
        <v>0</v>
      </c>
      <c r="I38" s="701">
        <f t="shared" si="9"/>
        <v>0</v>
      </c>
      <c r="J38" s="701">
        <f t="shared" si="13"/>
        <v>0</v>
      </c>
      <c r="K38" s="701">
        <f t="shared" si="13"/>
        <v>0</v>
      </c>
      <c r="L38" s="701">
        <f t="shared" si="11"/>
        <v>0</v>
      </c>
      <c r="M38" s="701">
        <f t="shared" si="14"/>
        <v>0</v>
      </c>
      <c r="N38" s="701">
        <f t="shared" si="14"/>
        <v>0</v>
      </c>
    </row>
    <row r="39" spans="1:14" s="636" customFormat="1" ht="12.75" customHeight="1" hidden="1">
      <c r="A39" s="1300"/>
      <c r="B39" s="1301"/>
      <c r="C39" s="1301"/>
      <c r="D39" s="1301"/>
      <c r="E39" s="1301"/>
      <c r="F39" s="1302"/>
      <c r="G39" s="699" t="s">
        <v>22</v>
      </c>
      <c r="H39" s="700">
        <f t="shared" si="8"/>
        <v>16642500</v>
      </c>
      <c r="I39" s="701">
        <f t="shared" si="9"/>
        <v>16642500</v>
      </c>
      <c r="J39" s="701">
        <f t="shared" si="13"/>
        <v>0</v>
      </c>
      <c r="K39" s="701">
        <f t="shared" si="13"/>
        <v>16642500</v>
      </c>
      <c r="L39" s="701">
        <f t="shared" si="11"/>
        <v>0</v>
      </c>
      <c r="M39" s="701">
        <f t="shared" si="14"/>
        <v>0</v>
      </c>
      <c r="N39" s="701">
        <f t="shared" si="14"/>
        <v>0</v>
      </c>
    </row>
    <row r="40" spans="1:14" s="624" customFormat="1" ht="13.5" customHeight="1" hidden="1">
      <c r="A40" s="1242" t="s">
        <v>147</v>
      </c>
      <c r="B40" s="1243"/>
      <c r="C40" s="1244" t="s">
        <v>148</v>
      </c>
      <c r="D40" s="1245"/>
      <c r="E40" s="1246" t="s">
        <v>741</v>
      </c>
      <c r="F40" s="1247"/>
      <c r="G40" s="702" t="s">
        <v>20</v>
      </c>
      <c r="H40" s="703">
        <f t="shared" si="8"/>
        <v>16600000</v>
      </c>
      <c r="I40" s="704">
        <f t="shared" si="9"/>
        <v>16600000</v>
      </c>
      <c r="J40" s="704">
        <v>0</v>
      </c>
      <c r="K40" s="704">
        <v>16600000</v>
      </c>
      <c r="L40" s="704">
        <f t="shared" si="11"/>
        <v>0</v>
      </c>
      <c r="M40" s="704">
        <v>0</v>
      </c>
      <c r="N40" s="704">
        <v>0</v>
      </c>
    </row>
    <row r="41" spans="1:14" s="624" customFormat="1" ht="13.5" customHeight="1" hidden="1">
      <c r="A41" s="1252"/>
      <c r="B41" s="1253"/>
      <c r="C41" s="1254"/>
      <c r="D41" s="1255"/>
      <c r="E41" s="1248"/>
      <c r="F41" s="1249"/>
      <c r="G41" s="702" t="s">
        <v>21</v>
      </c>
      <c r="H41" s="703">
        <f t="shared" si="8"/>
        <v>0</v>
      </c>
      <c r="I41" s="704">
        <f t="shared" si="9"/>
        <v>0</v>
      </c>
      <c r="J41" s="704">
        <v>0</v>
      </c>
      <c r="K41" s="704">
        <v>0</v>
      </c>
      <c r="L41" s="704">
        <f t="shared" si="11"/>
        <v>0</v>
      </c>
      <c r="M41" s="704">
        <v>0</v>
      </c>
      <c r="N41" s="704">
        <v>0</v>
      </c>
    </row>
    <row r="42" spans="1:14" s="624" customFormat="1" ht="13.5" customHeight="1" hidden="1">
      <c r="A42" s="1252"/>
      <c r="B42" s="1253"/>
      <c r="C42" s="1254"/>
      <c r="D42" s="1255"/>
      <c r="E42" s="1250"/>
      <c r="F42" s="1251"/>
      <c r="G42" s="702" t="s">
        <v>22</v>
      </c>
      <c r="H42" s="703">
        <f>I42+L42</f>
        <v>16600000</v>
      </c>
      <c r="I42" s="704">
        <f>J42+K42</f>
        <v>16600000</v>
      </c>
      <c r="J42" s="704">
        <f>J40+J41</f>
        <v>0</v>
      </c>
      <c r="K42" s="704">
        <f>K40+K41</f>
        <v>16600000</v>
      </c>
      <c r="L42" s="704">
        <f>M42+N42</f>
        <v>0</v>
      </c>
      <c r="M42" s="704">
        <f>M40+M41</f>
        <v>0</v>
      </c>
      <c r="N42" s="704">
        <f>N40+N41</f>
        <v>0</v>
      </c>
    </row>
    <row r="43" spans="1:14" s="624" customFormat="1" ht="13.5" customHeight="1" hidden="1">
      <c r="A43" s="1252"/>
      <c r="B43" s="1253"/>
      <c r="C43" s="1254"/>
      <c r="D43" s="1255"/>
      <c r="E43" s="1246" t="s">
        <v>743</v>
      </c>
      <c r="F43" s="1247"/>
      <c r="G43" s="702" t="s">
        <v>20</v>
      </c>
      <c r="H43" s="703">
        <f t="shared" si="8"/>
        <v>42500</v>
      </c>
      <c r="I43" s="704">
        <f t="shared" si="9"/>
        <v>42500</v>
      </c>
      <c r="J43" s="704">
        <v>0</v>
      </c>
      <c r="K43" s="704">
        <v>42500</v>
      </c>
      <c r="L43" s="704">
        <f t="shared" si="11"/>
        <v>0</v>
      </c>
      <c r="M43" s="704">
        <v>0</v>
      </c>
      <c r="N43" s="704">
        <v>0</v>
      </c>
    </row>
    <row r="44" spans="1:14" s="624" customFormat="1" ht="13.5" customHeight="1" hidden="1">
      <c r="A44" s="1252"/>
      <c r="B44" s="1253"/>
      <c r="C44" s="1254"/>
      <c r="D44" s="1255"/>
      <c r="E44" s="1248"/>
      <c r="F44" s="1249"/>
      <c r="G44" s="702" t="s">
        <v>21</v>
      </c>
      <c r="H44" s="703">
        <f t="shared" si="8"/>
        <v>0</v>
      </c>
      <c r="I44" s="704">
        <f t="shared" si="9"/>
        <v>0</v>
      </c>
      <c r="J44" s="704">
        <v>0</v>
      </c>
      <c r="K44" s="704">
        <v>0</v>
      </c>
      <c r="L44" s="704">
        <f t="shared" si="11"/>
        <v>0</v>
      </c>
      <c r="M44" s="704">
        <v>0</v>
      </c>
      <c r="N44" s="704">
        <v>0</v>
      </c>
    </row>
    <row r="45" spans="1:14" s="624" customFormat="1" ht="13.5" customHeight="1" hidden="1">
      <c r="A45" s="1256"/>
      <c r="B45" s="1257"/>
      <c r="C45" s="1258"/>
      <c r="D45" s="1259"/>
      <c r="E45" s="1250"/>
      <c r="F45" s="1251"/>
      <c r="G45" s="705" t="s">
        <v>22</v>
      </c>
      <c r="H45" s="674">
        <f>I45+L45</f>
        <v>42500</v>
      </c>
      <c r="I45" s="675">
        <f>J45+K45</f>
        <v>42500</v>
      </c>
      <c r="J45" s="675">
        <f>J43+J44</f>
        <v>0</v>
      </c>
      <c r="K45" s="675">
        <f>K43+K44</f>
        <v>42500</v>
      </c>
      <c r="L45" s="675">
        <f>M45+N45</f>
        <v>0</v>
      </c>
      <c r="M45" s="675">
        <f>M43+M44</f>
        <v>0</v>
      </c>
      <c r="N45" s="675">
        <f>N43+N44</f>
        <v>0</v>
      </c>
    </row>
    <row r="46" spans="1:14" s="636" customFormat="1" ht="13.5" customHeight="1" hidden="1">
      <c r="A46" s="1294" t="s">
        <v>744</v>
      </c>
      <c r="B46" s="1295"/>
      <c r="C46" s="1295"/>
      <c r="D46" s="1295"/>
      <c r="E46" s="1295"/>
      <c r="F46" s="1296"/>
      <c r="G46" s="699" t="s">
        <v>20</v>
      </c>
      <c r="H46" s="700">
        <f t="shared" si="8"/>
        <v>1600000</v>
      </c>
      <c r="I46" s="701">
        <f t="shared" si="9"/>
        <v>1600000</v>
      </c>
      <c r="J46" s="701">
        <f aca="true" t="shared" si="15" ref="J46:K48">J49</f>
        <v>0</v>
      </c>
      <c r="K46" s="701">
        <f t="shared" si="15"/>
        <v>1600000</v>
      </c>
      <c r="L46" s="701">
        <f t="shared" si="11"/>
        <v>0</v>
      </c>
      <c r="M46" s="701">
        <f aca="true" t="shared" si="16" ref="M46:N48">M49</f>
        <v>0</v>
      </c>
      <c r="N46" s="701">
        <f t="shared" si="16"/>
        <v>0</v>
      </c>
    </row>
    <row r="47" spans="1:14" s="636" customFormat="1" ht="13.5" customHeight="1" hidden="1">
      <c r="A47" s="1297"/>
      <c r="B47" s="1313"/>
      <c r="C47" s="1313"/>
      <c r="D47" s="1313"/>
      <c r="E47" s="1313"/>
      <c r="F47" s="1299"/>
      <c r="G47" s="699" t="s">
        <v>21</v>
      </c>
      <c r="H47" s="700">
        <f t="shared" si="8"/>
        <v>0</v>
      </c>
      <c r="I47" s="701">
        <f t="shared" si="9"/>
        <v>0</v>
      </c>
      <c r="J47" s="701">
        <f t="shared" si="15"/>
        <v>0</v>
      </c>
      <c r="K47" s="701">
        <f t="shared" si="15"/>
        <v>0</v>
      </c>
      <c r="L47" s="701">
        <f t="shared" si="11"/>
        <v>0</v>
      </c>
      <c r="M47" s="701">
        <f t="shared" si="16"/>
        <v>0</v>
      </c>
      <c r="N47" s="701">
        <f t="shared" si="16"/>
        <v>0</v>
      </c>
    </row>
    <row r="48" spans="1:14" s="636" customFormat="1" ht="13.5" customHeight="1" hidden="1">
      <c r="A48" s="1300"/>
      <c r="B48" s="1301"/>
      <c r="C48" s="1301"/>
      <c r="D48" s="1301"/>
      <c r="E48" s="1301"/>
      <c r="F48" s="1302"/>
      <c r="G48" s="699" t="s">
        <v>22</v>
      </c>
      <c r="H48" s="700">
        <f t="shared" si="8"/>
        <v>1600000</v>
      </c>
      <c r="I48" s="701">
        <f t="shared" si="9"/>
        <v>1600000</v>
      </c>
      <c r="J48" s="701">
        <f t="shared" si="15"/>
        <v>0</v>
      </c>
      <c r="K48" s="701">
        <f t="shared" si="15"/>
        <v>1600000</v>
      </c>
      <c r="L48" s="701">
        <f t="shared" si="11"/>
        <v>0</v>
      </c>
      <c r="M48" s="701">
        <f t="shared" si="16"/>
        <v>0</v>
      </c>
      <c r="N48" s="701">
        <f t="shared" si="16"/>
        <v>0</v>
      </c>
    </row>
    <row r="49" spans="1:14" s="624" customFormat="1" ht="13.5" customHeight="1" hidden="1">
      <c r="A49" s="1242" t="s">
        <v>147</v>
      </c>
      <c r="B49" s="1243"/>
      <c r="C49" s="1244" t="s">
        <v>148</v>
      </c>
      <c r="D49" s="1245"/>
      <c r="E49" s="1246" t="s">
        <v>741</v>
      </c>
      <c r="F49" s="1247"/>
      <c r="G49" s="702" t="s">
        <v>20</v>
      </c>
      <c r="H49" s="703">
        <f t="shared" si="8"/>
        <v>1600000</v>
      </c>
      <c r="I49" s="704">
        <f t="shared" si="9"/>
        <v>1600000</v>
      </c>
      <c r="J49" s="704">
        <v>0</v>
      </c>
      <c r="K49" s="704">
        <v>1600000</v>
      </c>
      <c r="L49" s="704">
        <f t="shared" si="11"/>
        <v>0</v>
      </c>
      <c r="M49" s="704">
        <v>0</v>
      </c>
      <c r="N49" s="704">
        <v>0</v>
      </c>
    </row>
    <row r="50" spans="1:14" s="624" customFormat="1" ht="13.5" customHeight="1" hidden="1">
      <c r="A50" s="1252"/>
      <c r="B50" s="1253"/>
      <c r="C50" s="1254"/>
      <c r="D50" s="1255"/>
      <c r="E50" s="1248"/>
      <c r="F50" s="1249"/>
      <c r="G50" s="702" t="s">
        <v>21</v>
      </c>
      <c r="H50" s="703">
        <f t="shared" si="8"/>
        <v>0</v>
      </c>
      <c r="I50" s="704">
        <f t="shared" si="9"/>
        <v>0</v>
      </c>
      <c r="J50" s="704">
        <v>0</v>
      </c>
      <c r="K50" s="704">
        <v>0</v>
      </c>
      <c r="L50" s="704">
        <f t="shared" si="11"/>
        <v>0</v>
      </c>
      <c r="M50" s="704">
        <v>0</v>
      </c>
      <c r="N50" s="704">
        <v>0</v>
      </c>
    </row>
    <row r="51" spans="1:14" s="624" customFormat="1" ht="13.5" customHeight="1" hidden="1">
      <c r="A51" s="1252"/>
      <c r="B51" s="1253"/>
      <c r="C51" s="1254"/>
      <c r="D51" s="1255"/>
      <c r="E51" s="1250"/>
      <c r="F51" s="1251"/>
      <c r="G51" s="702" t="s">
        <v>22</v>
      </c>
      <c r="H51" s="703">
        <f>I51+L51</f>
        <v>1600000</v>
      </c>
      <c r="I51" s="704">
        <f>J51+K51</f>
        <v>1600000</v>
      </c>
      <c r="J51" s="704">
        <f>J49+J50</f>
        <v>0</v>
      </c>
      <c r="K51" s="704">
        <f>K49+K50</f>
        <v>1600000</v>
      </c>
      <c r="L51" s="704">
        <f>M51+N51</f>
        <v>0</v>
      </c>
      <c r="M51" s="704">
        <f>M49+M50</f>
        <v>0</v>
      </c>
      <c r="N51" s="704">
        <f>N49+N50</f>
        <v>0</v>
      </c>
    </row>
    <row r="52" spans="1:14" s="636" customFormat="1" ht="13.5" customHeight="1" hidden="1">
      <c r="A52" s="1294" t="s">
        <v>156</v>
      </c>
      <c r="B52" s="1295"/>
      <c r="C52" s="1295"/>
      <c r="D52" s="1295"/>
      <c r="E52" s="1295"/>
      <c r="F52" s="1296"/>
      <c r="G52" s="699" t="s">
        <v>20</v>
      </c>
      <c r="H52" s="700">
        <f t="shared" si="8"/>
        <v>8210000</v>
      </c>
      <c r="I52" s="701">
        <f t="shared" si="9"/>
        <v>8210000</v>
      </c>
      <c r="J52" s="701">
        <f aca="true" t="shared" si="17" ref="J52:K54">J55</f>
        <v>0</v>
      </c>
      <c r="K52" s="701">
        <f t="shared" si="17"/>
        <v>8210000</v>
      </c>
      <c r="L52" s="701">
        <f t="shared" si="11"/>
        <v>0</v>
      </c>
      <c r="M52" s="701">
        <f aca="true" t="shared" si="18" ref="M52:N54">M55</f>
        <v>0</v>
      </c>
      <c r="N52" s="701">
        <f t="shared" si="18"/>
        <v>0</v>
      </c>
    </row>
    <row r="53" spans="1:14" s="636" customFormat="1" ht="13.5" customHeight="1" hidden="1">
      <c r="A53" s="1297"/>
      <c r="B53" s="1298"/>
      <c r="C53" s="1298"/>
      <c r="D53" s="1298"/>
      <c r="E53" s="1298"/>
      <c r="F53" s="1299"/>
      <c r="G53" s="699" t="s">
        <v>21</v>
      </c>
      <c r="H53" s="700">
        <f t="shared" si="8"/>
        <v>0</v>
      </c>
      <c r="I53" s="701">
        <f t="shared" si="9"/>
        <v>0</v>
      </c>
      <c r="J53" s="701">
        <f t="shared" si="17"/>
        <v>0</v>
      </c>
      <c r="K53" s="701">
        <f t="shared" si="17"/>
        <v>0</v>
      </c>
      <c r="L53" s="701">
        <f t="shared" si="11"/>
        <v>0</v>
      </c>
      <c r="M53" s="701">
        <f t="shared" si="18"/>
        <v>0</v>
      </c>
      <c r="N53" s="701">
        <f t="shared" si="18"/>
        <v>0</v>
      </c>
    </row>
    <row r="54" spans="1:14" s="636" customFormat="1" ht="13.5" customHeight="1" hidden="1">
      <c r="A54" s="1300"/>
      <c r="B54" s="1301"/>
      <c r="C54" s="1301"/>
      <c r="D54" s="1301"/>
      <c r="E54" s="1301"/>
      <c r="F54" s="1302"/>
      <c r="G54" s="699" t="s">
        <v>22</v>
      </c>
      <c r="H54" s="700">
        <f t="shared" si="8"/>
        <v>8210000</v>
      </c>
      <c r="I54" s="701">
        <f t="shared" si="9"/>
        <v>8210000</v>
      </c>
      <c r="J54" s="701">
        <f t="shared" si="17"/>
        <v>0</v>
      </c>
      <c r="K54" s="701">
        <f t="shared" si="17"/>
        <v>8210000</v>
      </c>
      <c r="L54" s="701">
        <f t="shared" si="11"/>
        <v>0</v>
      </c>
      <c r="M54" s="701">
        <f t="shared" si="18"/>
        <v>0</v>
      </c>
      <c r="N54" s="701">
        <f t="shared" si="18"/>
        <v>0</v>
      </c>
    </row>
    <row r="55" spans="1:14" s="624" customFormat="1" ht="13.5" customHeight="1" hidden="1">
      <c r="A55" s="1242" t="s">
        <v>147</v>
      </c>
      <c r="B55" s="1243"/>
      <c r="C55" s="1244" t="s">
        <v>154</v>
      </c>
      <c r="D55" s="1245"/>
      <c r="E55" s="1246" t="s">
        <v>741</v>
      </c>
      <c r="F55" s="1247"/>
      <c r="G55" s="702" t="s">
        <v>20</v>
      </c>
      <c r="H55" s="703">
        <f t="shared" si="8"/>
        <v>8210000</v>
      </c>
      <c r="I55" s="704">
        <f t="shared" si="9"/>
        <v>8210000</v>
      </c>
      <c r="J55" s="704">
        <v>0</v>
      </c>
      <c r="K55" s="704">
        <v>8210000</v>
      </c>
      <c r="L55" s="704">
        <f t="shared" si="11"/>
        <v>0</v>
      </c>
      <c r="M55" s="704">
        <v>0</v>
      </c>
      <c r="N55" s="704">
        <v>0</v>
      </c>
    </row>
    <row r="56" spans="1:14" s="624" customFormat="1" ht="13.5" customHeight="1" hidden="1">
      <c r="A56" s="1252"/>
      <c r="B56" s="1253"/>
      <c r="C56" s="1254"/>
      <c r="D56" s="1255"/>
      <c r="E56" s="1248"/>
      <c r="F56" s="1249"/>
      <c r="G56" s="702" t="s">
        <v>21</v>
      </c>
      <c r="H56" s="703">
        <f t="shared" si="8"/>
        <v>0</v>
      </c>
      <c r="I56" s="704">
        <f t="shared" si="9"/>
        <v>0</v>
      </c>
      <c r="J56" s="704">
        <v>0</v>
      </c>
      <c r="K56" s="704">
        <v>0</v>
      </c>
      <c r="L56" s="704">
        <f t="shared" si="11"/>
        <v>0</v>
      </c>
      <c r="M56" s="704">
        <v>0</v>
      </c>
      <c r="N56" s="704">
        <v>0</v>
      </c>
    </row>
    <row r="57" spans="1:14" s="624" customFormat="1" ht="13.5" customHeight="1" hidden="1">
      <c r="A57" s="1252"/>
      <c r="B57" s="1253"/>
      <c r="C57" s="1254"/>
      <c r="D57" s="1255"/>
      <c r="E57" s="1250"/>
      <c r="F57" s="1251"/>
      <c r="G57" s="702" t="s">
        <v>22</v>
      </c>
      <c r="H57" s="703">
        <f>I57+L57</f>
        <v>8210000</v>
      </c>
      <c r="I57" s="704">
        <f>J57+K57</f>
        <v>8210000</v>
      </c>
      <c r="J57" s="704">
        <f>J55+J56</f>
        <v>0</v>
      </c>
      <c r="K57" s="704">
        <f>K55+K56</f>
        <v>8210000</v>
      </c>
      <c r="L57" s="704">
        <f>M57+N57</f>
        <v>0</v>
      </c>
      <c r="M57" s="704">
        <f>M55+M56</f>
        <v>0</v>
      </c>
      <c r="N57" s="704">
        <f>N55+N56</f>
        <v>0</v>
      </c>
    </row>
    <row r="58" spans="1:14" s="636" customFormat="1" ht="13.5" customHeight="1" hidden="1">
      <c r="A58" s="1294" t="s">
        <v>745</v>
      </c>
      <c r="B58" s="1295"/>
      <c r="C58" s="1295"/>
      <c r="D58" s="1295"/>
      <c r="E58" s="1295"/>
      <c r="F58" s="1296"/>
      <c r="G58" s="699" t="s">
        <v>20</v>
      </c>
      <c r="H58" s="700">
        <f t="shared" si="8"/>
        <v>2130000</v>
      </c>
      <c r="I58" s="701">
        <f t="shared" si="9"/>
        <v>2130000</v>
      </c>
      <c r="J58" s="701">
        <f aca="true" t="shared" si="19" ref="J58:K60">J61+J64</f>
        <v>0</v>
      </c>
      <c r="K58" s="701">
        <f t="shared" si="19"/>
        <v>2130000</v>
      </c>
      <c r="L58" s="701">
        <f t="shared" si="11"/>
        <v>0</v>
      </c>
      <c r="M58" s="701">
        <f aca="true" t="shared" si="20" ref="M58:N60">M61+M64</f>
        <v>0</v>
      </c>
      <c r="N58" s="701">
        <f t="shared" si="20"/>
        <v>0</v>
      </c>
    </row>
    <row r="59" spans="1:14" s="636" customFormat="1" ht="13.5" customHeight="1" hidden="1">
      <c r="A59" s="1297"/>
      <c r="B59" s="1298"/>
      <c r="C59" s="1298"/>
      <c r="D59" s="1298"/>
      <c r="E59" s="1298"/>
      <c r="F59" s="1299"/>
      <c r="G59" s="699" t="s">
        <v>21</v>
      </c>
      <c r="H59" s="700">
        <f t="shared" si="8"/>
        <v>0</v>
      </c>
      <c r="I59" s="701">
        <f t="shared" si="9"/>
        <v>0</v>
      </c>
      <c r="J59" s="701">
        <f t="shared" si="19"/>
        <v>0</v>
      </c>
      <c r="K59" s="701">
        <f t="shared" si="19"/>
        <v>0</v>
      </c>
      <c r="L59" s="701">
        <f t="shared" si="11"/>
        <v>0</v>
      </c>
      <c r="M59" s="701">
        <f t="shared" si="20"/>
        <v>0</v>
      </c>
      <c r="N59" s="701">
        <f t="shared" si="20"/>
        <v>0</v>
      </c>
    </row>
    <row r="60" spans="1:14" s="636" customFormat="1" ht="13.5" customHeight="1" hidden="1">
      <c r="A60" s="1300"/>
      <c r="B60" s="1301"/>
      <c r="C60" s="1301"/>
      <c r="D60" s="1301"/>
      <c r="E60" s="1301"/>
      <c r="F60" s="1302"/>
      <c r="G60" s="699" t="s">
        <v>22</v>
      </c>
      <c r="H60" s="700">
        <f t="shared" si="8"/>
        <v>2130000</v>
      </c>
      <c r="I60" s="701">
        <f t="shared" si="9"/>
        <v>2130000</v>
      </c>
      <c r="J60" s="701">
        <f t="shared" si="19"/>
        <v>0</v>
      </c>
      <c r="K60" s="701">
        <f t="shared" si="19"/>
        <v>2130000</v>
      </c>
      <c r="L60" s="701">
        <f t="shared" si="11"/>
        <v>0</v>
      </c>
      <c r="M60" s="701">
        <f t="shared" si="20"/>
        <v>0</v>
      </c>
      <c r="N60" s="701">
        <f t="shared" si="20"/>
        <v>0</v>
      </c>
    </row>
    <row r="61" spans="1:14" s="624" customFormat="1" ht="13.5" customHeight="1" hidden="1">
      <c r="A61" s="1242" t="s">
        <v>147</v>
      </c>
      <c r="B61" s="1243"/>
      <c r="C61" s="1244" t="s">
        <v>746</v>
      </c>
      <c r="D61" s="1245"/>
      <c r="E61" s="1246" t="s">
        <v>741</v>
      </c>
      <c r="F61" s="1247"/>
      <c r="G61" s="702" t="s">
        <v>20</v>
      </c>
      <c r="H61" s="703">
        <f t="shared" si="8"/>
        <v>2000000</v>
      </c>
      <c r="I61" s="704">
        <f t="shared" si="9"/>
        <v>2000000</v>
      </c>
      <c r="J61" s="704">
        <v>0</v>
      </c>
      <c r="K61" s="704">
        <v>2000000</v>
      </c>
      <c r="L61" s="704">
        <f t="shared" si="11"/>
        <v>0</v>
      </c>
      <c r="M61" s="704">
        <v>0</v>
      </c>
      <c r="N61" s="704">
        <v>0</v>
      </c>
    </row>
    <row r="62" spans="1:14" s="624" customFormat="1" ht="13.5" customHeight="1" hidden="1">
      <c r="A62" s="1252"/>
      <c r="B62" s="1253"/>
      <c r="C62" s="1254"/>
      <c r="D62" s="1255"/>
      <c r="E62" s="1248"/>
      <c r="F62" s="1249"/>
      <c r="G62" s="702" t="s">
        <v>21</v>
      </c>
      <c r="H62" s="703">
        <f t="shared" si="8"/>
        <v>0</v>
      </c>
      <c r="I62" s="704">
        <f t="shared" si="9"/>
        <v>0</v>
      </c>
      <c r="J62" s="704">
        <v>0</v>
      </c>
      <c r="K62" s="704">
        <v>0</v>
      </c>
      <c r="L62" s="704">
        <f t="shared" si="11"/>
        <v>0</v>
      </c>
      <c r="M62" s="704">
        <v>0</v>
      </c>
      <c r="N62" s="704">
        <v>0</v>
      </c>
    </row>
    <row r="63" spans="1:14" s="624" customFormat="1" ht="13.5" customHeight="1" hidden="1">
      <c r="A63" s="1252"/>
      <c r="B63" s="1253"/>
      <c r="C63" s="1254"/>
      <c r="D63" s="1255"/>
      <c r="E63" s="1250"/>
      <c r="F63" s="1251"/>
      <c r="G63" s="702" t="s">
        <v>22</v>
      </c>
      <c r="H63" s="703">
        <f>I63+L63</f>
        <v>2000000</v>
      </c>
      <c r="I63" s="704">
        <f>J63+K63</f>
        <v>2000000</v>
      </c>
      <c r="J63" s="704">
        <f>J61+J62</f>
        <v>0</v>
      </c>
      <c r="K63" s="704">
        <f>K61+K62</f>
        <v>2000000</v>
      </c>
      <c r="L63" s="704">
        <f>M63+N63</f>
        <v>0</v>
      </c>
      <c r="M63" s="704">
        <f>M61+M62</f>
        <v>0</v>
      </c>
      <c r="N63" s="704">
        <f>N61+N62</f>
        <v>0</v>
      </c>
    </row>
    <row r="64" spans="1:14" s="624" customFormat="1" ht="13.5" customHeight="1" hidden="1">
      <c r="A64" s="1252"/>
      <c r="B64" s="1253"/>
      <c r="C64" s="1254"/>
      <c r="D64" s="1255"/>
      <c r="E64" s="1246" t="s">
        <v>747</v>
      </c>
      <c r="F64" s="1247"/>
      <c r="G64" s="702" t="s">
        <v>20</v>
      </c>
      <c r="H64" s="703">
        <f t="shared" si="8"/>
        <v>130000</v>
      </c>
      <c r="I64" s="704">
        <f t="shared" si="9"/>
        <v>130000</v>
      </c>
      <c r="J64" s="704">
        <v>0</v>
      </c>
      <c r="K64" s="704">
        <v>130000</v>
      </c>
      <c r="L64" s="704">
        <f t="shared" si="11"/>
        <v>0</v>
      </c>
      <c r="M64" s="704">
        <v>0</v>
      </c>
      <c r="N64" s="704">
        <v>0</v>
      </c>
    </row>
    <row r="65" spans="1:14" s="624" customFormat="1" ht="13.5" customHeight="1" hidden="1">
      <c r="A65" s="1252"/>
      <c r="B65" s="1253"/>
      <c r="C65" s="1254"/>
      <c r="D65" s="1255"/>
      <c r="E65" s="1248"/>
      <c r="F65" s="1249"/>
      <c r="G65" s="702" t="s">
        <v>21</v>
      </c>
      <c r="H65" s="703">
        <f t="shared" si="8"/>
        <v>0</v>
      </c>
      <c r="I65" s="704">
        <f t="shared" si="9"/>
        <v>0</v>
      </c>
      <c r="J65" s="704">
        <v>0</v>
      </c>
      <c r="K65" s="704">
        <v>0</v>
      </c>
      <c r="L65" s="704">
        <f t="shared" si="11"/>
        <v>0</v>
      </c>
      <c r="M65" s="704">
        <v>0</v>
      </c>
      <c r="N65" s="704">
        <v>0</v>
      </c>
    </row>
    <row r="66" spans="1:14" s="624" customFormat="1" ht="13.5" customHeight="1" hidden="1">
      <c r="A66" s="1252"/>
      <c r="B66" s="1253"/>
      <c r="C66" s="1254"/>
      <c r="D66" s="1255"/>
      <c r="E66" s="1250"/>
      <c r="F66" s="1251"/>
      <c r="G66" s="702" t="s">
        <v>22</v>
      </c>
      <c r="H66" s="703">
        <f>I66+L66</f>
        <v>130000</v>
      </c>
      <c r="I66" s="704">
        <f>J66+K66</f>
        <v>130000</v>
      </c>
      <c r="J66" s="704">
        <f>J64+J65</f>
        <v>0</v>
      </c>
      <c r="K66" s="704">
        <f>K64+K65</f>
        <v>130000</v>
      </c>
      <c r="L66" s="704">
        <f>M66+N66</f>
        <v>0</v>
      </c>
      <c r="M66" s="704">
        <f>M64+M65</f>
        <v>0</v>
      </c>
      <c r="N66" s="704">
        <f>N64+N65</f>
        <v>0</v>
      </c>
    </row>
    <row r="67" spans="1:14" s="636" customFormat="1" ht="13.5" customHeight="1" hidden="1">
      <c r="A67" s="1294" t="s">
        <v>748</v>
      </c>
      <c r="B67" s="1295"/>
      <c r="C67" s="1295"/>
      <c r="D67" s="1295"/>
      <c r="E67" s="1295"/>
      <c r="F67" s="1296"/>
      <c r="G67" s="699" t="s">
        <v>20</v>
      </c>
      <c r="H67" s="700">
        <f t="shared" si="8"/>
        <v>2590000</v>
      </c>
      <c r="I67" s="701">
        <f t="shared" si="9"/>
        <v>2590000</v>
      </c>
      <c r="J67" s="701">
        <f aca="true" t="shared" si="21" ref="J67:K69">J70</f>
        <v>0</v>
      </c>
      <c r="K67" s="701">
        <f t="shared" si="21"/>
        <v>2590000</v>
      </c>
      <c r="L67" s="701">
        <f t="shared" si="11"/>
        <v>0</v>
      </c>
      <c r="M67" s="701">
        <f aca="true" t="shared" si="22" ref="M67:N69">M70</f>
        <v>0</v>
      </c>
      <c r="N67" s="701">
        <f t="shared" si="22"/>
        <v>0</v>
      </c>
    </row>
    <row r="68" spans="1:14" s="636" customFormat="1" ht="13.5" customHeight="1" hidden="1">
      <c r="A68" s="1297"/>
      <c r="B68" s="1298"/>
      <c r="C68" s="1298"/>
      <c r="D68" s="1298"/>
      <c r="E68" s="1298"/>
      <c r="F68" s="1299"/>
      <c r="G68" s="699" t="s">
        <v>21</v>
      </c>
      <c r="H68" s="700">
        <f t="shared" si="8"/>
        <v>0</v>
      </c>
      <c r="I68" s="701">
        <f t="shared" si="9"/>
        <v>0</v>
      </c>
      <c r="J68" s="701">
        <f t="shared" si="21"/>
        <v>0</v>
      </c>
      <c r="K68" s="701">
        <f t="shared" si="21"/>
        <v>0</v>
      </c>
      <c r="L68" s="701">
        <f t="shared" si="11"/>
        <v>0</v>
      </c>
      <c r="M68" s="701">
        <f t="shared" si="22"/>
        <v>0</v>
      </c>
      <c r="N68" s="701">
        <f t="shared" si="22"/>
        <v>0</v>
      </c>
    </row>
    <row r="69" spans="1:14" s="636" customFormat="1" ht="13.5" customHeight="1" hidden="1">
      <c r="A69" s="1300"/>
      <c r="B69" s="1301"/>
      <c r="C69" s="1301"/>
      <c r="D69" s="1301"/>
      <c r="E69" s="1301"/>
      <c r="F69" s="1302"/>
      <c r="G69" s="699" t="s">
        <v>22</v>
      </c>
      <c r="H69" s="700">
        <f t="shared" si="8"/>
        <v>2590000</v>
      </c>
      <c r="I69" s="701">
        <f t="shared" si="9"/>
        <v>2590000</v>
      </c>
      <c r="J69" s="701">
        <f t="shared" si="21"/>
        <v>0</v>
      </c>
      <c r="K69" s="701">
        <f t="shared" si="21"/>
        <v>2590000</v>
      </c>
      <c r="L69" s="701">
        <f t="shared" si="11"/>
        <v>0</v>
      </c>
      <c r="M69" s="701">
        <f t="shared" si="22"/>
        <v>0</v>
      </c>
      <c r="N69" s="701">
        <f t="shared" si="22"/>
        <v>0</v>
      </c>
    </row>
    <row r="70" spans="1:14" s="624" customFormat="1" ht="13.5" customHeight="1" hidden="1">
      <c r="A70" s="1242" t="s">
        <v>147</v>
      </c>
      <c r="B70" s="1243"/>
      <c r="C70" s="1244" t="s">
        <v>746</v>
      </c>
      <c r="D70" s="1245"/>
      <c r="E70" s="1246" t="s">
        <v>741</v>
      </c>
      <c r="F70" s="1247"/>
      <c r="G70" s="702" t="s">
        <v>20</v>
      </c>
      <c r="H70" s="703">
        <f t="shared" si="8"/>
        <v>2590000</v>
      </c>
      <c r="I70" s="704">
        <f t="shared" si="9"/>
        <v>2590000</v>
      </c>
      <c r="J70" s="704">
        <v>0</v>
      </c>
      <c r="K70" s="704">
        <v>2590000</v>
      </c>
      <c r="L70" s="704">
        <f t="shared" si="11"/>
        <v>0</v>
      </c>
      <c r="M70" s="704">
        <v>0</v>
      </c>
      <c r="N70" s="704">
        <v>0</v>
      </c>
    </row>
    <row r="71" spans="1:14" s="624" customFormat="1" ht="13.5" customHeight="1" hidden="1">
      <c r="A71" s="1252"/>
      <c r="B71" s="1253"/>
      <c r="C71" s="1254"/>
      <c r="D71" s="1255"/>
      <c r="E71" s="1248"/>
      <c r="F71" s="1249"/>
      <c r="G71" s="702" t="s">
        <v>21</v>
      </c>
      <c r="H71" s="703">
        <f t="shared" si="8"/>
        <v>0</v>
      </c>
      <c r="I71" s="704">
        <f t="shared" si="9"/>
        <v>0</v>
      </c>
      <c r="J71" s="704">
        <v>0</v>
      </c>
      <c r="K71" s="704">
        <v>0</v>
      </c>
      <c r="L71" s="704">
        <f t="shared" si="11"/>
        <v>0</v>
      </c>
      <c r="M71" s="704">
        <v>0</v>
      </c>
      <c r="N71" s="704">
        <v>0</v>
      </c>
    </row>
    <row r="72" spans="1:14" s="624" customFormat="1" ht="13.5" customHeight="1" hidden="1">
      <c r="A72" s="1252"/>
      <c r="B72" s="1253"/>
      <c r="C72" s="1254"/>
      <c r="D72" s="1255"/>
      <c r="E72" s="1250"/>
      <c r="F72" s="1251"/>
      <c r="G72" s="702" t="s">
        <v>22</v>
      </c>
      <c r="H72" s="703">
        <f>I72+L72</f>
        <v>2590000</v>
      </c>
      <c r="I72" s="704">
        <f>J72+K72</f>
        <v>2590000</v>
      </c>
      <c r="J72" s="704">
        <f>J70+J71</f>
        <v>0</v>
      </c>
      <c r="K72" s="704">
        <f>K70+K71</f>
        <v>2590000</v>
      </c>
      <c r="L72" s="704">
        <f>M72+N72</f>
        <v>0</v>
      </c>
      <c r="M72" s="704">
        <f>M70+M71</f>
        <v>0</v>
      </c>
      <c r="N72" s="704">
        <f>N70+N71</f>
        <v>0</v>
      </c>
    </row>
    <row r="73" spans="1:14" s="636" customFormat="1" ht="13.5" customHeight="1" hidden="1">
      <c r="A73" s="1294" t="s">
        <v>749</v>
      </c>
      <c r="B73" s="1295"/>
      <c r="C73" s="1295"/>
      <c r="D73" s="1295"/>
      <c r="E73" s="1295"/>
      <c r="F73" s="1296"/>
      <c r="G73" s="699" t="s">
        <v>20</v>
      </c>
      <c r="H73" s="700">
        <f t="shared" si="8"/>
        <v>815130</v>
      </c>
      <c r="I73" s="701">
        <f t="shared" si="9"/>
        <v>815130</v>
      </c>
      <c r="J73" s="701">
        <f aca="true" t="shared" si="23" ref="J73:K75">J76+J85</f>
        <v>0</v>
      </c>
      <c r="K73" s="701">
        <f t="shared" si="23"/>
        <v>815130</v>
      </c>
      <c r="L73" s="701">
        <f t="shared" si="11"/>
        <v>0</v>
      </c>
      <c r="M73" s="701">
        <f aca="true" t="shared" si="24" ref="M73:N75">M76+M85</f>
        <v>0</v>
      </c>
      <c r="N73" s="701">
        <f t="shared" si="24"/>
        <v>0</v>
      </c>
    </row>
    <row r="74" spans="1:14" s="636" customFormat="1" ht="13.5" customHeight="1" hidden="1">
      <c r="A74" s="1297"/>
      <c r="B74" s="1298"/>
      <c r="C74" s="1298"/>
      <c r="D74" s="1298"/>
      <c r="E74" s="1298"/>
      <c r="F74" s="1299"/>
      <c r="G74" s="699" t="s">
        <v>21</v>
      </c>
      <c r="H74" s="700">
        <f t="shared" si="8"/>
        <v>0</v>
      </c>
      <c r="I74" s="701">
        <f t="shared" si="9"/>
        <v>0</v>
      </c>
      <c r="J74" s="701">
        <f t="shared" si="23"/>
        <v>0</v>
      </c>
      <c r="K74" s="701">
        <f t="shared" si="23"/>
        <v>0</v>
      </c>
      <c r="L74" s="701">
        <f t="shared" si="11"/>
        <v>0</v>
      </c>
      <c r="M74" s="701">
        <f t="shared" si="24"/>
        <v>0</v>
      </c>
      <c r="N74" s="701">
        <f t="shared" si="24"/>
        <v>0</v>
      </c>
    </row>
    <row r="75" spans="1:14" s="636" customFormat="1" ht="13.5" customHeight="1" hidden="1">
      <c r="A75" s="1300"/>
      <c r="B75" s="1301"/>
      <c r="C75" s="1301"/>
      <c r="D75" s="1301"/>
      <c r="E75" s="1301"/>
      <c r="F75" s="1302"/>
      <c r="G75" s="699" t="s">
        <v>22</v>
      </c>
      <c r="H75" s="700">
        <f t="shared" si="8"/>
        <v>815130</v>
      </c>
      <c r="I75" s="701">
        <f t="shared" si="9"/>
        <v>815130</v>
      </c>
      <c r="J75" s="701">
        <f t="shared" si="23"/>
        <v>0</v>
      </c>
      <c r="K75" s="701">
        <f t="shared" si="23"/>
        <v>815130</v>
      </c>
      <c r="L75" s="701">
        <f t="shared" si="11"/>
        <v>0</v>
      </c>
      <c r="M75" s="701">
        <f t="shared" si="24"/>
        <v>0</v>
      </c>
      <c r="N75" s="701">
        <f t="shared" si="24"/>
        <v>0</v>
      </c>
    </row>
    <row r="76" spans="1:14" s="624" customFormat="1" ht="13.5" customHeight="1" hidden="1">
      <c r="A76" s="1242" t="s">
        <v>147</v>
      </c>
      <c r="B76" s="1243"/>
      <c r="C76" s="1244" t="s">
        <v>746</v>
      </c>
      <c r="D76" s="1245"/>
      <c r="E76" s="1246" t="s">
        <v>750</v>
      </c>
      <c r="F76" s="1247"/>
      <c r="G76" s="702" t="s">
        <v>20</v>
      </c>
      <c r="H76" s="703">
        <f t="shared" si="8"/>
        <v>785130</v>
      </c>
      <c r="I76" s="704">
        <f t="shared" si="9"/>
        <v>785130</v>
      </c>
      <c r="J76" s="704">
        <f aca="true" t="shared" si="25" ref="J76:K78">J79+J82</f>
        <v>0</v>
      </c>
      <c r="K76" s="704">
        <f t="shared" si="25"/>
        <v>785130</v>
      </c>
      <c r="L76" s="704">
        <f t="shared" si="11"/>
        <v>0</v>
      </c>
      <c r="M76" s="704">
        <f aca="true" t="shared" si="26" ref="M76:N78">M79+M82</f>
        <v>0</v>
      </c>
      <c r="N76" s="704">
        <f t="shared" si="26"/>
        <v>0</v>
      </c>
    </row>
    <row r="77" spans="1:14" s="624" customFormat="1" ht="13.5" customHeight="1" hidden="1">
      <c r="A77" s="1252"/>
      <c r="B77" s="1253"/>
      <c r="C77" s="1254"/>
      <c r="D77" s="1255"/>
      <c r="E77" s="1248"/>
      <c r="F77" s="1249"/>
      <c r="G77" s="702" t="s">
        <v>21</v>
      </c>
      <c r="H77" s="703">
        <f t="shared" si="8"/>
        <v>0</v>
      </c>
      <c r="I77" s="704">
        <f t="shared" si="9"/>
        <v>0</v>
      </c>
      <c r="J77" s="704">
        <f t="shared" si="25"/>
        <v>0</v>
      </c>
      <c r="K77" s="704">
        <f t="shared" si="25"/>
        <v>0</v>
      </c>
      <c r="L77" s="704">
        <f t="shared" si="11"/>
        <v>0</v>
      </c>
      <c r="M77" s="704">
        <f t="shared" si="26"/>
        <v>0</v>
      </c>
      <c r="N77" s="704">
        <f t="shared" si="26"/>
        <v>0</v>
      </c>
    </row>
    <row r="78" spans="1:14" s="624" customFormat="1" ht="13.5" customHeight="1" hidden="1">
      <c r="A78" s="1252"/>
      <c r="B78" s="1253"/>
      <c r="C78" s="1254"/>
      <c r="D78" s="1255"/>
      <c r="E78" s="1250"/>
      <c r="F78" s="1251"/>
      <c r="G78" s="702" t="s">
        <v>22</v>
      </c>
      <c r="H78" s="703">
        <f t="shared" si="8"/>
        <v>785130</v>
      </c>
      <c r="I78" s="704">
        <f t="shared" si="9"/>
        <v>785130</v>
      </c>
      <c r="J78" s="704">
        <f t="shared" si="25"/>
        <v>0</v>
      </c>
      <c r="K78" s="704">
        <f t="shared" si="25"/>
        <v>785130</v>
      </c>
      <c r="L78" s="704">
        <f t="shared" si="11"/>
        <v>0</v>
      </c>
      <c r="M78" s="704">
        <f t="shared" si="26"/>
        <v>0</v>
      </c>
      <c r="N78" s="704">
        <f t="shared" si="26"/>
        <v>0</v>
      </c>
    </row>
    <row r="79" spans="1:14" s="709" customFormat="1" ht="13.5" customHeight="1" hidden="1">
      <c r="A79" s="1303"/>
      <c r="B79" s="1304"/>
      <c r="C79" s="1305"/>
      <c r="D79" s="1306"/>
      <c r="E79" s="1307" t="s">
        <v>751</v>
      </c>
      <c r="F79" s="1308"/>
      <c r="G79" s="706" t="s">
        <v>20</v>
      </c>
      <c r="H79" s="707">
        <f t="shared" si="8"/>
        <v>720000</v>
      </c>
      <c r="I79" s="708">
        <f t="shared" si="9"/>
        <v>720000</v>
      </c>
      <c r="J79" s="708"/>
      <c r="K79" s="708">
        <v>720000</v>
      </c>
      <c r="L79" s="708">
        <f t="shared" si="11"/>
        <v>0</v>
      </c>
      <c r="M79" s="708"/>
      <c r="N79" s="708"/>
    </row>
    <row r="80" spans="1:14" s="709" customFormat="1" ht="13.5" customHeight="1" hidden="1">
      <c r="A80" s="1303"/>
      <c r="B80" s="1304"/>
      <c r="C80" s="1305"/>
      <c r="D80" s="1306"/>
      <c r="E80" s="1248"/>
      <c r="F80" s="1249"/>
      <c r="G80" s="706" t="s">
        <v>21</v>
      </c>
      <c r="H80" s="707">
        <f t="shared" si="8"/>
        <v>0</v>
      </c>
      <c r="I80" s="708">
        <f t="shared" si="9"/>
        <v>0</v>
      </c>
      <c r="J80" s="708"/>
      <c r="K80" s="708">
        <v>0</v>
      </c>
      <c r="L80" s="708">
        <f t="shared" si="11"/>
        <v>0</v>
      </c>
      <c r="M80" s="708"/>
      <c r="N80" s="708"/>
    </row>
    <row r="81" spans="1:14" s="709" customFormat="1" ht="13.5" customHeight="1" hidden="1">
      <c r="A81" s="1303"/>
      <c r="B81" s="1304"/>
      <c r="C81" s="1305"/>
      <c r="D81" s="1306"/>
      <c r="E81" s="1250"/>
      <c r="F81" s="1251"/>
      <c r="G81" s="706" t="s">
        <v>22</v>
      </c>
      <c r="H81" s="707">
        <f t="shared" si="8"/>
        <v>720000</v>
      </c>
      <c r="I81" s="708">
        <f t="shared" si="9"/>
        <v>720000</v>
      </c>
      <c r="J81" s="708">
        <f>J79+J80</f>
        <v>0</v>
      </c>
      <c r="K81" s="708">
        <f>K79+K80</f>
        <v>720000</v>
      </c>
      <c r="L81" s="708">
        <f t="shared" si="11"/>
        <v>0</v>
      </c>
      <c r="M81" s="708">
        <f>M79+M80</f>
        <v>0</v>
      </c>
      <c r="N81" s="708">
        <f>N79+N80</f>
        <v>0</v>
      </c>
    </row>
    <row r="82" spans="1:14" s="709" customFormat="1" ht="13.5" customHeight="1" hidden="1">
      <c r="A82" s="1303"/>
      <c r="B82" s="1304"/>
      <c r="C82" s="1305"/>
      <c r="D82" s="1306"/>
      <c r="E82" s="1307" t="s">
        <v>752</v>
      </c>
      <c r="F82" s="1308"/>
      <c r="G82" s="710" t="s">
        <v>20</v>
      </c>
      <c r="H82" s="707">
        <f t="shared" si="8"/>
        <v>65130</v>
      </c>
      <c r="I82" s="708">
        <f t="shared" si="9"/>
        <v>65130</v>
      </c>
      <c r="J82" s="711"/>
      <c r="K82" s="711">
        <v>65130</v>
      </c>
      <c r="L82" s="708">
        <f t="shared" si="11"/>
        <v>0</v>
      </c>
      <c r="M82" s="711"/>
      <c r="N82" s="711"/>
    </row>
    <row r="83" spans="1:14" s="709" customFormat="1" ht="13.5" customHeight="1" hidden="1">
      <c r="A83" s="1303"/>
      <c r="B83" s="1304"/>
      <c r="C83" s="1305"/>
      <c r="D83" s="1306"/>
      <c r="E83" s="1248"/>
      <c r="F83" s="1249"/>
      <c r="G83" s="710" t="s">
        <v>21</v>
      </c>
      <c r="H83" s="707">
        <f t="shared" si="8"/>
        <v>0</v>
      </c>
      <c r="I83" s="708">
        <f t="shared" si="9"/>
        <v>0</v>
      </c>
      <c r="J83" s="711"/>
      <c r="K83" s="711">
        <v>0</v>
      </c>
      <c r="L83" s="708">
        <f t="shared" si="11"/>
        <v>0</v>
      </c>
      <c r="M83" s="711"/>
      <c r="N83" s="711"/>
    </row>
    <row r="84" spans="1:14" s="709" customFormat="1" ht="13.5" customHeight="1" hidden="1">
      <c r="A84" s="1303"/>
      <c r="B84" s="1304"/>
      <c r="C84" s="1305"/>
      <c r="D84" s="1306"/>
      <c r="E84" s="1250"/>
      <c r="F84" s="1251"/>
      <c r="G84" s="706" t="s">
        <v>22</v>
      </c>
      <c r="H84" s="707">
        <f t="shared" si="8"/>
        <v>65130</v>
      </c>
      <c r="I84" s="708">
        <f t="shared" si="9"/>
        <v>65130</v>
      </c>
      <c r="J84" s="708">
        <f>J82+J83</f>
        <v>0</v>
      </c>
      <c r="K84" s="708">
        <f>K82+K83</f>
        <v>65130</v>
      </c>
      <c r="L84" s="708">
        <f t="shared" si="11"/>
        <v>0</v>
      </c>
      <c r="M84" s="708">
        <f>M82+M83</f>
        <v>0</v>
      </c>
      <c r="N84" s="708">
        <f>N82+N83</f>
        <v>0</v>
      </c>
    </row>
    <row r="85" spans="1:14" s="624" customFormat="1" ht="13.5" customHeight="1" hidden="1">
      <c r="A85" s="1252"/>
      <c r="B85" s="1253"/>
      <c r="C85" s="1254"/>
      <c r="D85" s="1255"/>
      <c r="E85" s="1246" t="s">
        <v>753</v>
      </c>
      <c r="F85" s="1247"/>
      <c r="G85" s="705" t="s">
        <v>20</v>
      </c>
      <c r="H85" s="674">
        <f t="shared" si="8"/>
        <v>30000</v>
      </c>
      <c r="I85" s="675">
        <f t="shared" si="9"/>
        <v>30000</v>
      </c>
      <c r="J85" s="675">
        <v>0</v>
      </c>
      <c r="K85" s="675">
        <v>30000</v>
      </c>
      <c r="L85" s="675">
        <f t="shared" si="11"/>
        <v>0</v>
      </c>
      <c r="M85" s="675">
        <v>0</v>
      </c>
      <c r="N85" s="675">
        <v>0</v>
      </c>
    </row>
    <row r="86" spans="1:14" s="624" customFormat="1" ht="13.5" customHeight="1" hidden="1">
      <c r="A86" s="1252"/>
      <c r="B86" s="1253"/>
      <c r="C86" s="1254"/>
      <c r="D86" s="1255"/>
      <c r="E86" s="1248"/>
      <c r="F86" s="1249"/>
      <c r="G86" s="705" t="s">
        <v>21</v>
      </c>
      <c r="H86" s="674">
        <f t="shared" si="8"/>
        <v>0</v>
      </c>
      <c r="I86" s="675">
        <f t="shared" si="9"/>
        <v>0</v>
      </c>
      <c r="J86" s="675">
        <v>0</v>
      </c>
      <c r="K86" s="675">
        <v>0</v>
      </c>
      <c r="L86" s="675">
        <f t="shared" si="11"/>
        <v>0</v>
      </c>
      <c r="M86" s="675">
        <v>0</v>
      </c>
      <c r="N86" s="675">
        <v>0</v>
      </c>
    </row>
    <row r="87" spans="1:14" s="624" customFormat="1" ht="13.5" customHeight="1" hidden="1">
      <c r="A87" s="1256"/>
      <c r="B87" s="1257"/>
      <c r="C87" s="1258"/>
      <c r="D87" s="1259"/>
      <c r="E87" s="1250"/>
      <c r="F87" s="1251"/>
      <c r="G87" s="705" t="s">
        <v>22</v>
      </c>
      <c r="H87" s="674">
        <f t="shared" si="8"/>
        <v>30000</v>
      </c>
      <c r="I87" s="675">
        <f t="shared" si="9"/>
        <v>30000</v>
      </c>
      <c r="J87" s="675">
        <f>J85+J86</f>
        <v>0</v>
      </c>
      <c r="K87" s="675">
        <f>K85+K86</f>
        <v>30000</v>
      </c>
      <c r="L87" s="675">
        <f t="shared" si="11"/>
        <v>0</v>
      </c>
      <c r="M87" s="675">
        <f>M85+M86</f>
        <v>0</v>
      </c>
      <c r="N87" s="675">
        <f>N85+N86</f>
        <v>0</v>
      </c>
    </row>
    <row r="88" spans="1:14" s="636" customFormat="1" ht="13.5" customHeight="1" hidden="1">
      <c r="A88" s="1294" t="s">
        <v>754</v>
      </c>
      <c r="B88" s="1295"/>
      <c r="C88" s="1295"/>
      <c r="D88" s="1295"/>
      <c r="E88" s="1295"/>
      <c r="F88" s="1296"/>
      <c r="G88" s="699" t="s">
        <v>20</v>
      </c>
      <c r="H88" s="700">
        <f t="shared" si="8"/>
        <v>840000</v>
      </c>
      <c r="I88" s="701">
        <f t="shared" si="9"/>
        <v>840000</v>
      </c>
      <c r="J88" s="701">
        <f aca="true" t="shared" si="27" ref="J88:K90">J91</f>
        <v>0</v>
      </c>
      <c r="K88" s="701">
        <f t="shared" si="27"/>
        <v>840000</v>
      </c>
      <c r="L88" s="701">
        <f t="shared" si="11"/>
        <v>0</v>
      </c>
      <c r="M88" s="701">
        <f aca="true" t="shared" si="28" ref="M88:N90">M91</f>
        <v>0</v>
      </c>
      <c r="N88" s="701">
        <f t="shared" si="28"/>
        <v>0</v>
      </c>
    </row>
    <row r="89" spans="1:14" s="636" customFormat="1" ht="13.5" customHeight="1" hidden="1">
      <c r="A89" s="1297"/>
      <c r="B89" s="1313"/>
      <c r="C89" s="1313"/>
      <c r="D89" s="1313"/>
      <c r="E89" s="1313"/>
      <c r="F89" s="1299"/>
      <c r="G89" s="699" t="s">
        <v>21</v>
      </c>
      <c r="H89" s="700">
        <f t="shared" si="8"/>
        <v>0</v>
      </c>
      <c r="I89" s="701">
        <f t="shared" si="9"/>
        <v>0</v>
      </c>
      <c r="J89" s="701">
        <f t="shared" si="27"/>
        <v>0</v>
      </c>
      <c r="K89" s="701">
        <f t="shared" si="27"/>
        <v>0</v>
      </c>
      <c r="L89" s="701">
        <f t="shared" si="11"/>
        <v>0</v>
      </c>
      <c r="M89" s="701">
        <f t="shared" si="28"/>
        <v>0</v>
      </c>
      <c r="N89" s="701">
        <f t="shared" si="28"/>
        <v>0</v>
      </c>
    </row>
    <row r="90" spans="1:14" s="636" customFormat="1" ht="13.5" customHeight="1" hidden="1">
      <c r="A90" s="1300"/>
      <c r="B90" s="1301"/>
      <c r="C90" s="1301"/>
      <c r="D90" s="1301"/>
      <c r="E90" s="1301"/>
      <c r="F90" s="1302"/>
      <c r="G90" s="699" t="s">
        <v>22</v>
      </c>
      <c r="H90" s="700">
        <f t="shared" si="8"/>
        <v>840000</v>
      </c>
      <c r="I90" s="701">
        <f t="shared" si="9"/>
        <v>840000</v>
      </c>
      <c r="J90" s="701">
        <f t="shared" si="27"/>
        <v>0</v>
      </c>
      <c r="K90" s="701">
        <f t="shared" si="27"/>
        <v>840000</v>
      </c>
      <c r="L90" s="701">
        <f t="shared" si="11"/>
        <v>0</v>
      </c>
      <c r="M90" s="701">
        <f t="shared" si="28"/>
        <v>0</v>
      </c>
      <c r="N90" s="701">
        <f t="shared" si="28"/>
        <v>0</v>
      </c>
    </row>
    <row r="91" spans="1:14" s="624" customFormat="1" ht="13.5" customHeight="1" hidden="1">
      <c r="A91" s="1242" t="s">
        <v>147</v>
      </c>
      <c r="B91" s="1243"/>
      <c r="C91" s="1244" t="s">
        <v>746</v>
      </c>
      <c r="D91" s="1245"/>
      <c r="E91" s="1246" t="s">
        <v>741</v>
      </c>
      <c r="F91" s="1247"/>
      <c r="G91" s="705" t="s">
        <v>20</v>
      </c>
      <c r="H91" s="674">
        <f t="shared" si="8"/>
        <v>840000</v>
      </c>
      <c r="I91" s="675">
        <f t="shared" si="9"/>
        <v>840000</v>
      </c>
      <c r="J91" s="675">
        <v>0</v>
      </c>
      <c r="K91" s="675">
        <v>840000</v>
      </c>
      <c r="L91" s="675">
        <f t="shared" si="11"/>
        <v>0</v>
      </c>
      <c r="M91" s="675">
        <v>0</v>
      </c>
      <c r="N91" s="675">
        <v>0</v>
      </c>
    </row>
    <row r="92" spans="1:14" s="624" customFormat="1" ht="13.5" customHeight="1" hidden="1">
      <c r="A92" s="1252"/>
      <c r="B92" s="1253"/>
      <c r="C92" s="1254"/>
      <c r="D92" s="1255"/>
      <c r="E92" s="1248"/>
      <c r="F92" s="1249"/>
      <c r="G92" s="705" t="s">
        <v>21</v>
      </c>
      <c r="H92" s="674">
        <f t="shared" si="8"/>
        <v>0</v>
      </c>
      <c r="I92" s="675">
        <f t="shared" si="9"/>
        <v>0</v>
      </c>
      <c r="J92" s="675">
        <v>0</v>
      </c>
      <c r="K92" s="675">
        <v>0</v>
      </c>
      <c r="L92" s="675">
        <f t="shared" si="11"/>
        <v>0</v>
      </c>
      <c r="M92" s="675">
        <v>0</v>
      </c>
      <c r="N92" s="675">
        <v>0</v>
      </c>
    </row>
    <row r="93" spans="1:14" s="624" customFormat="1" ht="13.5" customHeight="1" hidden="1">
      <c r="A93" s="1252"/>
      <c r="B93" s="1253"/>
      <c r="C93" s="1254"/>
      <c r="D93" s="1255"/>
      <c r="E93" s="1250"/>
      <c r="F93" s="1251"/>
      <c r="G93" s="702" t="s">
        <v>22</v>
      </c>
      <c r="H93" s="703">
        <f t="shared" si="8"/>
        <v>840000</v>
      </c>
      <c r="I93" s="704">
        <f t="shared" si="9"/>
        <v>840000</v>
      </c>
      <c r="J93" s="704">
        <f>J91+J92</f>
        <v>0</v>
      </c>
      <c r="K93" s="704">
        <f>K91+K92</f>
        <v>840000</v>
      </c>
      <c r="L93" s="704">
        <f t="shared" si="11"/>
        <v>0</v>
      </c>
      <c r="M93" s="704">
        <f>M91+M92</f>
        <v>0</v>
      </c>
      <c r="N93" s="704">
        <f>N91+N92</f>
        <v>0</v>
      </c>
    </row>
    <row r="94" spans="1:14" s="636" customFormat="1" ht="13.5" customHeight="1" hidden="1">
      <c r="A94" s="1294" t="s">
        <v>755</v>
      </c>
      <c r="B94" s="1295"/>
      <c r="C94" s="1295"/>
      <c r="D94" s="1295"/>
      <c r="E94" s="1295"/>
      <c r="F94" s="1296"/>
      <c r="G94" s="699" t="s">
        <v>20</v>
      </c>
      <c r="H94" s="700">
        <f t="shared" si="8"/>
        <v>930000</v>
      </c>
      <c r="I94" s="701">
        <f t="shared" si="9"/>
        <v>930000</v>
      </c>
      <c r="J94" s="701">
        <f aca="true" t="shared" si="29" ref="J94:K96">J97</f>
        <v>0</v>
      </c>
      <c r="K94" s="701">
        <f t="shared" si="29"/>
        <v>930000</v>
      </c>
      <c r="L94" s="701">
        <f t="shared" si="11"/>
        <v>0</v>
      </c>
      <c r="M94" s="701">
        <f aca="true" t="shared" si="30" ref="M94:N96">M97</f>
        <v>0</v>
      </c>
      <c r="N94" s="701">
        <f t="shared" si="30"/>
        <v>0</v>
      </c>
    </row>
    <row r="95" spans="1:14" s="636" customFormat="1" ht="13.5" customHeight="1" hidden="1">
      <c r="A95" s="1297"/>
      <c r="B95" s="1298"/>
      <c r="C95" s="1298"/>
      <c r="D95" s="1298"/>
      <c r="E95" s="1298"/>
      <c r="F95" s="1299"/>
      <c r="G95" s="699" t="s">
        <v>21</v>
      </c>
      <c r="H95" s="700">
        <f aca="true" t="shared" si="31" ref="H95:H155">I95+L95</f>
        <v>0</v>
      </c>
      <c r="I95" s="701">
        <f aca="true" t="shared" si="32" ref="I95:I155">J95+K95</f>
        <v>0</v>
      </c>
      <c r="J95" s="701">
        <f t="shared" si="29"/>
        <v>0</v>
      </c>
      <c r="K95" s="701">
        <f t="shared" si="29"/>
        <v>0</v>
      </c>
      <c r="L95" s="701">
        <f aca="true" t="shared" si="33" ref="L95:L155">M95+N95</f>
        <v>0</v>
      </c>
      <c r="M95" s="701">
        <f t="shared" si="30"/>
        <v>0</v>
      </c>
      <c r="N95" s="701">
        <f t="shared" si="30"/>
        <v>0</v>
      </c>
    </row>
    <row r="96" spans="1:14" s="636" customFormat="1" ht="13.5" customHeight="1" hidden="1">
      <c r="A96" s="1300"/>
      <c r="B96" s="1301"/>
      <c r="C96" s="1301"/>
      <c r="D96" s="1301"/>
      <c r="E96" s="1301"/>
      <c r="F96" s="1302"/>
      <c r="G96" s="699" t="s">
        <v>22</v>
      </c>
      <c r="H96" s="700">
        <f t="shared" si="31"/>
        <v>930000</v>
      </c>
      <c r="I96" s="701">
        <f t="shared" si="32"/>
        <v>930000</v>
      </c>
      <c r="J96" s="701">
        <f t="shared" si="29"/>
        <v>0</v>
      </c>
      <c r="K96" s="701">
        <f t="shared" si="29"/>
        <v>930000</v>
      </c>
      <c r="L96" s="701">
        <f t="shared" si="33"/>
        <v>0</v>
      </c>
      <c r="M96" s="701">
        <f t="shared" si="30"/>
        <v>0</v>
      </c>
      <c r="N96" s="701">
        <f t="shared" si="30"/>
        <v>0</v>
      </c>
    </row>
    <row r="97" spans="1:14" s="624" customFormat="1" ht="13.5" customHeight="1" hidden="1">
      <c r="A97" s="1242" t="s">
        <v>147</v>
      </c>
      <c r="B97" s="1243"/>
      <c r="C97" s="1244" t="s">
        <v>756</v>
      </c>
      <c r="D97" s="1245"/>
      <c r="E97" s="1246" t="s">
        <v>741</v>
      </c>
      <c r="F97" s="1247"/>
      <c r="G97" s="705" t="s">
        <v>20</v>
      </c>
      <c r="H97" s="674">
        <f t="shared" si="31"/>
        <v>930000</v>
      </c>
      <c r="I97" s="675">
        <f t="shared" si="32"/>
        <v>930000</v>
      </c>
      <c r="J97" s="675">
        <v>0</v>
      </c>
      <c r="K97" s="675">
        <v>930000</v>
      </c>
      <c r="L97" s="675">
        <f t="shared" si="33"/>
        <v>0</v>
      </c>
      <c r="M97" s="675">
        <v>0</v>
      </c>
      <c r="N97" s="675">
        <v>0</v>
      </c>
    </row>
    <row r="98" spans="1:14" s="624" customFormat="1" ht="13.5" customHeight="1" hidden="1">
      <c r="A98" s="1252"/>
      <c r="B98" s="1253"/>
      <c r="C98" s="1254"/>
      <c r="D98" s="1255"/>
      <c r="E98" s="1248"/>
      <c r="F98" s="1249"/>
      <c r="G98" s="705" t="s">
        <v>21</v>
      </c>
      <c r="H98" s="674">
        <f t="shared" si="31"/>
        <v>0</v>
      </c>
      <c r="I98" s="675">
        <f t="shared" si="32"/>
        <v>0</v>
      </c>
      <c r="J98" s="675">
        <v>0</v>
      </c>
      <c r="K98" s="675">
        <v>0</v>
      </c>
      <c r="L98" s="675">
        <f t="shared" si="33"/>
        <v>0</v>
      </c>
      <c r="M98" s="675">
        <v>0</v>
      </c>
      <c r="N98" s="675">
        <v>0</v>
      </c>
    </row>
    <row r="99" spans="1:14" s="624" customFormat="1" ht="13.5" customHeight="1" hidden="1">
      <c r="A99" s="1252"/>
      <c r="B99" s="1253"/>
      <c r="C99" s="1254"/>
      <c r="D99" s="1255"/>
      <c r="E99" s="1250"/>
      <c r="F99" s="1251"/>
      <c r="G99" s="702" t="s">
        <v>22</v>
      </c>
      <c r="H99" s="703">
        <f t="shared" si="31"/>
        <v>930000</v>
      </c>
      <c r="I99" s="704">
        <f t="shared" si="32"/>
        <v>930000</v>
      </c>
      <c r="J99" s="704">
        <f>J97+J98</f>
        <v>0</v>
      </c>
      <c r="K99" s="704">
        <f>K97+K98</f>
        <v>930000</v>
      </c>
      <c r="L99" s="704">
        <f t="shared" si="33"/>
        <v>0</v>
      </c>
      <c r="M99" s="704">
        <f>M97+M98</f>
        <v>0</v>
      </c>
      <c r="N99" s="704">
        <f>N97+N98</f>
        <v>0</v>
      </c>
    </row>
    <row r="100" spans="1:14" s="636" customFormat="1" ht="13.5" customHeight="1" hidden="1">
      <c r="A100" s="1294" t="s">
        <v>757</v>
      </c>
      <c r="B100" s="1295"/>
      <c r="C100" s="1295"/>
      <c r="D100" s="1295"/>
      <c r="E100" s="1295"/>
      <c r="F100" s="1296"/>
      <c r="G100" s="699" t="s">
        <v>20</v>
      </c>
      <c r="H100" s="700">
        <f t="shared" si="31"/>
        <v>1320000</v>
      </c>
      <c r="I100" s="701">
        <f t="shared" si="32"/>
        <v>1320000</v>
      </c>
      <c r="J100" s="701">
        <f aca="true" t="shared" si="34" ref="J100:K102">J103</f>
        <v>0</v>
      </c>
      <c r="K100" s="701">
        <f t="shared" si="34"/>
        <v>1320000</v>
      </c>
      <c r="L100" s="701">
        <f t="shared" si="33"/>
        <v>0</v>
      </c>
      <c r="M100" s="701">
        <f aca="true" t="shared" si="35" ref="M100:N102">M103</f>
        <v>0</v>
      </c>
      <c r="N100" s="701">
        <f t="shared" si="35"/>
        <v>0</v>
      </c>
    </row>
    <row r="101" spans="1:14" s="636" customFormat="1" ht="13.5" customHeight="1" hidden="1">
      <c r="A101" s="1297"/>
      <c r="B101" s="1298"/>
      <c r="C101" s="1298"/>
      <c r="D101" s="1298"/>
      <c r="E101" s="1298"/>
      <c r="F101" s="1299"/>
      <c r="G101" s="699" t="s">
        <v>21</v>
      </c>
      <c r="H101" s="700">
        <f t="shared" si="31"/>
        <v>0</v>
      </c>
      <c r="I101" s="701">
        <f t="shared" si="32"/>
        <v>0</v>
      </c>
      <c r="J101" s="701">
        <f t="shared" si="34"/>
        <v>0</v>
      </c>
      <c r="K101" s="701">
        <f t="shared" si="34"/>
        <v>0</v>
      </c>
      <c r="L101" s="701">
        <f t="shared" si="33"/>
        <v>0</v>
      </c>
      <c r="M101" s="701">
        <f t="shared" si="35"/>
        <v>0</v>
      </c>
      <c r="N101" s="701">
        <f t="shared" si="35"/>
        <v>0</v>
      </c>
    </row>
    <row r="102" spans="1:14" s="636" customFormat="1" ht="13.5" customHeight="1" hidden="1">
      <c r="A102" s="1300"/>
      <c r="B102" s="1301"/>
      <c r="C102" s="1301"/>
      <c r="D102" s="1301"/>
      <c r="E102" s="1301"/>
      <c r="F102" s="1302"/>
      <c r="G102" s="699" t="s">
        <v>22</v>
      </c>
      <c r="H102" s="700">
        <f t="shared" si="31"/>
        <v>1320000</v>
      </c>
      <c r="I102" s="701">
        <f t="shared" si="32"/>
        <v>1320000</v>
      </c>
      <c r="J102" s="701">
        <f t="shared" si="34"/>
        <v>0</v>
      </c>
      <c r="K102" s="701">
        <f t="shared" si="34"/>
        <v>1320000</v>
      </c>
      <c r="L102" s="701">
        <f t="shared" si="33"/>
        <v>0</v>
      </c>
      <c r="M102" s="701">
        <f t="shared" si="35"/>
        <v>0</v>
      </c>
      <c r="N102" s="701">
        <f t="shared" si="35"/>
        <v>0</v>
      </c>
    </row>
    <row r="103" spans="1:14" s="624" customFormat="1" ht="13.5" customHeight="1" hidden="1">
      <c r="A103" s="1242" t="s">
        <v>147</v>
      </c>
      <c r="B103" s="1243"/>
      <c r="C103" s="1244" t="s">
        <v>756</v>
      </c>
      <c r="D103" s="1245"/>
      <c r="E103" s="1246" t="s">
        <v>741</v>
      </c>
      <c r="F103" s="1247"/>
      <c r="G103" s="705" t="s">
        <v>20</v>
      </c>
      <c r="H103" s="674">
        <f t="shared" si="31"/>
        <v>1320000</v>
      </c>
      <c r="I103" s="675">
        <f t="shared" si="32"/>
        <v>1320000</v>
      </c>
      <c r="J103" s="675">
        <v>0</v>
      </c>
      <c r="K103" s="675">
        <v>1320000</v>
      </c>
      <c r="L103" s="675">
        <f t="shared" si="33"/>
        <v>0</v>
      </c>
      <c r="M103" s="675">
        <v>0</v>
      </c>
      <c r="N103" s="675">
        <v>0</v>
      </c>
    </row>
    <row r="104" spans="1:14" s="624" customFormat="1" ht="13.5" customHeight="1" hidden="1">
      <c r="A104" s="1252"/>
      <c r="B104" s="1253"/>
      <c r="C104" s="1254"/>
      <c r="D104" s="1255"/>
      <c r="E104" s="1248"/>
      <c r="F104" s="1249"/>
      <c r="G104" s="705" t="s">
        <v>21</v>
      </c>
      <c r="H104" s="674">
        <f t="shared" si="31"/>
        <v>0</v>
      </c>
      <c r="I104" s="675">
        <f t="shared" si="32"/>
        <v>0</v>
      </c>
      <c r="J104" s="675">
        <v>0</v>
      </c>
      <c r="K104" s="675">
        <v>0</v>
      </c>
      <c r="L104" s="675">
        <f t="shared" si="33"/>
        <v>0</v>
      </c>
      <c r="M104" s="675">
        <v>0</v>
      </c>
      <c r="N104" s="675">
        <v>0</v>
      </c>
    </row>
    <row r="105" spans="1:14" s="624" customFormat="1" ht="13.5" customHeight="1" hidden="1">
      <c r="A105" s="1252"/>
      <c r="B105" s="1253"/>
      <c r="C105" s="1254"/>
      <c r="D105" s="1255"/>
      <c r="E105" s="1250"/>
      <c r="F105" s="1251"/>
      <c r="G105" s="702" t="s">
        <v>22</v>
      </c>
      <c r="H105" s="703">
        <f t="shared" si="31"/>
        <v>1320000</v>
      </c>
      <c r="I105" s="704">
        <f t="shared" si="32"/>
        <v>1320000</v>
      </c>
      <c r="J105" s="704">
        <f>J103+J104</f>
        <v>0</v>
      </c>
      <c r="K105" s="704">
        <f>K103+K104</f>
        <v>1320000</v>
      </c>
      <c r="L105" s="704">
        <f t="shared" si="33"/>
        <v>0</v>
      </c>
      <c r="M105" s="704">
        <f>M103+M104</f>
        <v>0</v>
      </c>
      <c r="N105" s="704">
        <f>N103+N104</f>
        <v>0</v>
      </c>
    </row>
    <row r="106" spans="1:14" s="636" customFormat="1" ht="13.5" customHeight="1" hidden="1">
      <c r="A106" s="1294" t="s">
        <v>758</v>
      </c>
      <c r="B106" s="1295"/>
      <c r="C106" s="1295"/>
      <c r="D106" s="1295"/>
      <c r="E106" s="1295"/>
      <c r="F106" s="1296"/>
      <c r="G106" s="699" t="s">
        <v>20</v>
      </c>
      <c r="H106" s="700">
        <f t="shared" si="31"/>
        <v>1299500</v>
      </c>
      <c r="I106" s="701">
        <f t="shared" si="32"/>
        <v>1299500</v>
      </c>
      <c r="J106" s="701">
        <f aca="true" t="shared" si="36" ref="J106:K108">J109</f>
        <v>0</v>
      </c>
      <c r="K106" s="701">
        <f t="shared" si="36"/>
        <v>1299500</v>
      </c>
      <c r="L106" s="701">
        <f t="shared" si="33"/>
        <v>0</v>
      </c>
      <c r="M106" s="701">
        <f aca="true" t="shared" si="37" ref="M106:N108">M109</f>
        <v>0</v>
      </c>
      <c r="N106" s="701">
        <f t="shared" si="37"/>
        <v>0</v>
      </c>
    </row>
    <row r="107" spans="1:14" s="636" customFormat="1" ht="13.5" customHeight="1" hidden="1">
      <c r="A107" s="1297"/>
      <c r="B107" s="1298"/>
      <c r="C107" s="1298"/>
      <c r="D107" s="1298"/>
      <c r="E107" s="1298"/>
      <c r="F107" s="1299"/>
      <c r="G107" s="699" t="s">
        <v>21</v>
      </c>
      <c r="H107" s="700">
        <f t="shared" si="31"/>
        <v>0</v>
      </c>
      <c r="I107" s="701">
        <f t="shared" si="32"/>
        <v>0</v>
      </c>
      <c r="J107" s="701">
        <f t="shared" si="36"/>
        <v>0</v>
      </c>
      <c r="K107" s="701">
        <f t="shared" si="36"/>
        <v>0</v>
      </c>
      <c r="L107" s="701">
        <f t="shared" si="33"/>
        <v>0</v>
      </c>
      <c r="M107" s="701">
        <f t="shared" si="37"/>
        <v>0</v>
      </c>
      <c r="N107" s="701">
        <f t="shared" si="37"/>
        <v>0</v>
      </c>
    </row>
    <row r="108" spans="1:14" s="636" customFormat="1" ht="13.5" customHeight="1" hidden="1">
      <c r="A108" s="1300"/>
      <c r="B108" s="1301"/>
      <c r="C108" s="1301"/>
      <c r="D108" s="1301"/>
      <c r="E108" s="1301"/>
      <c r="F108" s="1302"/>
      <c r="G108" s="699" t="s">
        <v>22</v>
      </c>
      <c r="H108" s="700">
        <f t="shared" si="31"/>
        <v>1299500</v>
      </c>
      <c r="I108" s="701">
        <f t="shared" si="32"/>
        <v>1299500</v>
      </c>
      <c r="J108" s="701">
        <f t="shared" si="36"/>
        <v>0</v>
      </c>
      <c r="K108" s="701">
        <f t="shared" si="36"/>
        <v>1299500</v>
      </c>
      <c r="L108" s="701">
        <f t="shared" si="33"/>
        <v>0</v>
      </c>
      <c r="M108" s="701">
        <f t="shared" si="37"/>
        <v>0</v>
      </c>
      <c r="N108" s="701">
        <f t="shared" si="37"/>
        <v>0</v>
      </c>
    </row>
    <row r="109" spans="1:14" s="624" customFormat="1" ht="13.5" customHeight="1" hidden="1">
      <c r="A109" s="1242" t="s">
        <v>147</v>
      </c>
      <c r="B109" s="1243"/>
      <c r="C109" s="1244" t="s">
        <v>759</v>
      </c>
      <c r="D109" s="1245"/>
      <c r="E109" s="1246" t="s">
        <v>741</v>
      </c>
      <c r="F109" s="1247"/>
      <c r="G109" s="702" t="s">
        <v>20</v>
      </c>
      <c r="H109" s="703">
        <f t="shared" si="31"/>
        <v>1299500</v>
      </c>
      <c r="I109" s="704">
        <f t="shared" si="32"/>
        <v>1299500</v>
      </c>
      <c r="J109" s="704">
        <v>0</v>
      </c>
      <c r="K109" s="704">
        <v>1299500</v>
      </c>
      <c r="L109" s="704">
        <f t="shared" si="33"/>
        <v>0</v>
      </c>
      <c r="M109" s="704">
        <v>0</v>
      </c>
      <c r="N109" s="704">
        <v>0</v>
      </c>
    </row>
    <row r="110" spans="1:14" s="624" customFormat="1" ht="13.5" customHeight="1" hidden="1">
      <c r="A110" s="1252"/>
      <c r="B110" s="1253"/>
      <c r="C110" s="1254"/>
      <c r="D110" s="1255"/>
      <c r="E110" s="1248"/>
      <c r="F110" s="1249"/>
      <c r="G110" s="702" t="s">
        <v>21</v>
      </c>
      <c r="H110" s="703">
        <f t="shared" si="31"/>
        <v>0</v>
      </c>
      <c r="I110" s="704">
        <f t="shared" si="32"/>
        <v>0</v>
      </c>
      <c r="J110" s="704">
        <v>0</v>
      </c>
      <c r="K110" s="704">
        <v>0</v>
      </c>
      <c r="L110" s="704">
        <f t="shared" si="33"/>
        <v>0</v>
      </c>
      <c r="M110" s="704">
        <v>0</v>
      </c>
      <c r="N110" s="704">
        <v>0</v>
      </c>
    </row>
    <row r="111" spans="1:14" s="624" customFormat="1" ht="13.5" customHeight="1" hidden="1">
      <c r="A111" s="1252"/>
      <c r="B111" s="1253"/>
      <c r="C111" s="1254"/>
      <c r="D111" s="1255"/>
      <c r="E111" s="1250"/>
      <c r="F111" s="1251"/>
      <c r="G111" s="702" t="s">
        <v>22</v>
      </c>
      <c r="H111" s="703">
        <f t="shared" si="31"/>
        <v>1299500</v>
      </c>
      <c r="I111" s="704">
        <f t="shared" si="32"/>
        <v>1299500</v>
      </c>
      <c r="J111" s="704">
        <f>J109+J110</f>
        <v>0</v>
      </c>
      <c r="K111" s="704">
        <f>K109+K110</f>
        <v>1299500</v>
      </c>
      <c r="L111" s="704">
        <f t="shared" si="33"/>
        <v>0</v>
      </c>
      <c r="M111" s="704">
        <f>M109+M110</f>
        <v>0</v>
      </c>
      <c r="N111" s="704">
        <f>N109+N110</f>
        <v>0</v>
      </c>
    </row>
    <row r="112" spans="1:14" s="636" customFormat="1" ht="13.5" customHeight="1" hidden="1">
      <c r="A112" s="1294" t="s">
        <v>179</v>
      </c>
      <c r="B112" s="1295"/>
      <c r="C112" s="1295"/>
      <c r="D112" s="1295"/>
      <c r="E112" s="1295"/>
      <c r="F112" s="1296"/>
      <c r="G112" s="699" t="s">
        <v>20</v>
      </c>
      <c r="H112" s="700">
        <f t="shared" si="31"/>
        <v>8878000</v>
      </c>
      <c r="I112" s="701">
        <f t="shared" si="32"/>
        <v>8878000</v>
      </c>
      <c r="J112" s="701">
        <f aca="true" t="shared" si="38" ref="J112:K114">J115</f>
        <v>0</v>
      </c>
      <c r="K112" s="701">
        <f t="shared" si="38"/>
        <v>8878000</v>
      </c>
      <c r="L112" s="701">
        <f t="shared" si="33"/>
        <v>0</v>
      </c>
      <c r="M112" s="701">
        <f aca="true" t="shared" si="39" ref="M112:N114">M115</f>
        <v>0</v>
      </c>
      <c r="N112" s="701">
        <f t="shared" si="39"/>
        <v>0</v>
      </c>
    </row>
    <row r="113" spans="1:14" s="636" customFormat="1" ht="13.5" customHeight="1" hidden="1">
      <c r="A113" s="1297"/>
      <c r="B113" s="1298"/>
      <c r="C113" s="1298"/>
      <c r="D113" s="1298"/>
      <c r="E113" s="1298"/>
      <c r="F113" s="1299"/>
      <c r="G113" s="699" t="s">
        <v>21</v>
      </c>
      <c r="H113" s="700">
        <f t="shared" si="31"/>
        <v>0</v>
      </c>
      <c r="I113" s="701">
        <f t="shared" si="32"/>
        <v>0</v>
      </c>
      <c r="J113" s="701">
        <f t="shared" si="38"/>
        <v>0</v>
      </c>
      <c r="K113" s="701">
        <f t="shared" si="38"/>
        <v>0</v>
      </c>
      <c r="L113" s="701">
        <f t="shared" si="33"/>
        <v>0</v>
      </c>
      <c r="M113" s="701">
        <f t="shared" si="39"/>
        <v>0</v>
      </c>
      <c r="N113" s="701">
        <f t="shared" si="39"/>
        <v>0</v>
      </c>
    </row>
    <row r="114" spans="1:14" s="636" customFormat="1" ht="13.5" customHeight="1" hidden="1">
      <c r="A114" s="1300"/>
      <c r="B114" s="1301"/>
      <c r="C114" s="1301"/>
      <c r="D114" s="1301"/>
      <c r="E114" s="1301"/>
      <c r="F114" s="1302"/>
      <c r="G114" s="699" t="s">
        <v>22</v>
      </c>
      <c r="H114" s="700">
        <f t="shared" si="31"/>
        <v>8878000</v>
      </c>
      <c r="I114" s="701">
        <f t="shared" si="32"/>
        <v>8878000</v>
      </c>
      <c r="J114" s="701">
        <f t="shared" si="38"/>
        <v>0</v>
      </c>
      <c r="K114" s="701">
        <f t="shared" si="38"/>
        <v>8878000</v>
      </c>
      <c r="L114" s="701">
        <f t="shared" si="33"/>
        <v>0</v>
      </c>
      <c r="M114" s="701">
        <f t="shared" si="39"/>
        <v>0</v>
      </c>
      <c r="N114" s="701">
        <f t="shared" si="39"/>
        <v>0</v>
      </c>
    </row>
    <row r="115" spans="1:14" s="624" customFormat="1" ht="13.5" customHeight="1" hidden="1">
      <c r="A115" s="1242" t="s">
        <v>147</v>
      </c>
      <c r="B115" s="1243"/>
      <c r="C115" s="1244" t="s">
        <v>157</v>
      </c>
      <c r="D115" s="1245"/>
      <c r="E115" s="1246" t="s">
        <v>750</v>
      </c>
      <c r="F115" s="1247"/>
      <c r="G115" s="702" t="s">
        <v>20</v>
      </c>
      <c r="H115" s="703">
        <f t="shared" si="31"/>
        <v>8878000</v>
      </c>
      <c r="I115" s="704">
        <f t="shared" si="32"/>
        <v>8878000</v>
      </c>
      <c r="J115" s="704">
        <f aca="true" t="shared" si="40" ref="J115:K117">J118+J121</f>
        <v>0</v>
      </c>
      <c r="K115" s="704">
        <f t="shared" si="40"/>
        <v>8878000</v>
      </c>
      <c r="L115" s="704">
        <f t="shared" si="33"/>
        <v>0</v>
      </c>
      <c r="M115" s="704">
        <f aca="true" t="shared" si="41" ref="M115:N117">M118+M121</f>
        <v>0</v>
      </c>
      <c r="N115" s="704">
        <f t="shared" si="41"/>
        <v>0</v>
      </c>
    </row>
    <row r="116" spans="1:14" s="624" customFormat="1" ht="13.5" customHeight="1" hidden="1">
      <c r="A116" s="1252"/>
      <c r="B116" s="1253"/>
      <c r="C116" s="1254"/>
      <c r="D116" s="1255"/>
      <c r="E116" s="1248"/>
      <c r="F116" s="1249"/>
      <c r="G116" s="702" t="s">
        <v>21</v>
      </c>
      <c r="H116" s="703">
        <f t="shared" si="31"/>
        <v>0</v>
      </c>
      <c r="I116" s="704">
        <f t="shared" si="32"/>
        <v>0</v>
      </c>
      <c r="J116" s="704">
        <f t="shared" si="40"/>
        <v>0</v>
      </c>
      <c r="K116" s="704">
        <f t="shared" si="40"/>
        <v>0</v>
      </c>
      <c r="L116" s="704">
        <f t="shared" si="33"/>
        <v>0</v>
      </c>
      <c r="M116" s="704">
        <f t="shared" si="41"/>
        <v>0</v>
      </c>
      <c r="N116" s="704">
        <f t="shared" si="41"/>
        <v>0</v>
      </c>
    </row>
    <row r="117" spans="1:14" s="624" customFormat="1" ht="13.5" customHeight="1" hidden="1">
      <c r="A117" s="1252"/>
      <c r="B117" s="1253"/>
      <c r="C117" s="1254"/>
      <c r="D117" s="1255"/>
      <c r="E117" s="1250"/>
      <c r="F117" s="1251"/>
      <c r="G117" s="702" t="s">
        <v>22</v>
      </c>
      <c r="H117" s="703">
        <f t="shared" si="31"/>
        <v>8878000</v>
      </c>
      <c r="I117" s="704">
        <f t="shared" si="32"/>
        <v>8878000</v>
      </c>
      <c r="J117" s="704">
        <f t="shared" si="40"/>
        <v>0</v>
      </c>
      <c r="K117" s="704">
        <f t="shared" si="40"/>
        <v>8878000</v>
      </c>
      <c r="L117" s="704">
        <f t="shared" si="33"/>
        <v>0</v>
      </c>
      <c r="M117" s="704">
        <f t="shared" si="41"/>
        <v>0</v>
      </c>
      <c r="N117" s="704">
        <f t="shared" si="41"/>
        <v>0</v>
      </c>
    </row>
    <row r="118" spans="1:14" s="709" customFormat="1" ht="13.5" customHeight="1" hidden="1">
      <c r="A118" s="1303"/>
      <c r="B118" s="1304"/>
      <c r="C118" s="1305"/>
      <c r="D118" s="1306"/>
      <c r="E118" s="1307" t="s">
        <v>751</v>
      </c>
      <c r="F118" s="1308"/>
      <c r="G118" s="706" t="s">
        <v>20</v>
      </c>
      <c r="H118" s="707">
        <f t="shared" si="31"/>
        <v>7000000</v>
      </c>
      <c r="I118" s="708">
        <f t="shared" si="32"/>
        <v>7000000</v>
      </c>
      <c r="J118" s="708"/>
      <c r="K118" s="708">
        <v>7000000</v>
      </c>
      <c r="L118" s="708">
        <f t="shared" si="33"/>
        <v>0</v>
      </c>
      <c r="M118" s="708"/>
      <c r="N118" s="708"/>
    </row>
    <row r="119" spans="1:14" s="709" customFormat="1" ht="13.5" customHeight="1" hidden="1">
      <c r="A119" s="1303"/>
      <c r="B119" s="1304"/>
      <c r="C119" s="1305"/>
      <c r="D119" s="1306"/>
      <c r="E119" s="1248"/>
      <c r="F119" s="1249"/>
      <c r="G119" s="706" t="s">
        <v>21</v>
      </c>
      <c r="H119" s="707">
        <f t="shared" si="31"/>
        <v>0</v>
      </c>
      <c r="I119" s="708">
        <f t="shared" si="32"/>
        <v>0</v>
      </c>
      <c r="J119" s="708"/>
      <c r="K119" s="708">
        <v>0</v>
      </c>
      <c r="L119" s="708">
        <f t="shared" si="33"/>
        <v>0</v>
      </c>
      <c r="M119" s="708"/>
      <c r="N119" s="708"/>
    </row>
    <row r="120" spans="1:14" s="709" customFormat="1" ht="13.5" customHeight="1" hidden="1">
      <c r="A120" s="1303"/>
      <c r="B120" s="1304"/>
      <c r="C120" s="1305"/>
      <c r="D120" s="1306"/>
      <c r="E120" s="1250"/>
      <c r="F120" s="1251"/>
      <c r="G120" s="706" t="s">
        <v>22</v>
      </c>
      <c r="H120" s="707">
        <f t="shared" si="31"/>
        <v>7000000</v>
      </c>
      <c r="I120" s="708">
        <f t="shared" si="32"/>
        <v>7000000</v>
      </c>
      <c r="J120" s="708">
        <f>J118+J119</f>
        <v>0</v>
      </c>
      <c r="K120" s="708">
        <f>K118+K119</f>
        <v>7000000</v>
      </c>
      <c r="L120" s="708">
        <f t="shared" si="33"/>
        <v>0</v>
      </c>
      <c r="M120" s="708">
        <f>M118+M119</f>
        <v>0</v>
      </c>
      <c r="N120" s="708">
        <f>N118+N119</f>
        <v>0</v>
      </c>
    </row>
    <row r="121" spans="1:14" s="709" customFormat="1" ht="13.5" customHeight="1" hidden="1">
      <c r="A121" s="1303"/>
      <c r="B121" s="1304"/>
      <c r="C121" s="1305"/>
      <c r="D121" s="1306"/>
      <c r="E121" s="1307" t="s">
        <v>760</v>
      </c>
      <c r="F121" s="1308"/>
      <c r="G121" s="706" t="s">
        <v>20</v>
      </c>
      <c r="H121" s="707">
        <f t="shared" si="31"/>
        <v>1878000</v>
      </c>
      <c r="I121" s="708">
        <f t="shared" si="32"/>
        <v>1878000</v>
      </c>
      <c r="J121" s="708"/>
      <c r="K121" s="708">
        <v>1878000</v>
      </c>
      <c r="L121" s="708">
        <f t="shared" si="33"/>
        <v>0</v>
      </c>
      <c r="M121" s="708"/>
      <c r="N121" s="708"/>
    </row>
    <row r="122" spans="1:14" s="709" customFormat="1" ht="13.5" customHeight="1" hidden="1">
      <c r="A122" s="1303"/>
      <c r="B122" s="1304"/>
      <c r="C122" s="1305"/>
      <c r="D122" s="1306"/>
      <c r="E122" s="1248"/>
      <c r="F122" s="1249"/>
      <c r="G122" s="706" t="s">
        <v>21</v>
      </c>
      <c r="H122" s="707">
        <f t="shared" si="31"/>
        <v>0</v>
      </c>
      <c r="I122" s="708">
        <f t="shared" si="32"/>
        <v>0</v>
      </c>
      <c r="J122" s="708"/>
      <c r="K122" s="708">
        <v>0</v>
      </c>
      <c r="L122" s="708">
        <f t="shared" si="33"/>
        <v>0</v>
      </c>
      <c r="M122" s="708"/>
      <c r="N122" s="708"/>
    </row>
    <row r="123" spans="1:14" s="709" customFormat="1" ht="13.5" customHeight="1" hidden="1">
      <c r="A123" s="1303"/>
      <c r="B123" s="1304"/>
      <c r="C123" s="1305"/>
      <c r="D123" s="1306"/>
      <c r="E123" s="1250"/>
      <c r="F123" s="1251"/>
      <c r="G123" s="706" t="s">
        <v>22</v>
      </c>
      <c r="H123" s="707">
        <f t="shared" si="31"/>
        <v>1878000</v>
      </c>
      <c r="I123" s="708">
        <f t="shared" si="32"/>
        <v>1878000</v>
      </c>
      <c r="J123" s="708">
        <f>J121+J122</f>
        <v>0</v>
      </c>
      <c r="K123" s="708">
        <f>K121+K122</f>
        <v>1878000</v>
      </c>
      <c r="L123" s="708">
        <f t="shared" si="33"/>
        <v>0</v>
      </c>
      <c r="M123" s="708">
        <f>M121+M122</f>
        <v>0</v>
      </c>
      <c r="N123" s="708">
        <f>N121+N122</f>
        <v>0</v>
      </c>
    </row>
    <row r="124" spans="1:14" s="636" customFormat="1" ht="13.5" customHeight="1" hidden="1">
      <c r="A124" s="1294" t="s">
        <v>761</v>
      </c>
      <c r="B124" s="1295"/>
      <c r="C124" s="1295"/>
      <c r="D124" s="1295"/>
      <c r="E124" s="1295"/>
      <c r="F124" s="1296"/>
      <c r="G124" s="699" t="s">
        <v>20</v>
      </c>
      <c r="H124" s="700">
        <f t="shared" si="31"/>
        <v>8614000</v>
      </c>
      <c r="I124" s="701">
        <f t="shared" si="32"/>
        <v>8614000</v>
      </c>
      <c r="J124" s="701">
        <f aca="true" t="shared" si="42" ref="J124:K126">J127</f>
        <v>0</v>
      </c>
      <c r="K124" s="701">
        <f t="shared" si="42"/>
        <v>8614000</v>
      </c>
      <c r="L124" s="701">
        <f t="shared" si="33"/>
        <v>0</v>
      </c>
      <c r="M124" s="701">
        <f aca="true" t="shared" si="43" ref="M124:N126">M127</f>
        <v>0</v>
      </c>
      <c r="N124" s="701">
        <f t="shared" si="43"/>
        <v>0</v>
      </c>
    </row>
    <row r="125" spans="1:14" s="636" customFormat="1" ht="13.5" customHeight="1" hidden="1">
      <c r="A125" s="1297"/>
      <c r="B125" s="1298"/>
      <c r="C125" s="1298"/>
      <c r="D125" s="1298"/>
      <c r="E125" s="1298"/>
      <c r="F125" s="1299"/>
      <c r="G125" s="699" t="s">
        <v>21</v>
      </c>
      <c r="H125" s="700">
        <f t="shared" si="31"/>
        <v>0</v>
      </c>
      <c r="I125" s="701">
        <f t="shared" si="32"/>
        <v>0</v>
      </c>
      <c r="J125" s="701">
        <f t="shared" si="42"/>
        <v>0</v>
      </c>
      <c r="K125" s="701">
        <f t="shared" si="42"/>
        <v>0</v>
      </c>
      <c r="L125" s="701">
        <f t="shared" si="33"/>
        <v>0</v>
      </c>
      <c r="M125" s="701">
        <f t="shared" si="43"/>
        <v>0</v>
      </c>
      <c r="N125" s="701">
        <f t="shared" si="43"/>
        <v>0</v>
      </c>
    </row>
    <row r="126" spans="1:14" s="636" customFormat="1" ht="13.5" customHeight="1" hidden="1">
      <c r="A126" s="1300"/>
      <c r="B126" s="1301"/>
      <c r="C126" s="1301"/>
      <c r="D126" s="1301"/>
      <c r="E126" s="1301"/>
      <c r="F126" s="1302"/>
      <c r="G126" s="699" t="s">
        <v>22</v>
      </c>
      <c r="H126" s="700">
        <f t="shared" si="31"/>
        <v>8614000</v>
      </c>
      <c r="I126" s="701">
        <f t="shared" si="32"/>
        <v>8614000</v>
      </c>
      <c r="J126" s="701">
        <f t="shared" si="42"/>
        <v>0</v>
      </c>
      <c r="K126" s="701">
        <f t="shared" si="42"/>
        <v>8614000</v>
      </c>
      <c r="L126" s="701">
        <f t="shared" si="33"/>
        <v>0</v>
      </c>
      <c r="M126" s="701">
        <f t="shared" si="43"/>
        <v>0</v>
      </c>
      <c r="N126" s="701">
        <f t="shared" si="43"/>
        <v>0</v>
      </c>
    </row>
    <row r="127" spans="1:14" s="624" customFormat="1" ht="13.5" customHeight="1" hidden="1">
      <c r="A127" s="1242" t="s">
        <v>147</v>
      </c>
      <c r="B127" s="1243"/>
      <c r="C127" s="1244" t="s">
        <v>157</v>
      </c>
      <c r="D127" s="1245"/>
      <c r="E127" s="1246" t="s">
        <v>750</v>
      </c>
      <c r="F127" s="1247"/>
      <c r="G127" s="702" t="s">
        <v>20</v>
      </c>
      <c r="H127" s="703">
        <f t="shared" si="31"/>
        <v>8614000</v>
      </c>
      <c r="I127" s="704">
        <f t="shared" si="32"/>
        <v>8614000</v>
      </c>
      <c r="J127" s="704">
        <f aca="true" t="shared" si="44" ref="J127:K129">J130+J133</f>
        <v>0</v>
      </c>
      <c r="K127" s="704">
        <f t="shared" si="44"/>
        <v>8614000</v>
      </c>
      <c r="L127" s="704">
        <f t="shared" si="33"/>
        <v>0</v>
      </c>
      <c r="M127" s="704">
        <f aca="true" t="shared" si="45" ref="M127:N129">M130+M133</f>
        <v>0</v>
      </c>
      <c r="N127" s="704">
        <f t="shared" si="45"/>
        <v>0</v>
      </c>
    </row>
    <row r="128" spans="1:14" s="624" customFormat="1" ht="13.5" customHeight="1" hidden="1">
      <c r="A128" s="1252"/>
      <c r="B128" s="1253"/>
      <c r="C128" s="1254"/>
      <c r="D128" s="1255"/>
      <c r="E128" s="1248"/>
      <c r="F128" s="1249"/>
      <c r="G128" s="702" t="s">
        <v>21</v>
      </c>
      <c r="H128" s="703">
        <f t="shared" si="31"/>
        <v>0</v>
      </c>
      <c r="I128" s="704">
        <f t="shared" si="32"/>
        <v>0</v>
      </c>
      <c r="J128" s="704">
        <f t="shared" si="44"/>
        <v>0</v>
      </c>
      <c r="K128" s="704">
        <f t="shared" si="44"/>
        <v>0</v>
      </c>
      <c r="L128" s="704">
        <f t="shared" si="33"/>
        <v>0</v>
      </c>
      <c r="M128" s="704">
        <f t="shared" si="45"/>
        <v>0</v>
      </c>
      <c r="N128" s="704">
        <f t="shared" si="45"/>
        <v>0</v>
      </c>
    </row>
    <row r="129" spans="1:14" s="624" customFormat="1" ht="13.5" customHeight="1" hidden="1">
      <c r="A129" s="1256"/>
      <c r="B129" s="1257"/>
      <c r="C129" s="1258"/>
      <c r="D129" s="1259"/>
      <c r="E129" s="1250"/>
      <c r="F129" s="1251"/>
      <c r="G129" s="705" t="s">
        <v>22</v>
      </c>
      <c r="H129" s="674">
        <f t="shared" si="31"/>
        <v>8614000</v>
      </c>
      <c r="I129" s="675">
        <f t="shared" si="32"/>
        <v>8614000</v>
      </c>
      <c r="J129" s="675">
        <f t="shared" si="44"/>
        <v>0</v>
      </c>
      <c r="K129" s="675">
        <f t="shared" si="44"/>
        <v>8614000</v>
      </c>
      <c r="L129" s="675">
        <f t="shared" si="33"/>
        <v>0</v>
      </c>
      <c r="M129" s="675">
        <f t="shared" si="45"/>
        <v>0</v>
      </c>
      <c r="N129" s="675">
        <f t="shared" si="45"/>
        <v>0</v>
      </c>
    </row>
    <row r="130" spans="1:14" s="709" customFormat="1" ht="13.5" customHeight="1" hidden="1">
      <c r="A130" s="1309"/>
      <c r="B130" s="1310"/>
      <c r="C130" s="1311"/>
      <c r="D130" s="1312"/>
      <c r="E130" s="1307" t="s">
        <v>751</v>
      </c>
      <c r="F130" s="1308"/>
      <c r="G130" s="706" t="s">
        <v>20</v>
      </c>
      <c r="H130" s="707">
        <f t="shared" si="31"/>
        <v>7414000</v>
      </c>
      <c r="I130" s="708">
        <f t="shared" si="32"/>
        <v>7414000</v>
      </c>
      <c r="J130" s="708"/>
      <c r="K130" s="708">
        <v>7414000</v>
      </c>
      <c r="L130" s="708">
        <f t="shared" si="33"/>
        <v>0</v>
      </c>
      <c r="M130" s="708"/>
      <c r="N130" s="708"/>
    </row>
    <row r="131" spans="1:14" s="709" customFormat="1" ht="13.5" customHeight="1" hidden="1">
      <c r="A131" s="1303"/>
      <c r="B131" s="1304"/>
      <c r="C131" s="1305"/>
      <c r="D131" s="1306"/>
      <c r="E131" s="1248"/>
      <c r="F131" s="1249"/>
      <c r="G131" s="706" t="s">
        <v>21</v>
      </c>
      <c r="H131" s="707">
        <f t="shared" si="31"/>
        <v>0</v>
      </c>
      <c r="I131" s="708">
        <f t="shared" si="32"/>
        <v>0</v>
      </c>
      <c r="J131" s="708"/>
      <c r="K131" s="708">
        <v>0</v>
      </c>
      <c r="L131" s="708">
        <f t="shared" si="33"/>
        <v>0</v>
      </c>
      <c r="M131" s="708"/>
      <c r="N131" s="708"/>
    </row>
    <row r="132" spans="1:14" s="709" customFormat="1" ht="13.5" customHeight="1" hidden="1">
      <c r="A132" s="1303"/>
      <c r="B132" s="1304"/>
      <c r="C132" s="1305"/>
      <c r="D132" s="1306"/>
      <c r="E132" s="1250"/>
      <c r="F132" s="1251"/>
      <c r="G132" s="706" t="s">
        <v>22</v>
      </c>
      <c r="H132" s="707">
        <f t="shared" si="31"/>
        <v>7414000</v>
      </c>
      <c r="I132" s="708">
        <f t="shared" si="32"/>
        <v>7414000</v>
      </c>
      <c r="J132" s="708">
        <f>J130+J131</f>
        <v>0</v>
      </c>
      <c r="K132" s="708">
        <f>K130+K131</f>
        <v>7414000</v>
      </c>
      <c r="L132" s="708">
        <f t="shared" si="33"/>
        <v>0</v>
      </c>
      <c r="M132" s="708">
        <f>M130+M131</f>
        <v>0</v>
      </c>
      <c r="N132" s="708">
        <f>N130+N131</f>
        <v>0</v>
      </c>
    </row>
    <row r="133" spans="1:14" s="709" customFormat="1" ht="13.5" customHeight="1" hidden="1">
      <c r="A133" s="1303"/>
      <c r="B133" s="1304"/>
      <c r="C133" s="1305"/>
      <c r="D133" s="1306"/>
      <c r="E133" s="1307" t="s">
        <v>762</v>
      </c>
      <c r="F133" s="1308"/>
      <c r="G133" s="706" t="s">
        <v>20</v>
      </c>
      <c r="H133" s="707">
        <f t="shared" si="31"/>
        <v>1200000</v>
      </c>
      <c r="I133" s="708">
        <f t="shared" si="32"/>
        <v>1200000</v>
      </c>
      <c r="J133" s="708"/>
      <c r="K133" s="708">
        <v>1200000</v>
      </c>
      <c r="L133" s="708">
        <f t="shared" si="33"/>
        <v>0</v>
      </c>
      <c r="M133" s="708"/>
      <c r="N133" s="708"/>
    </row>
    <row r="134" spans="1:14" s="709" customFormat="1" ht="13.5" customHeight="1" hidden="1">
      <c r="A134" s="1303"/>
      <c r="B134" s="1304"/>
      <c r="C134" s="1305"/>
      <c r="D134" s="1306"/>
      <c r="E134" s="1248"/>
      <c r="F134" s="1249"/>
      <c r="G134" s="706" t="s">
        <v>21</v>
      </c>
      <c r="H134" s="707">
        <f t="shared" si="31"/>
        <v>0</v>
      </c>
      <c r="I134" s="708">
        <f t="shared" si="32"/>
        <v>0</v>
      </c>
      <c r="J134" s="708"/>
      <c r="K134" s="708">
        <v>0</v>
      </c>
      <c r="L134" s="708">
        <f t="shared" si="33"/>
        <v>0</v>
      </c>
      <c r="M134" s="708"/>
      <c r="N134" s="708"/>
    </row>
    <row r="135" spans="1:14" s="709" customFormat="1" ht="13.5" customHeight="1" hidden="1">
      <c r="A135" s="1303"/>
      <c r="B135" s="1304"/>
      <c r="C135" s="1305"/>
      <c r="D135" s="1306"/>
      <c r="E135" s="1250"/>
      <c r="F135" s="1251"/>
      <c r="G135" s="706" t="s">
        <v>22</v>
      </c>
      <c r="H135" s="707">
        <f t="shared" si="31"/>
        <v>1200000</v>
      </c>
      <c r="I135" s="708">
        <f t="shared" si="32"/>
        <v>1200000</v>
      </c>
      <c r="J135" s="708">
        <f>J133+J134</f>
        <v>0</v>
      </c>
      <c r="K135" s="708">
        <f>K133+K134</f>
        <v>1200000</v>
      </c>
      <c r="L135" s="708">
        <f t="shared" si="33"/>
        <v>0</v>
      </c>
      <c r="M135" s="708">
        <f>M133+M134</f>
        <v>0</v>
      </c>
      <c r="N135" s="708">
        <f>N133+N134</f>
        <v>0</v>
      </c>
    </row>
    <row r="136" spans="1:14" s="636" customFormat="1" ht="13.5" customHeight="1" hidden="1">
      <c r="A136" s="1294" t="s">
        <v>763</v>
      </c>
      <c r="B136" s="1295"/>
      <c r="C136" s="1295"/>
      <c r="D136" s="1295"/>
      <c r="E136" s="1295"/>
      <c r="F136" s="1296"/>
      <c r="G136" s="699" t="s">
        <v>20</v>
      </c>
      <c r="H136" s="700">
        <f t="shared" si="31"/>
        <v>4200000</v>
      </c>
      <c r="I136" s="701">
        <f t="shared" si="32"/>
        <v>4200000</v>
      </c>
      <c r="J136" s="701">
        <f aca="true" t="shared" si="46" ref="J136:K138">J139+J142</f>
        <v>0</v>
      </c>
      <c r="K136" s="701">
        <f t="shared" si="46"/>
        <v>4200000</v>
      </c>
      <c r="L136" s="701">
        <f t="shared" si="33"/>
        <v>0</v>
      </c>
      <c r="M136" s="701">
        <f aca="true" t="shared" si="47" ref="M136:N138">M139+M142</f>
        <v>0</v>
      </c>
      <c r="N136" s="701">
        <f t="shared" si="47"/>
        <v>0</v>
      </c>
    </row>
    <row r="137" spans="1:14" s="636" customFormat="1" ht="13.5" customHeight="1" hidden="1">
      <c r="A137" s="1297"/>
      <c r="B137" s="1298"/>
      <c r="C137" s="1298"/>
      <c r="D137" s="1298"/>
      <c r="E137" s="1298"/>
      <c r="F137" s="1299"/>
      <c r="G137" s="699" t="s">
        <v>21</v>
      </c>
      <c r="H137" s="700">
        <f t="shared" si="31"/>
        <v>0</v>
      </c>
      <c r="I137" s="701">
        <f t="shared" si="32"/>
        <v>0</v>
      </c>
      <c r="J137" s="701">
        <f t="shared" si="46"/>
        <v>0</v>
      </c>
      <c r="K137" s="701">
        <f t="shared" si="46"/>
        <v>0</v>
      </c>
      <c r="L137" s="701">
        <f t="shared" si="33"/>
        <v>0</v>
      </c>
      <c r="M137" s="701">
        <f t="shared" si="47"/>
        <v>0</v>
      </c>
      <c r="N137" s="701">
        <f t="shared" si="47"/>
        <v>0</v>
      </c>
    </row>
    <row r="138" spans="1:14" s="636" customFormat="1" ht="13.5" customHeight="1" hidden="1">
      <c r="A138" s="1300"/>
      <c r="B138" s="1301"/>
      <c r="C138" s="1301"/>
      <c r="D138" s="1301"/>
      <c r="E138" s="1301"/>
      <c r="F138" s="1302"/>
      <c r="G138" s="699" t="s">
        <v>22</v>
      </c>
      <c r="H138" s="700">
        <f t="shared" si="31"/>
        <v>4200000</v>
      </c>
      <c r="I138" s="701">
        <f t="shared" si="32"/>
        <v>4200000</v>
      </c>
      <c r="J138" s="701">
        <f t="shared" si="46"/>
        <v>0</v>
      </c>
      <c r="K138" s="701">
        <f t="shared" si="46"/>
        <v>4200000</v>
      </c>
      <c r="L138" s="701">
        <f t="shared" si="33"/>
        <v>0</v>
      </c>
      <c r="M138" s="701">
        <f t="shared" si="47"/>
        <v>0</v>
      </c>
      <c r="N138" s="701">
        <f t="shared" si="47"/>
        <v>0</v>
      </c>
    </row>
    <row r="139" spans="1:14" s="624" customFormat="1" ht="13.5" customHeight="1" hidden="1">
      <c r="A139" s="1242" t="s">
        <v>147</v>
      </c>
      <c r="B139" s="1243"/>
      <c r="C139" s="1244" t="s">
        <v>160</v>
      </c>
      <c r="D139" s="1245"/>
      <c r="E139" s="1246" t="s">
        <v>741</v>
      </c>
      <c r="F139" s="1247"/>
      <c r="G139" s="702" t="s">
        <v>20</v>
      </c>
      <c r="H139" s="703">
        <f t="shared" si="31"/>
        <v>4100000</v>
      </c>
      <c r="I139" s="704">
        <f t="shared" si="32"/>
        <v>4100000</v>
      </c>
      <c r="J139" s="704">
        <v>0</v>
      </c>
      <c r="K139" s="704">
        <v>4100000</v>
      </c>
      <c r="L139" s="704">
        <f t="shared" si="33"/>
        <v>0</v>
      </c>
      <c r="M139" s="704">
        <v>0</v>
      </c>
      <c r="N139" s="704">
        <v>0</v>
      </c>
    </row>
    <row r="140" spans="1:14" s="624" customFormat="1" ht="13.5" customHeight="1" hidden="1">
      <c r="A140" s="1252"/>
      <c r="B140" s="1253"/>
      <c r="C140" s="1254"/>
      <c r="D140" s="1255"/>
      <c r="E140" s="1248"/>
      <c r="F140" s="1249"/>
      <c r="G140" s="702" t="s">
        <v>21</v>
      </c>
      <c r="H140" s="703">
        <f t="shared" si="31"/>
        <v>0</v>
      </c>
      <c r="I140" s="704">
        <f t="shared" si="32"/>
        <v>0</v>
      </c>
      <c r="J140" s="704">
        <v>0</v>
      </c>
      <c r="K140" s="704">
        <v>0</v>
      </c>
      <c r="L140" s="704">
        <f t="shared" si="33"/>
        <v>0</v>
      </c>
      <c r="M140" s="704">
        <v>0</v>
      </c>
      <c r="N140" s="704">
        <v>0</v>
      </c>
    </row>
    <row r="141" spans="1:14" s="624" customFormat="1" ht="13.5" customHeight="1" hidden="1">
      <c r="A141" s="1252"/>
      <c r="B141" s="1253"/>
      <c r="C141" s="1254"/>
      <c r="D141" s="1255"/>
      <c r="E141" s="1250"/>
      <c r="F141" s="1251"/>
      <c r="G141" s="702" t="s">
        <v>22</v>
      </c>
      <c r="H141" s="703">
        <f t="shared" si="31"/>
        <v>4100000</v>
      </c>
      <c r="I141" s="704">
        <f t="shared" si="32"/>
        <v>4100000</v>
      </c>
      <c r="J141" s="704">
        <f>J139+J140</f>
        <v>0</v>
      </c>
      <c r="K141" s="704">
        <f>K139+K140</f>
        <v>4100000</v>
      </c>
      <c r="L141" s="704">
        <f t="shared" si="33"/>
        <v>0</v>
      </c>
      <c r="M141" s="704">
        <f>M139+M140</f>
        <v>0</v>
      </c>
      <c r="N141" s="704">
        <f>N139+N140</f>
        <v>0</v>
      </c>
    </row>
    <row r="142" spans="1:14" s="624" customFormat="1" ht="13.5" customHeight="1" hidden="1">
      <c r="A142" s="1252"/>
      <c r="B142" s="1253"/>
      <c r="C142" s="1254"/>
      <c r="D142" s="1255"/>
      <c r="E142" s="1246" t="s">
        <v>764</v>
      </c>
      <c r="F142" s="1247"/>
      <c r="G142" s="702" t="s">
        <v>20</v>
      </c>
      <c r="H142" s="703">
        <f t="shared" si="31"/>
        <v>100000</v>
      </c>
      <c r="I142" s="704">
        <f t="shared" si="32"/>
        <v>100000</v>
      </c>
      <c r="J142" s="704">
        <v>0</v>
      </c>
      <c r="K142" s="704">
        <v>100000</v>
      </c>
      <c r="L142" s="704">
        <f t="shared" si="33"/>
        <v>0</v>
      </c>
      <c r="M142" s="704">
        <v>0</v>
      </c>
      <c r="N142" s="704">
        <v>0</v>
      </c>
    </row>
    <row r="143" spans="1:14" s="624" customFormat="1" ht="13.5" customHeight="1" hidden="1">
      <c r="A143" s="1252"/>
      <c r="B143" s="1253"/>
      <c r="C143" s="1254"/>
      <c r="D143" s="1255"/>
      <c r="E143" s="1248"/>
      <c r="F143" s="1249"/>
      <c r="G143" s="702" t="s">
        <v>21</v>
      </c>
      <c r="H143" s="703">
        <f t="shared" si="31"/>
        <v>0</v>
      </c>
      <c r="I143" s="704">
        <f t="shared" si="32"/>
        <v>0</v>
      </c>
      <c r="J143" s="704">
        <v>0</v>
      </c>
      <c r="K143" s="704">
        <v>0</v>
      </c>
      <c r="L143" s="704">
        <f t="shared" si="33"/>
        <v>0</v>
      </c>
      <c r="M143" s="704">
        <v>0</v>
      </c>
      <c r="N143" s="704">
        <v>0</v>
      </c>
    </row>
    <row r="144" spans="1:14" s="624" customFormat="1" ht="13.5" customHeight="1" hidden="1">
      <c r="A144" s="1252"/>
      <c r="B144" s="1253"/>
      <c r="C144" s="1254"/>
      <c r="D144" s="1255"/>
      <c r="E144" s="1250"/>
      <c r="F144" s="1251"/>
      <c r="G144" s="702" t="s">
        <v>22</v>
      </c>
      <c r="H144" s="703">
        <f>I144+L144</f>
        <v>100000</v>
      </c>
      <c r="I144" s="704">
        <f>J144+K144</f>
        <v>100000</v>
      </c>
      <c r="J144" s="704">
        <f>J142+J143</f>
        <v>0</v>
      </c>
      <c r="K144" s="704">
        <f>K142+K143</f>
        <v>100000</v>
      </c>
      <c r="L144" s="704">
        <f>M144+N144</f>
        <v>0</v>
      </c>
      <c r="M144" s="704">
        <f>M142+M143</f>
        <v>0</v>
      </c>
      <c r="N144" s="704">
        <f>N142+N143</f>
        <v>0</v>
      </c>
    </row>
    <row r="145" spans="1:14" s="636" customFormat="1" ht="13.5" customHeight="1" hidden="1">
      <c r="A145" s="1294" t="s">
        <v>163</v>
      </c>
      <c r="B145" s="1295"/>
      <c r="C145" s="1295"/>
      <c r="D145" s="1295"/>
      <c r="E145" s="1295"/>
      <c r="F145" s="1296"/>
      <c r="G145" s="699" t="s">
        <v>20</v>
      </c>
      <c r="H145" s="700">
        <f t="shared" si="31"/>
        <v>4100000</v>
      </c>
      <c r="I145" s="701">
        <f t="shared" si="32"/>
        <v>4100000</v>
      </c>
      <c r="J145" s="701">
        <f aca="true" t="shared" si="48" ref="J145:K147">J148</f>
        <v>0</v>
      </c>
      <c r="K145" s="701">
        <f t="shared" si="48"/>
        <v>4100000</v>
      </c>
      <c r="L145" s="701">
        <f t="shared" si="33"/>
        <v>0</v>
      </c>
      <c r="M145" s="701">
        <f aca="true" t="shared" si="49" ref="M145:N147">M148</f>
        <v>0</v>
      </c>
      <c r="N145" s="701">
        <f t="shared" si="49"/>
        <v>0</v>
      </c>
    </row>
    <row r="146" spans="1:14" s="636" customFormat="1" ht="13.5" customHeight="1" hidden="1">
      <c r="A146" s="1297"/>
      <c r="B146" s="1298"/>
      <c r="C146" s="1298"/>
      <c r="D146" s="1298"/>
      <c r="E146" s="1298"/>
      <c r="F146" s="1299"/>
      <c r="G146" s="699" t="s">
        <v>21</v>
      </c>
      <c r="H146" s="700">
        <f t="shared" si="31"/>
        <v>0</v>
      </c>
      <c r="I146" s="701">
        <f t="shared" si="32"/>
        <v>0</v>
      </c>
      <c r="J146" s="701">
        <f t="shared" si="48"/>
        <v>0</v>
      </c>
      <c r="K146" s="701">
        <f t="shared" si="48"/>
        <v>0</v>
      </c>
      <c r="L146" s="701">
        <f t="shared" si="33"/>
        <v>0</v>
      </c>
      <c r="M146" s="701">
        <f t="shared" si="49"/>
        <v>0</v>
      </c>
      <c r="N146" s="701">
        <f t="shared" si="49"/>
        <v>0</v>
      </c>
    </row>
    <row r="147" spans="1:14" s="636" customFormat="1" ht="13.5" customHeight="1" hidden="1">
      <c r="A147" s="1300"/>
      <c r="B147" s="1301"/>
      <c r="C147" s="1301"/>
      <c r="D147" s="1301"/>
      <c r="E147" s="1301"/>
      <c r="F147" s="1302"/>
      <c r="G147" s="699" t="s">
        <v>22</v>
      </c>
      <c r="H147" s="700">
        <f t="shared" si="31"/>
        <v>4100000</v>
      </c>
      <c r="I147" s="701">
        <f t="shared" si="32"/>
        <v>4100000</v>
      </c>
      <c r="J147" s="701">
        <f t="shared" si="48"/>
        <v>0</v>
      </c>
      <c r="K147" s="701">
        <f t="shared" si="48"/>
        <v>4100000</v>
      </c>
      <c r="L147" s="701">
        <f t="shared" si="33"/>
        <v>0</v>
      </c>
      <c r="M147" s="701">
        <f t="shared" si="49"/>
        <v>0</v>
      </c>
      <c r="N147" s="701">
        <f t="shared" si="49"/>
        <v>0</v>
      </c>
    </row>
    <row r="148" spans="1:14" s="624" customFormat="1" ht="13.5" customHeight="1" hidden="1">
      <c r="A148" s="1242" t="s">
        <v>147</v>
      </c>
      <c r="B148" s="1243"/>
      <c r="C148" s="1244" t="s">
        <v>160</v>
      </c>
      <c r="D148" s="1245"/>
      <c r="E148" s="1246" t="s">
        <v>741</v>
      </c>
      <c r="F148" s="1247"/>
      <c r="G148" s="702" t="s">
        <v>20</v>
      </c>
      <c r="H148" s="703">
        <f t="shared" si="31"/>
        <v>4100000</v>
      </c>
      <c r="I148" s="704">
        <f t="shared" si="32"/>
        <v>4100000</v>
      </c>
      <c r="J148" s="704">
        <v>0</v>
      </c>
      <c r="K148" s="704">
        <v>4100000</v>
      </c>
      <c r="L148" s="704">
        <f t="shared" si="33"/>
        <v>0</v>
      </c>
      <c r="M148" s="704">
        <v>0</v>
      </c>
      <c r="N148" s="704">
        <v>0</v>
      </c>
    </row>
    <row r="149" spans="1:14" s="624" customFormat="1" ht="13.5" customHeight="1" hidden="1">
      <c r="A149" s="1252"/>
      <c r="B149" s="1253"/>
      <c r="C149" s="1254"/>
      <c r="D149" s="1255"/>
      <c r="E149" s="1248"/>
      <c r="F149" s="1249"/>
      <c r="G149" s="702" t="s">
        <v>21</v>
      </c>
      <c r="H149" s="703">
        <f t="shared" si="31"/>
        <v>0</v>
      </c>
      <c r="I149" s="704">
        <f t="shared" si="32"/>
        <v>0</v>
      </c>
      <c r="J149" s="704">
        <v>0</v>
      </c>
      <c r="K149" s="704">
        <v>0</v>
      </c>
      <c r="L149" s="704">
        <f t="shared" si="33"/>
        <v>0</v>
      </c>
      <c r="M149" s="704">
        <v>0</v>
      </c>
      <c r="N149" s="704">
        <v>0</v>
      </c>
    </row>
    <row r="150" spans="1:14" s="624" customFormat="1" ht="13.5" customHeight="1" hidden="1">
      <c r="A150" s="1252"/>
      <c r="B150" s="1253"/>
      <c r="C150" s="1254"/>
      <c r="D150" s="1255"/>
      <c r="E150" s="1250"/>
      <c r="F150" s="1251"/>
      <c r="G150" s="702" t="s">
        <v>22</v>
      </c>
      <c r="H150" s="703">
        <f>I150+L150</f>
        <v>4100000</v>
      </c>
      <c r="I150" s="704">
        <f>J150+K150</f>
        <v>4100000</v>
      </c>
      <c r="J150" s="704">
        <f>J148+J149</f>
        <v>0</v>
      </c>
      <c r="K150" s="704">
        <f>K148+K149</f>
        <v>4100000</v>
      </c>
      <c r="L150" s="704">
        <f>M150+N150</f>
        <v>0</v>
      </c>
      <c r="M150" s="704">
        <f>M148+M149</f>
        <v>0</v>
      </c>
      <c r="N150" s="704">
        <f>N148+N149</f>
        <v>0</v>
      </c>
    </row>
    <row r="151" spans="1:14" s="636" customFormat="1" ht="13.5" customHeight="1" hidden="1">
      <c r="A151" s="1294" t="s">
        <v>765</v>
      </c>
      <c r="B151" s="1295"/>
      <c r="C151" s="1295"/>
      <c r="D151" s="1295"/>
      <c r="E151" s="1295"/>
      <c r="F151" s="1296"/>
      <c r="G151" s="699" t="s">
        <v>20</v>
      </c>
      <c r="H151" s="700">
        <f t="shared" si="31"/>
        <v>2400000</v>
      </c>
      <c r="I151" s="701">
        <f t="shared" si="32"/>
        <v>2400000</v>
      </c>
      <c r="J151" s="701">
        <f aca="true" t="shared" si="50" ref="J151:K153">J154</f>
        <v>0</v>
      </c>
      <c r="K151" s="701">
        <f t="shared" si="50"/>
        <v>2400000</v>
      </c>
      <c r="L151" s="701">
        <f t="shared" si="33"/>
        <v>0</v>
      </c>
      <c r="M151" s="701">
        <f aca="true" t="shared" si="51" ref="M151:N153">M154</f>
        <v>0</v>
      </c>
      <c r="N151" s="701">
        <f t="shared" si="51"/>
        <v>0</v>
      </c>
    </row>
    <row r="152" spans="1:14" s="636" customFormat="1" ht="13.5" customHeight="1" hidden="1">
      <c r="A152" s="1297"/>
      <c r="B152" s="1298"/>
      <c r="C152" s="1298"/>
      <c r="D152" s="1298"/>
      <c r="E152" s="1298"/>
      <c r="F152" s="1299"/>
      <c r="G152" s="699" t="s">
        <v>21</v>
      </c>
      <c r="H152" s="700">
        <f t="shared" si="31"/>
        <v>0</v>
      </c>
      <c r="I152" s="701">
        <f t="shared" si="32"/>
        <v>0</v>
      </c>
      <c r="J152" s="701">
        <f t="shared" si="50"/>
        <v>0</v>
      </c>
      <c r="K152" s="701">
        <f t="shared" si="50"/>
        <v>0</v>
      </c>
      <c r="L152" s="701">
        <f t="shared" si="33"/>
        <v>0</v>
      </c>
      <c r="M152" s="701">
        <f t="shared" si="51"/>
        <v>0</v>
      </c>
      <c r="N152" s="701">
        <f t="shared" si="51"/>
        <v>0</v>
      </c>
    </row>
    <row r="153" spans="1:14" s="636" customFormat="1" ht="13.5" customHeight="1" hidden="1">
      <c r="A153" s="1300"/>
      <c r="B153" s="1301"/>
      <c r="C153" s="1301"/>
      <c r="D153" s="1301"/>
      <c r="E153" s="1301"/>
      <c r="F153" s="1302"/>
      <c r="G153" s="699" t="s">
        <v>22</v>
      </c>
      <c r="H153" s="700">
        <f t="shared" si="31"/>
        <v>2400000</v>
      </c>
      <c r="I153" s="701">
        <f t="shared" si="32"/>
        <v>2400000</v>
      </c>
      <c r="J153" s="701">
        <f t="shared" si="50"/>
        <v>0</v>
      </c>
      <c r="K153" s="701">
        <f t="shared" si="50"/>
        <v>2400000</v>
      </c>
      <c r="L153" s="701">
        <f t="shared" si="33"/>
        <v>0</v>
      </c>
      <c r="M153" s="701">
        <f t="shared" si="51"/>
        <v>0</v>
      </c>
      <c r="N153" s="701">
        <f t="shared" si="51"/>
        <v>0</v>
      </c>
    </row>
    <row r="154" spans="1:14" s="624" customFormat="1" ht="13.5" customHeight="1" hidden="1">
      <c r="A154" s="1242" t="s">
        <v>147</v>
      </c>
      <c r="B154" s="1243"/>
      <c r="C154" s="1244" t="s">
        <v>160</v>
      </c>
      <c r="D154" s="1245"/>
      <c r="E154" s="1246" t="s">
        <v>741</v>
      </c>
      <c r="F154" s="1247"/>
      <c r="G154" s="702" t="s">
        <v>20</v>
      </c>
      <c r="H154" s="703">
        <f t="shared" si="31"/>
        <v>2400000</v>
      </c>
      <c r="I154" s="704">
        <f t="shared" si="32"/>
        <v>2400000</v>
      </c>
      <c r="J154" s="704">
        <v>0</v>
      </c>
      <c r="K154" s="704">
        <v>2400000</v>
      </c>
      <c r="L154" s="704">
        <f t="shared" si="33"/>
        <v>0</v>
      </c>
      <c r="M154" s="704">
        <v>0</v>
      </c>
      <c r="N154" s="704">
        <v>0</v>
      </c>
    </row>
    <row r="155" spans="1:14" s="624" customFormat="1" ht="13.5" customHeight="1" hidden="1">
      <c r="A155" s="1252"/>
      <c r="B155" s="1253"/>
      <c r="C155" s="1254"/>
      <c r="D155" s="1255"/>
      <c r="E155" s="1248"/>
      <c r="F155" s="1249"/>
      <c r="G155" s="702" t="s">
        <v>21</v>
      </c>
      <c r="H155" s="703">
        <f t="shared" si="31"/>
        <v>0</v>
      </c>
      <c r="I155" s="704">
        <f t="shared" si="32"/>
        <v>0</v>
      </c>
      <c r="J155" s="704">
        <v>0</v>
      </c>
      <c r="K155" s="704">
        <v>0</v>
      </c>
      <c r="L155" s="704">
        <f t="shared" si="33"/>
        <v>0</v>
      </c>
      <c r="M155" s="704">
        <v>0</v>
      </c>
      <c r="N155" s="704">
        <v>0</v>
      </c>
    </row>
    <row r="156" spans="1:14" s="624" customFormat="1" ht="13.5" customHeight="1" hidden="1">
      <c r="A156" s="1256"/>
      <c r="B156" s="1257"/>
      <c r="C156" s="1258"/>
      <c r="D156" s="1259"/>
      <c r="E156" s="1250"/>
      <c r="F156" s="1251"/>
      <c r="G156" s="705" t="s">
        <v>22</v>
      </c>
      <c r="H156" s="674">
        <f>I156+L156</f>
        <v>2400000</v>
      </c>
      <c r="I156" s="675">
        <f>J156+K156</f>
        <v>2400000</v>
      </c>
      <c r="J156" s="675">
        <f>J154+J155</f>
        <v>0</v>
      </c>
      <c r="K156" s="675">
        <f>K154+K155</f>
        <v>2400000</v>
      </c>
      <c r="L156" s="675">
        <f>M156+N156</f>
        <v>0</v>
      </c>
      <c r="M156" s="675">
        <f>M154+M155</f>
        <v>0</v>
      </c>
      <c r="N156" s="675">
        <f>N154+N155</f>
        <v>0</v>
      </c>
    </row>
    <row r="157" spans="1:14" s="661" customFormat="1" ht="3.75" customHeight="1" hidden="1" thickBot="1">
      <c r="A157" s="677"/>
      <c r="B157" s="678"/>
      <c r="C157" s="678"/>
      <c r="D157" s="678"/>
      <c r="E157" s="679"/>
      <c r="F157" s="680"/>
      <c r="G157" s="679"/>
      <c r="H157" s="681"/>
      <c r="I157" s="682"/>
      <c r="J157" s="682"/>
      <c r="K157" s="682"/>
      <c r="L157" s="682"/>
      <c r="M157" s="682"/>
      <c r="N157" s="683"/>
    </row>
    <row r="158" spans="1:14" s="665" customFormat="1" ht="17.25" customHeight="1" thickBot="1">
      <c r="A158" s="1290" t="s">
        <v>766</v>
      </c>
      <c r="B158" s="1291"/>
      <c r="C158" s="1291"/>
      <c r="D158" s="1291"/>
      <c r="E158" s="1291"/>
      <c r="F158" s="1291"/>
      <c r="G158" s="662" t="s">
        <v>20</v>
      </c>
      <c r="H158" s="685">
        <f>I158+L158</f>
        <v>81292650</v>
      </c>
      <c r="I158" s="685">
        <f>J158+K158</f>
        <v>54070070</v>
      </c>
      <c r="J158" s="685">
        <f aca="true" t="shared" si="52" ref="J158:K160">J162+J248+J256</f>
        <v>31664169</v>
      </c>
      <c r="K158" s="685">
        <f t="shared" si="52"/>
        <v>22405901</v>
      </c>
      <c r="L158" s="685">
        <f>M158+N158</f>
        <v>27222580</v>
      </c>
      <c r="M158" s="685">
        <f aca="true" t="shared" si="53" ref="M158:N160">M162+M248+M256</f>
        <v>1925001</v>
      </c>
      <c r="N158" s="685">
        <f t="shared" si="53"/>
        <v>25297579</v>
      </c>
    </row>
    <row r="159" spans="1:14" s="665" customFormat="1" ht="17.25" customHeight="1" thickBot="1">
      <c r="A159" s="1274"/>
      <c r="B159" s="1275"/>
      <c r="C159" s="1275"/>
      <c r="D159" s="1275"/>
      <c r="E159" s="1275"/>
      <c r="F159" s="1275"/>
      <c r="G159" s="662" t="s">
        <v>21</v>
      </c>
      <c r="H159" s="685">
        <f>I159+L159</f>
        <v>2347208</v>
      </c>
      <c r="I159" s="685">
        <f>J159+K159</f>
        <v>79922</v>
      </c>
      <c r="J159" s="685">
        <f t="shared" si="52"/>
        <v>656730</v>
      </c>
      <c r="K159" s="685">
        <f t="shared" si="52"/>
        <v>-576808</v>
      </c>
      <c r="L159" s="685">
        <f>M159+N159</f>
        <v>2267286</v>
      </c>
      <c r="M159" s="685">
        <f t="shared" si="53"/>
        <v>200000</v>
      </c>
      <c r="N159" s="685">
        <f t="shared" si="53"/>
        <v>2067286</v>
      </c>
    </row>
    <row r="160" spans="1:14" s="665" customFormat="1" ht="17.25" customHeight="1" thickBot="1">
      <c r="A160" s="1292"/>
      <c r="B160" s="1293"/>
      <c r="C160" s="1293"/>
      <c r="D160" s="1293"/>
      <c r="E160" s="1293"/>
      <c r="F160" s="1293"/>
      <c r="G160" s="662" t="s">
        <v>22</v>
      </c>
      <c r="H160" s="685">
        <f>I160+L160</f>
        <v>83639858</v>
      </c>
      <c r="I160" s="685">
        <f>J160+K160</f>
        <v>54149992</v>
      </c>
      <c r="J160" s="685">
        <f t="shared" si="52"/>
        <v>32320899</v>
      </c>
      <c r="K160" s="685">
        <f t="shared" si="52"/>
        <v>21829093</v>
      </c>
      <c r="L160" s="685">
        <f>M160+N160</f>
        <v>29489866</v>
      </c>
      <c r="M160" s="685">
        <f t="shared" si="53"/>
        <v>2125001</v>
      </c>
      <c r="N160" s="685">
        <f t="shared" si="53"/>
        <v>27364865</v>
      </c>
    </row>
    <row r="161" spans="1:14" s="661" customFormat="1" ht="3.75" customHeight="1">
      <c r="A161" s="686"/>
      <c r="B161" s="668"/>
      <c r="C161" s="668"/>
      <c r="D161" s="668"/>
      <c r="E161" s="669"/>
      <c r="F161" s="669"/>
      <c r="G161" s="669"/>
      <c r="H161" s="670"/>
      <c r="I161" s="671"/>
      <c r="J161" s="671"/>
      <c r="K161" s="671"/>
      <c r="L161" s="671"/>
      <c r="M161" s="671"/>
      <c r="N161" s="672"/>
    </row>
    <row r="162" spans="1:14" s="715" customFormat="1" ht="16.5" customHeight="1">
      <c r="A162" s="1280" t="s">
        <v>767</v>
      </c>
      <c r="B162" s="1281"/>
      <c r="C162" s="1281"/>
      <c r="D162" s="1281"/>
      <c r="E162" s="1281"/>
      <c r="F162" s="1282"/>
      <c r="G162" s="712" t="s">
        <v>20</v>
      </c>
      <c r="H162" s="713">
        <f>I162+L162</f>
        <v>49812485</v>
      </c>
      <c r="I162" s="714">
        <f>J162+K162</f>
        <v>31876606</v>
      </c>
      <c r="J162" s="714">
        <f aca="true" t="shared" si="54" ref="J162:K164">J166+J169+J172+J175+J178+J181+J184+J187+J190+J193+J196+J199+J202+J205+J208+J211+J214+J217+J220+J223+J226+J229+J232+J235+J238+J241+J244</f>
        <v>16816121</v>
      </c>
      <c r="K162" s="714">
        <f t="shared" si="54"/>
        <v>15060485</v>
      </c>
      <c r="L162" s="714">
        <f>M162+N162</f>
        <v>17935879</v>
      </c>
      <c r="M162" s="714">
        <f aca="true" t="shared" si="55" ref="M162:N164">M166+M169+M172+M175+M178+M181+M184+M187+M190+M193+M196+M199+M202+M205+M208+M211+M214+M217+M220+M223+M226+M229+M232+M235+M238+M241+M244</f>
        <v>1925001</v>
      </c>
      <c r="N162" s="714">
        <f t="shared" si="55"/>
        <v>16010878</v>
      </c>
    </row>
    <row r="163" spans="1:14" s="715" customFormat="1" ht="16.5" customHeight="1">
      <c r="A163" s="1274"/>
      <c r="B163" s="1275"/>
      <c r="C163" s="1275"/>
      <c r="D163" s="1275"/>
      <c r="E163" s="1275"/>
      <c r="F163" s="1276"/>
      <c r="G163" s="712" t="s">
        <v>21</v>
      </c>
      <c r="H163" s="713">
        <f>I163+L163</f>
        <v>1490478</v>
      </c>
      <c r="I163" s="714">
        <f>J163+K163</f>
        <v>-576808</v>
      </c>
      <c r="J163" s="714">
        <f t="shared" si="54"/>
        <v>0</v>
      </c>
      <c r="K163" s="714">
        <f t="shared" si="54"/>
        <v>-576808</v>
      </c>
      <c r="L163" s="714">
        <f>M163+N163</f>
        <v>2067286</v>
      </c>
      <c r="M163" s="714">
        <f t="shared" si="55"/>
        <v>0</v>
      </c>
      <c r="N163" s="714">
        <f t="shared" si="55"/>
        <v>2067286</v>
      </c>
    </row>
    <row r="164" spans="1:14" s="715" customFormat="1" ht="16.5" customHeight="1">
      <c r="A164" s="1277"/>
      <c r="B164" s="1278"/>
      <c r="C164" s="1278"/>
      <c r="D164" s="1278"/>
      <c r="E164" s="1278"/>
      <c r="F164" s="1279"/>
      <c r="G164" s="712" t="s">
        <v>22</v>
      </c>
      <c r="H164" s="713">
        <f>I164+L164</f>
        <v>51302963</v>
      </c>
      <c r="I164" s="714">
        <f>J164+K164</f>
        <v>31299798</v>
      </c>
      <c r="J164" s="714">
        <f t="shared" si="54"/>
        <v>16816121</v>
      </c>
      <c r="K164" s="714">
        <f t="shared" si="54"/>
        <v>14483677</v>
      </c>
      <c r="L164" s="714">
        <f>M164+N164</f>
        <v>20003165</v>
      </c>
      <c r="M164" s="714">
        <f t="shared" si="55"/>
        <v>1925001</v>
      </c>
      <c r="N164" s="714">
        <f t="shared" si="55"/>
        <v>18078164</v>
      </c>
    </row>
    <row r="165" spans="1:14" s="698" customFormat="1" ht="3.75" customHeight="1">
      <c r="A165" s="691"/>
      <c r="B165" s="692"/>
      <c r="C165" s="716"/>
      <c r="D165" s="716"/>
      <c r="E165" s="693"/>
      <c r="F165" s="693"/>
      <c r="G165" s="717"/>
      <c r="H165" s="718"/>
      <c r="I165" s="719"/>
      <c r="J165" s="719"/>
      <c r="K165" s="719"/>
      <c r="L165" s="719"/>
      <c r="M165" s="719"/>
      <c r="N165" s="720"/>
    </row>
    <row r="166" spans="1:14" s="624" customFormat="1" ht="13.5" customHeight="1" hidden="1">
      <c r="A166" s="1242" t="s">
        <v>290</v>
      </c>
      <c r="B166" s="1243"/>
      <c r="C166" s="1244" t="s">
        <v>294</v>
      </c>
      <c r="D166" s="1245"/>
      <c r="E166" s="721" t="s">
        <v>625</v>
      </c>
      <c r="F166" s="1289" t="s">
        <v>627</v>
      </c>
      <c r="G166" s="722" t="s">
        <v>20</v>
      </c>
      <c r="H166" s="703">
        <f aca="true" t="shared" si="56" ref="H166:H229">I166+L166</f>
        <v>466000</v>
      </c>
      <c r="I166" s="704">
        <f aca="true" t="shared" si="57" ref="I166:I229">J166+K166</f>
        <v>135000</v>
      </c>
      <c r="J166" s="704">
        <v>10000</v>
      </c>
      <c r="K166" s="704">
        <f>75000+50000</f>
        <v>125000</v>
      </c>
      <c r="L166" s="704">
        <f aca="true" t="shared" si="58" ref="L166:L229">M166+N166</f>
        <v>331000</v>
      </c>
      <c r="M166" s="704">
        <v>31000</v>
      </c>
      <c r="N166" s="704">
        <v>300000</v>
      </c>
    </row>
    <row r="167" spans="1:14" s="624" customFormat="1" ht="13.5" customHeight="1" hidden="1">
      <c r="A167" s="1252"/>
      <c r="B167" s="1253"/>
      <c r="C167" s="1254"/>
      <c r="D167" s="1255"/>
      <c r="E167" s="723"/>
      <c r="F167" s="1287"/>
      <c r="G167" s="722" t="s">
        <v>21</v>
      </c>
      <c r="H167" s="703">
        <f t="shared" si="56"/>
        <v>0</v>
      </c>
      <c r="I167" s="704">
        <f t="shared" si="57"/>
        <v>0</v>
      </c>
      <c r="J167" s="704">
        <v>0</v>
      </c>
      <c r="K167" s="704">
        <v>0</v>
      </c>
      <c r="L167" s="704">
        <f t="shared" si="58"/>
        <v>0</v>
      </c>
      <c r="M167" s="704">
        <v>0</v>
      </c>
      <c r="N167" s="704">
        <v>0</v>
      </c>
    </row>
    <row r="168" spans="1:14" s="624" customFormat="1" ht="13.5" customHeight="1" hidden="1">
      <c r="A168" s="1252"/>
      <c r="B168" s="1253"/>
      <c r="C168" s="1254"/>
      <c r="D168" s="1255"/>
      <c r="E168" s="724"/>
      <c r="F168" s="1288"/>
      <c r="G168" s="722" t="s">
        <v>22</v>
      </c>
      <c r="H168" s="703">
        <f t="shared" si="56"/>
        <v>466000</v>
      </c>
      <c r="I168" s="704">
        <f t="shared" si="57"/>
        <v>135000</v>
      </c>
      <c r="J168" s="704">
        <f>J167+J166</f>
        <v>10000</v>
      </c>
      <c r="K168" s="704">
        <f>K167+K166</f>
        <v>125000</v>
      </c>
      <c r="L168" s="704">
        <f t="shared" si="58"/>
        <v>331000</v>
      </c>
      <c r="M168" s="704">
        <f>M167+M166</f>
        <v>31000</v>
      </c>
      <c r="N168" s="704">
        <f>N167+N166</f>
        <v>300000</v>
      </c>
    </row>
    <row r="169" spans="1:14" s="624" customFormat="1" ht="14.25" customHeight="1" hidden="1">
      <c r="A169" s="1252"/>
      <c r="B169" s="1253"/>
      <c r="C169" s="1254"/>
      <c r="D169" s="1255"/>
      <c r="E169" s="721" t="s">
        <v>590</v>
      </c>
      <c r="F169" s="1289" t="s">
        <v>643</v>
      </c>
      <c r="G169" s="722" t="s">
        <v>20</v>
      </c>
      <c r="H169" s="703">
        <f t="shared" si="56"/>
        <v>375000</v>
      </c>
      <c r="I169" s="704">
        <f t="shared" si="57"/>
        <v>75000</v>
      </c>
      <c r="J169" s="704">
        <v>0</v>
      </c>
      <c r="K169" s="704">
        <v>75000</v>
      </c>
      <c r="L169" s="704">
        <f t="shared" si="58"/>
        <v>300000</v>
      </c>
      <c r="M169" s="704">
        <v>0</v>
      </c>
      <c r="N169" s="704">
        <v>300000</v>
      </c>
    </row>
    <row r="170" spans="1:14" s="624" customFormat="1" ht="14.25" customHeight="1" hidden="1">
      <c r="A170" s="1252"/>
      <c r="B170" s="1253"/>
      <c r="C170" s="1254"/>
      <c r="D170" s="1255"/>
      <c r="E170" s="723"/>
      <c r="F170" s="1287"/>
      <c r="G170" s="722" t="s">
        <v>21</v>
      </c>
      <c r="H170" s="703">
        <f t="shared" si="56"/>
        <v>0</v>
      </c>
      <c r="I170" s="704">
        <f t="shared" si="57"/>
        <v>0</v>
      </c>
      <c r="J170" s="704">
        <v>0</v>
      </c>
      <c r="K170" s="704">
        <v>0</v>
      </c>
      <c r="L170" s="704">
        <f t="shared" si="58"/>
        <v>0</v>
      </c>
      <c r="M170" s="704">
        <v>0</v>
      </c>
      <c r="N170" s="704">
        <v>0</v>
      </c>
    </row>
    <row r="171" spans="1:14" s="624" customFormat="1" ht="14.25" customHeight="1" hidden="1">
      <c r="A171" s="1256"/>
      <c r="B171" s="1257"/>
      <c r="C171" s="1258"/>
      <c r="D171" s="1259"/>
      <c r="E171" s="724"/>
      <c r="F171" s="1288"/>
      <c r="G171" s="725" t="s">
        <v>22</v>
      </c>
      <c r="H171" s="674">
        <f>I171+L171</f>
        <v>375000</v>
      </c>
      <c r="I171" s="675">
        <f>J171+K171</f>
        <v>75000</v>
      </c>
      <c r="J171" s="675">
        <f>J170+J169</f>
        <v>0</v>
      </c>
      <c r="K171" s="675">
        <f>K170+K169</f>
        <v>75000</v>
      </c>
      <c r="L171" s="675">
        <f>M171+N171</f>
        <v>300000</v>
      </c>
      <c r="M171" s="675">
        <f>M170+M169</f>
        <v>0</v>
      </c>
      <c r="N171" s="675">
        <f>N170+N169</f>
        <v>300000</v>
      </c>
    </row>
    <row r="172" spans="1:14" s="624" customFormat="1" ht="13.5" customHeight="1" hidden="1">
      <c r="A172" s="1242"/>
      <c r="B172" s="1243"/>
      <c r="C172" s="1244"/>
      <c r="D172" s="1245"/>
      <c r="E172" s="721"/>
      <c r="F172" s="1289" t="s">
        <v>768</v>
      </c>
      <c r="G172" s="722" t="s">
        <v>20</v>
      </c>
      <c r="H172" s="703">
        <f t="shared" si="56"/>
        <v>6310060</v>
      </c>
      <c r="I172" s="704">
        <f t="shared" si="57"/>
        <v>0</v>
      </c>
      <c r="J172" s="704">
        <v>0</v>
      </c>
      <c r="K172" s="704">
        <v>0</v>
      </c>
      <c r="L172" s="704">
        <f t="shared" si="58"/>
        <v>6310060</v>
      </c>
      <c r="M172" s="704">
        <v>0</v>
      </c>
      <c r="N172" s="704">
        <v>6310060</v>
      </c>
    </row>
    <row r="173" spans="1:14" s="624" customFormat="1" ht="13.5" customHeight="1" hidden="1">
      <c r="A173" s="1252"/>
      <c r="B173" s="1253"/>
      <c r="C173" s="1254"/>
      <c r="D173" s="1255"/>
      <c r="E173" s="723"/>
      <c r="F173" s="1287"/>
      <c r="G173" s="722" t="s">
        <v>21</v>
      </c>
      <c r="H173" s="703">
        <f t="shared" si="56"/>
        <v>0</v>
      </c>
      <c r="I173" s="704">
        <f t="shared" si="57"/>
        <v>0</v>
      </c>
      <c r="J173" s="704">
        <v>0</v>
      </c>
      <c r="K173" s="704">
        <v>0</v>
      </c>
      <c r="L173" s="704">
        <f t="shared" si="58"/>
        <v>0</v>
      </c>
      <c r="M173" s="704">
        <v>0</v>
      </c>
      <c r="N173" s="704">
        <v>0</v>
      </c>
    </row>
    <row r="174" spans="1:14" s="624" customFormat="1" ht="13.5" customHeight="1" hidden="1">
      <c r="A174" s="1256"/>
      <c r="B174" s="1257"/>
      <c r="C174" s="1258"/>
      <c r="D174" s="1259"/>
      <c r="E174" s="724"/>
      <c r="F174" s="1288"/>
      <c r="G174" s="725" t="s">
        <v>22</v>
      </c>
      <c r="H174" s="674">
        <f>I174+L174</f>
        <v>6310060</v>
      </c>
      <c r="I174" s="675">
        <f>J174+K174</f>
        <v>0</v>
      </c>
      <c r="J174" s="675">
        <f>J173+J172</f>
        <v>0</v>
      </c>
      <c r="K174" s="675">
        <f>K173+K172</f>
        <v>0</v>
      </c>
      <c r="L174" s="675">
        <f>M174+N174</f>
        <v>6310060</v>
      </c>
      <c r="M174" s="675">
        <f>M173+M172</f>
        <v>0</v>
      </c>
      <c r="N174" s="675">
        <f>N173+N172</f>
        <v>6310060</v>
      </c>
    </row>
    <row r="175" spans="1:14" s="624" customFormat="1" ht="13.5" customHeight="1" hidden="1">
      <c r="A175" s="1242" t="s">
        <v>297</v>
      </c>
      <c r="B175" s="1243"/>
      <c r="C175" s="1244" t="s">
        <v>299</v>
      </c>
      <c r="D175" s="1245"/>
      <c r="E175" s="721" t="s">
        <v>609</v>
      </c>
      <c r="F175" s="1289" t="s">
        <v>611</v>
      </c>
      <c r="G175" s="725" t="s">
        <v>20</v>
      </c>
      <c r="H175" s="674">
        <f t="shared" si="56"/>
        <v>2856645</v>
      </c>
      <c r="I175" s="675">
        <f t="shared" si="57"/>
        <v>2142484</v>
      </c>
      <c r="J175" s="675">
        <v>2142484</v>
      </c>
      <c r="K175" s="675">
        <v>0</v>
      </c>
      <c r="L175" s="675">
        <f t="shared" si="58"/>
        <v>714161</v>
      </c>
      <c r="M175" s="675">
        <v>714161</v>
      </c>
      <c r="N175" s="675">
        <v>0</v>
      </c>
    </row>
    <row r="176" spans="1:14" s="624" customFormat="1" ht="13.5" customHeight="1" hidden="1">
      <c r="A176" s="1252"/>
      <c r="B176" s="1253"/>
      <c r="C176" s="1254"/>
      <c r="D176" s="1255"/>
      <c r="E176" s="723"/>
      <c r="F176" s="1287"/>
      <c r="G176" s="725" t="s">
        <v>21</v>
      </c>
      <c r="H176" s="674">
        <f t="shared" si="56"/>
        <v>0</v>
      </c>
      <c r="I176" s="675">
        <f t="shared" si="57"/>
        <v>0</v>
      </c>
      <c r="J176" s="675">
        <v>0</v>
      </c>
      <c r="K176" s="675">
        <v>0</v>
      </c>
      <c r="L176" s="675">
        <f t="shared" si="58"/>
        <v>0</v>
      </c>
      <c r="M176" s="675">
        <v>0</v>
      </c>
      <c r="N176" s="675">
        <v>0</v>
      </c>
    </row>
    <row r="177" spans="1:14" s="624" customFormat="1" ht="13.5" customHeight="1" hidden="1">
      <c r="A177" s="1252"/>
      <c r="B177" s="1253"/>
      <c r="C177" s="1254"/>
      <c r="D177" s="1255"/>
      <c r="E177" s="724"/>
      <c r="F177" s="1288"/>
      <c r="G177" s="722" t="s">
        <v>22</v>
      </c>
      <c r="H177" s="703">
        <f>I177+L177</f>
        <v>2856645</v>
      </c>
      <c r="I177" s="704">
        <f>J177+K177</f>
        <v>2142484</v>
      </c>
      <c r="J177" s="704">
        <f>J176+J175</f>
        <v>2142484</v>
      </c>
      <c r="K177" s="704">
        <f>K176+K175</f>
        <v>0</v>
      </c>
      <c r="L177" s="704">
        <f>M177+N177</f>
        <v>714161</v>
      </c>
      <c r="M177" s="704">
        <f>M176+M175</f>
        <v>714161</v>
      </c>
      <c r="N177" s="704">
        <f>N176+N175</f>
        <v>0</v>
      </c>
    </row>
    <row r="178" spans="1:14" s="727" customFormat="1" ht="13.5" customHeight="1" hidden="1">
      <c r="A178" s="1260"/>
      <c r="B178" s="1261"/>
      <c r="C178" s="1262"/>
      <c r="D178" s="1263"/>
      <c r="E178" s="726" t="s">
        <v>613</v>
      </c>
      <c r="F178" s="1289" t="s">
        <v>614</v>
      </c>
      <c r="G178" s="722" t="s">
        <v>20</v>
      </c>
      <c r="H178" s="703">
        <f t="shared" si="56"/>
        <v>2137198</v>
      </c>
      <c r="I178" s="704">
        <f t="shared" si="57"/>
        <v>1602898</v>
      </c>
      <c r="J178" s="704">
        <v>1602898</v>
      </c>
      <c r="K178" s="704">
        <v>0</v>
      </c>
      <c r="L178" s="704">
        <f t="shared" si="58"/>
        <v>534300</v>
      </c>
      <c r="M178" s="704">
        <v>534300</v>
      </c>
      <c r="N178" s="704">
        <v>0</v>
      </c>
    </row>
    <row r="179" spans="1:14" s="727" customFormat="1" ht="13.5" customHeight="1" hidden="1">
      <c r="A179" s="1260"/>
      <c r="B179" s="1261"/>
      <c r="C179" s="1262"/>
      <c r="D179" s="1263"/>
      <c r="E179" s="728"/>
      <c r="F179" s="1287"/>
      <c r="G179" s="722" t="s">
        <v>21</v>
      </c>
      <c r="H179" s="703">
        <f t="shared" si="56"/>
        <v>0</v>
      </c>
      <c r="I179" s="704">
        <f t="shared" si="57"/>
        <v>0</v>
      </c>
      <c r="J179" s="704">
        <v>0</v>
      </c>
      <c r="K179" s="704">
        <v>0</v>
      </c>
      <c r="L179" s="704">
        <f t="shared" si="58"/>
        <v>0</v>
      </c>
      <c r="M179" s="704">
        <v>0</v>
      </c>
      <c r="N179" s="704">
        <v>0</v>
      </c>
    </row>
    <row r="180" spans="1:14" s="624" customFormat="1" ht="13.5" customHeight="1" hidden="1">
      <c r="A180" s="1252"/>
      <c r="B180" s="1253"/>
      <c r="C180" s="1254"/>
      <c r="D180" s="1255"/>
      <c r="E180" s="724"/>
      <c r="F180" s="1288"/>
      <c r="G180" s="722" t="s">
        <v>22</v>
      </c>
      <c r="H180" s="703">
        <f>I180+L180</f>
        <v>2137198</v>
      </c>
      <c r="I180" s="704">
        <f>J180+K180</f>
        <v>1602898</v>
      </c>
      <c r="J180" s="704">
        <f>J179+J178</f>
        <v>1602898</v>
      </c>
      <c r="K180" s="704">
        <f>K179+K178</f>
        <v>0</v>
      </c>
      <c r="L180" s="704">
        <f>M180+N180</f>
        <v>534300</v>
      </c>
      <c r="M180" s="704">
        <f>M179+M178</f>
        <v>534300</v>
      </c>
      <c r="N180" s="704">
        <f>N179+N178</f>
        <v>0</v>
      </c>
    </row>
    <row r="181" spans="1:14" s="727" customFormat="1" ht="13.5" customHeight="1" hidden="1">
      <c r="A181" s="1264" t="s">
        <v>27</v>
      </c>
      <c r="B181" s="1265"/>
      <c r="C181" s="1266" t="s">
        <v>31</v>
      </c>
      <c r="D181" s="1267"/>
      <c r="E181" s="726" t="s">
        <v>496</v>
      </c>
      <c r="F181" s="1289" t="s">
        <v>769</v>
      </c>
      <c r="G181" s="725" t="s">
        <v>20</v>
      </c>
      <c r="H181" s="674">
        <f t="shared" si="56"/>
        <v>17796</v>
      </c>
      <c r="I181" s="675">
        <f t="shared" si="57"/>
        <v>17796</v>
      </c>
      <c r="J181" s="675">
        <v>17796</v>
      </c>
      <c r="K181" s="675">
        <v>0</v>
      </c>
      <c r="L181" s="675">
        <f t="shared" si="58"/>
        <v>0</v>
      </c>
      <c r="M181" s="675">
        <v>0</v>
      </c>
      <c r="N181" s="675">
        <v>0</v>
      </c>
    </row>
    <row r="182" spans="1:14" s="727" customFormat="1" ht="13.5" customHeight="1" hidden="1">
      <c r="A182" s="1260"/>
      <c r="B182" s="1261"/>
      <c r="C182" s="1262"/>
      <c r="D182" s="1263"/>
      <c r="E182" s="728"/>
      <c r="F182" s="1287"/>
      <c r="G182" s="725" t="s">
        <v>21</v>
      </c>
      <c r="H182" s="674">
        <f t="shared" si="56"/>
        <v>0</v>
      </c>
      <c r="I182" s="675">
        <f t="shared" si="57"/>
        <v>0</v>
      </c>
      <c r="J182" s="675">
        <v>0</v>
      </c>
      <c r="K182" s="675">
        <v>0</v>
      </c>
      <c r="L182" s="675">
        <f t="shared" si="58"/>
        <v>0</v>
      </c>
      <c r="M182" s="675">
        <v>0</v>
      </c>
      <c r="N182" s="675">
        <v>0</v>
      </c>
    </row>
    <row r="183" spans="1:14" s="624" customFormat="1" ht="13.5" customHeight="1" hidden="1">
      <c r="A183" s="1252"/>
      <c r="B183" s="1253"/>
      <c r="C183" s="1254"/>
      <c r="D183" s="1255"/>
      <c r="E183" s="724"/>
      <c r="F183" s="1288"/>
      <c r="G183" s="722" t="s">
        <v>22</v>
      </c>
      <c r="H183" s="703">
        <f>I183+L183</f>
        <v>17796</v>
      </c>
      <c r="I183" s="704">
        <f>J183+K183</f>
        <v>17796</v>
      </c>
      <c r="J183" s="704">
        <f>J182+J181</f>
        <v>17796</v>
      </c>
      <c r="K183" s="704">
        <f>K182+K181</f>
        <v>0</v>
      </c>
      <c r="L183" s="704">
        <f>M183+N183</f>
        <v>0</v>
      </c>
      <c r="M183" s="704">
        <f>M182+M181</f>
        <v>0</v>
      </c>
      <c r="N183" s="704">
        <f>N182+N181</f>
        <v>0</v>
      </c>
    </row>
    <row r="184" spans="1:14" s="624" customFormat="1" ht="13.5" customHeight="1" hidden="1">
      <c r="A184" s="1242" t="s">
        <v>317</v>
      </c>
      <c r="B184" s="1243"/>
      <c r="C184" s="1244" t="s">
        <v>319</v>
      </c>
      <c r="D184" s="1245"/>
      <c r="E184" s="721" t="s">
        <v>486</v>
      </c>
      <c r="F184" s="1289" t="s">
        <v>770</v>
      </c>
      <c r="G184" s="725" t="s">
        <v>20</v>
      </c>
      <c r="H184" s="674">
        <f t="shared" si="56"/>
        <v>12098326</v>
      </c>
      <c r="I184" s="675">
        <f t="shared" si="57"/>
        <v>12098326</v>
      </c>
      <c r="J184" s="675">
        <v>11248326</v>
      </c>
      <c r="K184" s="675">
        <v>850000</v>
      </c>
      <c r="L184" s="675">
        <f t="shared" si="58"/>
        <v>0</v>
      </c>
      <c r="M184" s="675">
        <v>0</v>
      </c>
      <c r="N184" s="675">
        <v>0</v>
      </c>
    </row>
    <row r="185" spans="1:14" s="624" customFormat="1" ht="13.5" customHeight="1" hidden="1">
      <c r="A185" s="1252"/>
      <c r="B185" s="1253"/>
      <c r="C185" s="1254"/>
      <c r="D185" s="1255"/>
      <c r="E185" s="723"/>
      <c r="F185" s="1287"/>
      <c r="G185" s="725" t="s">
        <v>21</v>
      </c>
      <c r="H185" s="674">
        <f t="shared" si="56"/>
        <v>0</v>
      </c>
      <c r="I185" s="675">
        <f t="shared" si="57"/>
        <v>0</v>
      </c>
      <c r="J185" s="675">
        <v>0</v>
      </c>
      <c r="K185" s="675">
        <v>0</v>
      </c>
      <c r="L185" s="675">
        <f t="shared" si="58"/>
        <v>0</v>
      </c>
      <c r="M185" s="675">
        <v>0</v>
      </c>
      <c r="N185" s="675">
        <v>0</v>
      </c>
    </row>
    <row r="186" spans="1:14" s="624" customFormat="1" ht="13.5" customHeight="1" hidden="1">
      <c r="A186" s="1252"/>
      <c r="B186" s="1253"/>
      <c r="C186" s="1254"/>
      <c r="D186" s="1255"/>
      <c r="E186" s="723"/>
      <c r="F186" s="1288"/>
      <c r="G186" s="722" t="s">
        <v>22</v>
      </c>
      <c r="H186" s="703">
        <f>I186+L186</f>
        <v>12098326</v>
      </c>
      <c r="I186" s="704">
        <f>J186+K186</f>
        <v>12098326</v>
      </c>
      <c r="J186" s="704">
        <f>J185+J184</f>
        <v>11248326</v>
      </c>
      <c r="K186" s="704">
        <f>K185+K184</f>
        <v>850000</v>
      </c>
      <c r="L186" s="704">
        <f>M186+N186</f>
        <v>0</v>
      </c>
      <c r="M186" s="704">
        <f>M185+M184</f>
        <v>0</v>
      </c>
      <c r="N186" s="704">
        <f>N185+N184</f>
        <v>0</v>
      </c>
    </row>
    <row r="187" spans="1:14" s="624" customFormat="1" ht="13.5" customHeight="1" hidden="1">
      <c r="A187" s="1252"/>
      <c r="B187" s="1253"/>
      <c r="C187" s="1254"/>
      <c r="D187" s="1255"/>
      <c r="E187" s="723"/>
      <c r="F187" s="1289" t="s">
        <v>771</v>
      </c>
      <c r="G187" s="725" t="s">
        <v>20</v>
      </c>
      <c r="H187" s="674">
        <f t="shared" si="56"/>
        <v>1437360</v>
      </c>
      <c r="I187" s="675">
        <f t="shared" si="57"/>
        <v>1078020</v>
      </c>
      <c r="J187" s="675">
        <v>1078020</v>
      </c>
      <c r="K187" s="675">
        <v>0</v>
      </c>
      <c r="L187" s="675">
        <f t="shared" si="58"/>
        <v>359340</v>
      </c>
      <c r="M187" s="675">
        <v>359340</v>
      </c>
      <c r="N187" s="675">
        <v>0</v>
      </c>
    </row>
    <row r="188" spans="1:14" s="624" customFormat="1" ht="13.5" customHeight="1" hidden="1">
      <c r="A188" s="1252"/>
      <c r="B188" s="1253"/>
      <c r="C188" s="1254"/>
      <c r="D188" s="1255"/>
      <c r="E188" s="723"/>
      <c r="F188" s="1287"/>
      <c r="G188" s="725" t="s">
        <v>21</v>
      </c>
      <c r="H188" s="674">
        <f t="shared" si="56"/>
        <v>0</v>
      </c>
      <c r="I188" s="675">
        <f t="shared" si="57"/>
        <v>0</v>
      </c>
      <c r="J188" s="675">
        <v>0</v>
      </c>
      <c r="K188" s="675">
        <v>0</v>
      </c>
      <c r="L188" s="675">
        <f t="shared" si="58"/>
        <v>0</v>
      </c>
      <c r="M188" s="675">
        <v>0</v>
      </c>
      <c r="N188" s="675">
        <v>0</v>
      </c>
    </row>
    <row r="189" spans="1:14" s="624" customFormat="1" ht="13.5" customHeight="1" hidden="1">
      <c r="A189" s="1252"/>
      <c r="B189" s="1253"/>
      <c r="C189" s="1254"/>
      <c r="D189" s="1255"/>
      <c r="E189" s="724"/>
      <c r="F189" s="1288"/>
      <c r="G189" s="722" t="s">
        <v>22</v>
      </c>
      <c r="H189" s="703">
        <f>I189+L189</f>
        <v>1437360</v>
      </c>
      <c r="I189" s="704">
        <f>J189+K189</f>
        <v>1078020</v>
      </c>
      <c r="J189" s="704">
        <f>J188+J187</f>
        <v>1078020</v>
      </c>
      <c r="K189" s="704">
        <f>K188+K187</f>
        <v>0</v>
      </c>
      <c r="L189" s="704">
        <f>M189+N189</f>
        <v>359340</v>
      </c>
      <c r="M189" s="704">
        <f>M188+M187</f>
        <v>359340</v>
      </c>
      <c r="N189" s="704">
        <f>N188+N187</f>
        <v>0</v>
      </c>
    </row>
    <row r="190" spans="1:14" s="727" customFormat="1" ht="13.5" customHeight="1" hidden="1">
      <c r="A190" s="1260"/>
      <c r="B190" s="1261"/>
      <c r="C190" s="1262"/>
      <c r="D190" s="1263"/>
      <c r="E190" s="726" t="s">
        <v>493</v>
      </c>
      <c r="F190" s="1289" t="s">
        <v>608</v>
      </c>
      <c r="G190" s="722" t="s">
        <v>20</v>
      </c>
      <c r="H190" s="703">
        <f t="shared" si="56"/>
        <v>522518</v>
      </c>
      <c r="I190" s="704">
        <f t="shared" si="57"/>
        <v>391888</v>
      </c>
      <c r="J190" s="704">
        <v>391888</v>
      </c>
      <c r="K190" s="704">
        <v>0</v>
      </c>
      <c r="L190" s="704">
        <f t="shared" si="58"/>
        <v>130630</v>
      </c>
      <c r="M190" s="704">
        <v>130630</v>
      </c>
      <c r="N190" s="704">
        <v>0</v>
      </c>
    </row>
    <row r="191" spans="1:14" s="727" customFormat="1" ht="13.5" customHeight="1" hidden="1">
      <c r="A191" s="1260"/>
      <c r="B191" s="1261"/>
      <c r="C191" s="1262"/>
      <c r="D191" s="1263"/>
      <c r="E191" s="728"/>
      <c r="F191" s="1287"/>
      <c r="G191" s="722" t="s">
        <v>21</v>
      </c>
      <c r="H191" s="703">
        <f t="shared" si="56"/>
        <v>0</v>
      </c>
      <c r="I191" s="704">
        <f t="shared" si="57"/>
        <v>0</v>
      </c>
      <c r="J191" s="704">
        <v>0</v>
      </c>
      <c r="K191" s="704">
        <v>0</v>
      </c>
      <c r="L191" s="704">
        <f t="shared" si="58"/>
        <v>0</v>
      </c>
      <c r="M191" s="704">
        <v>0</v>
      </c>
      <c r="N191" s="704">
        <v>0</v>
      </c>
    </row>
    <row r="192" spans="1:14" s="624" customFormat="1" ht="13.5" customHeight="1" hidden="1">
      <c r="A192" s="1252"/>
      <c r="B192" s="1253"/>
      <c r="C192" s="1254"/>
      <c r="D192" s="1255"/>
      <c r="E192" s="724"/>
      <c r="F192" s="1288"/>
      <c r="G192" s="722" t="s">
        <v>22</v>
      </c>
      <c r="H192" s="703">
        <f>I192+L192</f>
        <v>522518</v>
      </c>
      <c r="I192" s="704">
        <f>J192+K192</f>
        <v>391888</v>
      </c>
      <c r="J192" s="704">
        <f>J191+J190</f>
        <v>391888</v>
      </c>
      <c r="K192" s="704">
        <f>K191+K190</f>
        <v>0</v>
      </c>
      <c r="L192" s="704">
        <f>M192+N192</f>
        <v>130630</v>
      </c>
      <c r="M192" s="704">
        <f>M191+M190</f>
        <v>130630</v>
      </c>
      <c r="N192" s="704">
        <f>N191+N190</f>
        <v>0</v>
      </c>
    </row>
    <row r="193" spans="1:14" s="727" customFormat="1" ht="13.5" customHeight="1" hidden="1">
      <c r="A193" s="1264" t="s">
        <v>38</v>
      </c>
      <c r="B193" s="1265"/>
      <c r="C193" s="1266" t="s">
        <v>325</v>
      </c>
      <c r="D193" s="1267"/>
      <c r="E193" s="726" t="s">
        <v>476</v>
      </c>
      <c r="F193" s="1289" t="s">
        <v>772</v>
      </c>
      <c r="G193" s="725" t="s">
        <v>20</v>
      </c>
      <c r="H193" s="674">
        <f t="shared" si="56"/>
        <v>113575</v>
      </c>
      <c r="I193" s="675">
        <f t="shared" si="57"/>
        <v>113575</v>
      </c>
      <c r="J193" s="675">
        <v>0</v>
      </c>
      <c r="K193" s="675">
        <v>113575</v>
      </c>
      <c r="L193" s="675">
        <f t="shared" si="58"/>
        <v>0</v>
      </c>
      <c r="M193" s="675">
        <v>0</v>
      </c>
      <c r="N193" s="675">
        <v>0</v>
      </c>
    </row>
    <row r="194" spans="1:14" s="727" customFormat="1" ht="13.5" customHeight="1" hidden="1">
      <c r="A194" s="1260"/>
      <c r="B194" s="1261"/>
      <c r="C194" s="1262"/>
      <c r="D194" s="1263"/>
      <c r="E194" s="728"/>
      <c r="F194" s="1287"/>
      <c r="G194" s="725" t="s">
        <v>21</v>
      </c>
      <c r="H194" s="674">
        <f t="shared" si="56"/>
        <v>0</v>
      </c>
      <c r="I194" s="675">
        <f t="shared" si="57"/>
        <v>0</v>
      </c>
      <c r="J194" s="675">
        <v>0</v>
      </c>
      <c r="K194" s="675">
        <v>0</v>
      </c>
      <c r="L194" s="675">
        <f t="shared" si="58"/>
        <v>0</v>
      </c>
      <c r="M194" s="675">
        <v>0</v>
      </c>
      <c r="N194" s="675">
        <v>0</v>
      </c>
    </row>
    <row r="195" spans="1:14" s="624" customFormat="1" ht="13.5" customHeight="1" hidden="1">
      <c r="A195" s="1252"/>
      <c r="B195" s="1253"/>
      <c r="C195" s="1254"/>
      <c r="D195" s="1255"/>
      <c r="E195" s="723"/>
      <c r="F195" s="1288"/>
      <c r="G195" s="722" t="s">
        <v>22</v>
      </c>
      <c r="H195" s="703">
        <f>I195+L195</f>
        <v>113575</v>
      </c>
      <c r="I195" s="704">
        <f>J195+K195</f>
        <v>113575</v>
      </c>
      <c r="J195" s="704">
        <f>J194+J193</f>
        <v>0</v>
      </c>
      <c r="K195" s="704">
        <f>K194+K193</f>
        <v>113575</v>
      </c>
      <c r="L195" s="704">
        <f>M195+N195</f>
        <v>0</v>
      </c>
      <c r="M195" s="704">
        <f>M194+M193</f>
        <v>0</v>
      </c>
      <c r="N195" s="704">
        <f>N194+N193</f>
        <v>0</v>
      </c>
    </row>
    <row r="196" spans="1:14" s="624" customFormat="1" ht="13.5" customHeight="1" hidden="1">
      <c r="A196" s="1252"/>
      <c r="B196" s="1253"/>
      <c r="C196" s="1254"/>
      <c r="D196" s="1255"/>
      <c r="E196" s="723"/>
      <c r="F196" s="1289" t="s">
        <v>482</v>
      </c>
      <c r="G196" s="725" t="s">
        <v>20</v>
      </c>
      <c r="H196" s="674">
        <f t="shared" si="56"/>
        <v>5033</v>
      </c>
      <c r="I196" s="675">
        <f t="shared" si="57"/>
        <v>5033</v>
      </c>
      <c r="J196" s="675">
        <v>0</v>
      </c>
      <c r="K196" s="675">
        <v>5033</v>
      </c>
      <c r="L196" s="675">
        <f t="shared" si="58"/>
        <v>0</v>
      </c>
      <c r="M196" s="675">
        <v>0</v>
      </c>
      <c r="N196" s="675">
        <v>0</v>
      </c>
    </row>
    <row r="197" spans="1:14" s="624" customFormat="1" ht="13.5" customHeight="1" hidden="1">
      <c r="A197" s="1252"/>
      <c r="B197" s="1253"/>
      <c r="C197" s="1254"/>
      <c r="D197" s="1255"/>
      <c r="E197" s="723"/>
      <c r="F197" s="1287"/>
      <c r="G197" s="725" t="s">
        <v>21</v>
      </c>
      <c r="H197" s="674">
        <f t="shared" si="56"/>
        <v>0</v>
      </c>
      <c r="I197" s="675">
        <f t="shared" si="57"/>
        <v>0</v>
      </c>
      <c r="J197" s="675">
        <v>0</v>
      </c>
      <c r="K197" s="675">
        <v>0</v>
      </c>
      <c r="L197" s="675">
        <f t="shared" si="58"/>
        <v>0</v>
      </c>
      <c r="M197" s="675">
        <v>0</v>
      </c>
      <c r="N197" s="675">
        <v>0</v>
      </c>
    </row>
    <row r="198" spans="1:14" s="624" customFormat="1" ht="13.5" customHeight="1" hidden="1">
      <c r="A198" s="1252"/>
      <c r="B198" s="1253"/>
      <c r="C198" s="1254"/>
      <c r="D198" s="1255"/>
      <c r="E198" s="724"/>
      <c r="F198" s="1288"/>
      <c r="G198" s="722" t="s">
        <v>22</v>
      </c>
      <c r="H198" s="703">
        <f t="shared" si="56"/>
        <v>5033</v>
      </c>
      <c r="I198" s="704">
        <f t="shared" si="57"/>
        <v>5033</v>
      </c>
      <c r="J198" s="704">
        <f>J197+J196</f>
        <v>0</v>
      </c>
      <c r="K198" s="704">
        <f>K197+K196</f>
        <v>5033</v>
      </c>
      <c r="L198" s="704">
        <f t="shared" si="58"/>
        <v>0</v>
      </c>
      <c r="M198" s="704">
        <f>M197+M196</f>
        <v>0</v>
      </c>
      <c r="N198" s="704">
        <f>N197+N196</f>
        <v>0</v>
      </c>
    </row>
    <row r="199" spans="1:14" s="624" customFormat="1" ht="13.5" customHeight="1" hidden="1">
      <c r="A199" s="1242" t="s">
        <v>41</v>
      </c>
      <c r="B199" s="1243"/>
      <c r="C199" s="1244" t="s">
        <v>343</v>
      </c>
      <c r="D199" s="1245"/>
      <c r="E199" s="721" t="s">
        <v>615</v>
      </c>
      <c r="F199" s="1289" t="s">
        <v>617</v>
      </c>
      <c r="G199" s="722" t="s">
        <v>20</v>
      </c>
      <c r="H199" s="703">
        <f t="shared" si="56"/>
        <v>222279</v>
      </c>
      <c r="I199" s="704">
        <f t="shared" si="57"/>
        <v>166709</v>
      </c>
      <c r="J199" s="704">
        <v>166709</v>
      </c>
      <c r="K199" s="704">
        <v>0</v>
      </c>
      <c r="L199" s="704">
        <f t="shared" si="58"/>
        <v>55570</v>
      </c>
      <c r="M199" s="704">
        <v>55570</v>
      </c>
      <c r="N199" s="704">
        <v>0</v>
      </c>
    </row>
    <row r="200" spans="1:14" s="624" customFormat="1" ht="13.5" customHeight="1" hidden="1">
      <c r="A200" s="1252"/>
      <c r="B200" s="1253"/>
      <c r="C200" s="1254"/>
      <c r="D200" s="1255"/>
      <c r="E200" s="723"/>
      <c r="F200" s="1287"/>
      <c r="G200" s="722" t="s">
        <v>21</v>
      </c>
      <c r="H200" s="703">
        <f t="shared" si="56"/>
        <v>0</v>
      </c>
      <c r="I200" s="704">
        <f t="shared" si="57"/>
        <v>0</v>
      </c>
      <c r="J200" s="704">
        <v>0</v>
      </c>
      <c r="K200" s="704">
        <v>0</v>
      </c>
      <c r="L200" s="704">
        <f t="shared" si="58"/>
        <v>0</v>
      </c>
      <c r="M200" s="704">
        <v>0</v>
      </c>
      <c r="N200" s="704">
        <v>0</v>
      </c>
    </row>
    <row r="201" spans="1:14" s="624" customFormat="1" ht="13.5" customHeight="1" hidden="1">
      <c r="A201" s="1252"/>
      <c r="B201" s="1253"/>
      <c r="C201" s="1254"/>
      <c r="D201" s="1255"/>
      <c r="E201" s="724"/>
      <c r="F201" s="1288"/>
      <c r="G201" s="722" t="s">
        <v>22</v>
      </c>
      <c r="H201" s="703">
        <f t="shared" si="56"/>
        <v>222279</v>
      </c>
      <c r="I201" s="704">
        <f t="shared" si="57"/>
        <v>166709</v>
      </c>
      <c r="J201" s="704">
        <f>J200+J199</f>
        <v>166709</v>
      </c>
      <c r="K201" s="704">
        <f>K200+K199</f>
        <v>0</v>
      </c>
      <c r="L201" s="704">
        <f t="shared" si="58"/>
        <v>55570</v>
      </c>
      <c r="M201" s="704">
        <f>M200+M199</f>
        <v>55570</v>
      </c>
      <c r="N201" s="704">
        <f>N200+N199</f>
        <v>0</v>
      </c>
    </row>
    <row r="202" spans="1:14" s="624" customFormat="1" ht="13.5" customHeight="1" hidden="1">
      <c r="A202" s="1252"/>
      <c r="B202" s="1253"/>
      <c r="C202" s="1244" t="s">
        <v>366</v>
      </c>
      <c r="D202" s="1245"/>
      <c r="E202" s="721" t="s">
        <v>576</v>
      </c>
      <c r="F202" s="1289" t="s">
        <v>578</v>
      </c>
      <c r="G202" s="722" t="s">
        <v>20</v>
      </c>
      <c r="H202" s="703">
        <f t="shared" si="56"/>
        <v>4498873</v>
      </c>
      <c r="I202" s="704">
        <f t="shared" si="57"/>
        <v>4171301</v>
      </c>
      <c r="J202" s="704">
        <v>0</v>
      </c>
      <c r="K202" s="704">
        <f>3365817+805484</f>
        <v>4171301</v>
      </c>
      <c r="L202" s="704">
        <f t="shared" si="58"/>
        <v>327572</v>
      </c>
      <c r="M202" s="704">
        <v>0</v>
      </c>
      <c r="N202" s="704">
        <v>327572</v>
      </c>
    </row>
    <row r="203" spans="1:14" s="624" customFormat="1" ht="13.5" customHeight="1" hidden="1">
      <c r="A203" s="1252"/>
      <c r="B203" s="1253"/>
      <c r="C203" s="1254"/>
      <c r="D203" s="1255"/>
      <c r="E203" s="723"/>
      <c r="F203" s="1287"/>
      <c r="G203" s="722" t="s">
        <v>21</v>
      </c>
      <c r="H203" s="703">
        <f t="shared" si="56"/>
        <v>0</v>
      </c>
      <c r="I203" s="704">
        <f t="shared" si="57"/>
        <v>0</v>
      </c>
      <c r="J203" s="704">
        <v>0</v>
      </c>
      <c r="K203" s="704">
        <v>0</v>
      </c>
      <c r="L203" s="704">
        <f t="shared" si="58"/>
        <v>0</v>
      </c>
      <c r="M203" s="704">
        <v>0</v>
      </c>
      <c r="N203" s="704">
        <v>0</v>
      </c>
    </row>
    <row r="204" spans="1:14" s="624" customFormat="1" ht="13.5" customHeight="1" hidden="1">
      <c r="A204" s="1252"/>
      <c r="B204" s="1253"/>
      <c r="C204" s="1254"/>
      <c r="D204" s="1255"/>
      <c r="E204" s="723"/>
      <c r="F204" s="1288"/>
      <c r="G204" s="722" t="s">
        <v>22</v>
      </c>
      <c r="H204" s="703">
        <f t="shared" si="56"/>
        <v>4498873</v>
      </c>
      <c r="I204" s="704">
        <f t="shared" si="57"/>
        <v>4171301</v>
      </c>
      <c r="J204" s="704">
        <f>J203+J202</f>
        <v>0</v>
      </c>
      <c r="K204" s="704">
        <f>K203+K202</f>
        <v>4171301</v>
      </c>
      <c r="L204" s="704">
        <f t="shared" si="58"/>
        <v>327572</v>
      </c>
      <c r="M204" s="704">
        <f>M203+M202</f>
        <v>0</v>
      </c>
      <c r="N204" s="704">
        <f>N203+N202</f>
        <v>327572</v>
      </c>
    </row>
    <row r="205" spans="1:14" s="624" customFormat="1" ht="13.5" customHeight="1" hidden="1">
      <c r="A205" s="1252"/>
      <c r="B205" s="1253"/>
      <c r="C205" s="1254"/>
      <c r="D205" s="1255"/>
      <c r="E205" s="723"/>
      <c r="F205" s="1289" t="s">
        <v>640</v>
      </c>
      <c r="G205" s="722" t="s">
        <v>20</v>
      </c>
      <c r="H205" s="703">
        <f t="shared" si="56"/>
        <v>425000</v>
      </c>
      <c r="I205" s="704">
        <f t="shared" si="57"/>
        <v>335000</v>
      </c>
      <c r="J205" s="704">
        <v>35000</v>
      </c>
      <c r="K205" s="704">
        <v>300000</v>
      </c>
      <c r="L205" s="704">
        <f t="shared" si="58"/>
        <v>90000</v>
      </c>
      <c r="M205" s="704">
        <v>15000</v>
      </c>
      <c r="N205" s="704">
        <v>75000</v>
      </c>
    </row>
    <row r="206" spans="1:14" s="624" customFormat="1" ht="13.5" customHeight="1" hidden="1">
      <c r="A206" s="1252"/>
      <c r="B206" s="1253"/>
      <c r="C206" s="1254"/>
      <c r="D206" s="1255"/>
      <c r="E206" s="723"/>
      <c r="F206" s="1287"/>
      <c r="G206" s="722" t="s">
        <v>21</v>
      </c>
      <c r="H206" s="703">
        <f t="shared" si="56"/>
        <v>0</v>
      </c>
      <c r="I206" s="704">
        <f t="shared" si="57"/>
        <v>0</v>
      </c>
      <c r="J206" s="704">
        <v>0</v>
      </c>
      <c r="K206" s="704">
        <v>0</v>
      </c>
      <c r="L206" s="704">
        <f t="shared" si="58"/>
        <v>0</v>
      </c>
      <c r="M206" s="704">
        <v>0</v>
      </c>
      <c r="N206" s="704">
        <v>0</v>
      </c>
    </row>
    <row r="207" spans="1:14" s="624" customFormat="1" ht="13.5" customHeight="1" hidden="1">
      <c r="A207" s="1252"/>
      <c r="B207" s="1253"/>
      <c r="C207" s="1254"/>
      <c r="D207" s="1255"/>
      <c r="E207" s="724"/>
      <c r="F207" s="1288"/>
      <c r="G207" s="722" t="s">
        <v>22</v>
      </c>
      <c r="H207" s="703">
        <f t="shared" si="56"/>
        <v>425000</v>
      </c>
      <c r="I207" s="704">
        <f t="shared" si="57"/>
        <v>335000</v>
      </c>
      <c r="J207" s="704">
        <f>J206+J205</f>
        <v>35000</v>
      </c>
      <c r="K207" s="704">
        <f>K206+K205</f>
        <v>300000</v>
      </c>
      <c r="L207" s="704">
        <f t="shared" si="58"/>
        <v>90000</v>
      </c>
      <c r="M207" s="704">
        <f>M206+M205</f>
        <v>15000</v>
      </c>
      <c r="N207" s="704">
        <f>N206+N205</f>
        <v>75000</v>
      </c>
    </row>
    <row r="208" spans="1:14" s="624" customFormat="1" ht="13.5" customHeight="1" hidden="1">
      <c r="A208" s="1252"/>
      <c r="B208" s="1253"/>
      <c r="C208" s="1254"/>
      <c r="D208" s="1255"/>
      <c r="E208" s="721" t="s">
        <v>580</v>
      </c>
      <c r="F208" s="1289" t="s">
        <v>642</v>
      </c>
      <c r="G208" s="722" t="s">
        <v>20</v>
      </c>
      <c r="H208" s="703">
        <f t="shared" si="56"/>
        <v>775000</v>
      </c>
      <c r="I208" s="704">
        <f t="shared" si="57"/>
        <v>615000</v>
      </c>
      <c r="J208" s="704">
        <v>0</v>
      </c>
      <c r="K208" s="704">
        <v>615000</v>
      </c>
      <c r="L208" s="704">
        <f t="shared" si="58"/>
        <v>160000</v>
      </c>
      <c r="M208" s="704">
        <v>0</v>
      </c>
      <c r="N208" s="704">
        <v>160000</v>
      </c>
    </row>
    <row r="209" spans="1:14" s="624" customFormat="1" ht="13.5" customHeight="1" hidden="1">
      <c r="A209" s="1252"/>
      <c r="B209" s="1253"/>
      <c r="C209" s="1254"/>
      <c r="D209" s="1255"/>
      <c r="E209" s="723"/>
      <c r="F209" s="1287"/>
      <c r="G209" s="722" t="s">
        <v>21</v>
      </c>
      <c r="H209" s="703">
        <f t="shared" si="56"/>
        <v>0</v>
      </c>
      <c r="I209" s="704">
        <f t="shared" si="57"/>
        <v>0</v>
      </c>
      <c r="J209" s="704">
        <v>0</v>
      </c>
      <c r="K209" s="704">
        <v>0</v>
      </c>
      <c r="L209" s="704">
        <f t="shared" si="58"/>
        <v>0</v>
      </c>
      <c r="M209" s="704">
        <v>0</v>
      </c>
      <c r="N209" s="704">
        <v>0</v>
      </c>
    </row>
    <row r="210" spans="1:14" s="624" customFormat="1" ht="13.5" customHeight="1" hidden="1">
      <c r="A210" s="1252"/>
      <c r="B210" s="1253"/>
      <c r="C210" s="1254"/>
      <c r="D210" s="1255"/>
      <c r="E210" s="723"/>
      <c r="F210" s="1288"/>
      <c r="G210" s="722" t="s">
        <v>22</v>
      </c>
      <c r="H210" s="703">
        <f t="shared" si="56"/>
        <v>775000</v>
      </c>
      <c r="I210" s="704">
        <f t="shared" si="57"/>
        <v>615000</v>
      </c>
      <c r="J210" s="704">
        <f>J209+J208</f>
        <v>0</v>
      </c>
      <c r="K210" s="704">
        <f>K209+K208</f>
        <v>615000</v>
      </c>
      <c r="L210" s="704">
        <f t="shared" si="58"/>
        <v>160000</v>
      </c>
      <c r="M210" s="704">
        <f>M209+M208</f>
        <v>0</v>
      </c>
      <c r="N210" s="704">
        <f>N209+N208</f>
        <v>160000</v>
      </c>
    </row>
    <row r="211" spans="1:14" s="624" customFormat="1" ht="13.5" customHeight="1" hidden="1">
      <c r="A211" s="1252"/>
      <c r="B211" s="1253"/>
      <c r="C211" s="1254"/>
      <c r="D211" s="1255"/>
      <c r="E211" s="723"/>
      <c r="F211" s="1289" t="s">
        <v>773</v>
      </c>
      <c r="G211" s="722" t="s">
        <v>20</v>
      </c>
      <c r="H211" s="703">
        <f t="shared" si="56"/>
        <v>1010320</v>
      </c>
      <c r="I211" s="704">
        <f t="shared" si="57"/>
        <v>1010320</v>
      </c>
      <c r="J211" s="704">
        <v>0</v>
      </c>
      <c r="K211" s="704">
        <f>816000+194320</f>
        <v>1010320</v>
      </c>
      <c r="L211" s="704">
        <f t="shared" si="58"/>
        <v>0</v>
      </c>
      <c r="M211" s="704">
        <v>0</v>
      </c>
      <c r="N211" s="704">
        <v>0</v>
      </c>
    </row>
    <row r="212" spans="1:14" s="624" customFormat="1" ht="13.5" customHeight="1" hidden="1">
      <c r="A212" s="1252"/>
      <c r="B212" s="1253"/>
      <c r="C212" s="1254"/>
      <c r="D212" s="1255"/>
      <c r="E212" s="723"/>
      <c r="F212" s="1287"/>
      <c r="G212" s="722" t="s">
        <v>21</v>
      </c>
      <c r="H212" s="703">
        <f t="shared" si="56"/>
        <v>0</v>
      </c>
      <c r="I212" s="704">
        <f t="shared" si="57"/>
        <v>0</v>
      </c>
      <c r="J212" s="704">
        <v>0</v>
      </c>
      <c r="K212" s="704">
        <v>0</v>
      </c>
      <c r="L212" s="704">
        <f t="shared" si="58"/>
        <v>0</v>
      </c>
      <c r="M212" s="704">
        <v>0</v>
      </c>
      <c r="N212" s="704">
        <v>0</v>
      </c>
    </row>
    <row r="213" spans="1:14" s="624" customFormat="1" ht="13.5" customHeight="1" hidden="1">
      <c r="A213" s="1256"/>
      <c r="B213" s="1257"/>
      <c r="C213" s="1258"/>
      <c r="D213" s="1259"/>
      <c r="E213" s="724"/>
      <c r="F213" s="1288"/>
      <c r="G213" s="725" t="s">
        <v>22</v>
      </c>
      <c r="H213" s="674">
        <f t="shared" si="56"/>
        <v>1010320</v>
      </c>
      <c r="I213" s="675">
        <f t="shared" si="57"/>
        <v>1010320</v>
      </c>
      <c r="J213" s="675">
        <f>J212+J211</f>
        <v>0</v>
      </c>
      <c r="K213" s="675">
        <f>K212+K211</f>
        <v>1010320</v>
      </c>
      <c r="L213" s="675">
        <f t="shared" si="58"/>
        <v>0</v>
      </c>
      <c r="M213" s="675">
        <f>M212+M211</f>
        <v>0</v>
      </c>
      <c r="N213" s="675">
        <f>N212+N211</f>
        <v>0</v>
      </c>
    </row>
    <row r="214" spans="1:14" s="624" customFormat="1" ht="13.5" customHeight="1" hidden="1">
      <c r="A214" s="1242" t="s">
        <v>56</v>
      </c>
      <c r="B214" s="1243"/>
      <c r="C214" s="1244" t="s">
        <v>774</v>
      </c>
      <c r="D214" s="1245"/>
      <c r="E214" s="721" t="s">
        <v>637</v>
      </c>
      <c r="F214" s="1289" t="s">
        <v>638</v>
      </c>
      <c r="G214" s="722" t="s">
        <v>20</v>
      </c>
      <c r="H214" s="703">
        <f t="shared" si="56"/>
        <v>562369</v>
      </c>
      <c r="I214" s="704">
        <f t="shared" si="57"/>
        <v>93000</v>
      </c>
      <c r="J214" s="704">
        <v>93000</v>
      </c>
      <c r="K214" s="704">
        <v>0</v>
      </c>
      <c r="L214" s="704">
        <f t="shared" si="58"/>
        <v>469369</v>
      </c>
      <c r="M214" s="704">
        <v>50000</v>
      </c>
      <c r="N214" s="704">
        <v>419369</v>
      </c>
    </row>
    <row r="215" spans="1:14" s="624" customFormat="1" ht="13.5" customHeight="1" hidden="1">
      <c r="A215" s="1252"/>
      <c r="B215" s="1253"/>
      <c r="C215" s="1254"/>
      <c r="D215" s="1255"/>
      <c r="E215" s="723"/>
      <c r="F215" s="1287"/>
      <c r="G215" s="722" t="s">
        <v>21</v>
      </c>
      <c r="H215" s="703">
        <f t="shared" si="56"/>
        <v>0</v>
      </c>
      <c r="I215" s="704">
        <f t="shared" si="57"/>
        <v>0</v>
      </c>
      <c r="J215" s="704">
        <v>0</v>
      </c>
      <c r="K215" s="704">
        <v>0</v>
      </c>
      <c r="L215" s="704">
        <f t="shared" si="58"/>
        <v>0</v>
      </c>
      <c r="M215" s="704">
        <v>0</v>
      </c>
      <c r="N215" s="704">
        <v>0</v>
      </c>
    </row>
    <row r="216" spans="1:14" s="624" customFormat="1" ht="13.5" customHeight="1" hidden="1">
      <c r="A216" s="1252"/>
      <c r="B216" s="1253"/>
      <c r="C216" s="1254"/>
      <c r="D216" s="1255"/>
      <c r="E216" s="724"/>
      <c r="F216" s="1288"/>
      <c r="G216" s="722" t="s">
        <v>22</v>
      </c>
      <c r="H216" s="703">
        <f t="shared" si="56"/>
        <v>562369</v>
      </c>
      <c r="I216" s="704">
        <f t="shared" si="57"/>
        <v>93000</v>
      </c>
      <c r="J216" s="704">
        <f>J215+J214</f>
        <v>93000</v>
      </c>
      <c r="K216" s="704">
        <f>K215+K214</f>
        <v>0</v>
      </c>
      <c r="L216" s="704">
        <f t="shared" si="58"/>
        <v>469369</v>
      </c>
      <c r="M216" s="704">
        <f>M215+M214</f>
        <v>50000</v>
      </c>
      <c r="N216" s="704">
        <f>N215+N214</f>
        <v>419369</v>
      </c>
    </row>
    <row r="217" spans="1:14" s="624" customFormat="1" ht="13.5" customHeight="1" hidden="1">
      <c r="A217" s="1252"/>
      <c r="B217" s="1253"/>
      <c r="C217" s="1244" t="s">
        <v>775</v>
      </c>
      <c r="D217" s="1245"/>
      <c r="E217" s="721" t="s">
        <v>628</v>
      </c>
      <c r="F217" s="1289" t="s">
        <v>630</v>
      </c>
      <c r="G217" s="722" t="s">
        <v>20</v>
      </c>
      <c r="H217" s="703">
        <f t="shared" si="56"/>
        <v>400000</v>
      </c>
      <c r="I217" s="704">
        <f t="shared" si="57"/>
        <v>75000</v>
      </c>
      <c r="J217" s="704">
        <v>0</v>
      </c>
      <c r="K217" s="704">
        <v>75000</v>
      </c>
      <c r="L217" s="704">
        <f t="shared" si="58"/>
        <v>325000</v>
      </c>
      <c r="M217" s="704">
        <v>0</v>
      </c>
      <c r="N217" s="704">
        <v>325000</v>
      </c>
    </row>
    <row r="218" spans="1:14" s="624" customFormat="1" ht="13.5" customHeight="1" hidden="1">
      <c r="A218" s="1252"/>
      <c r="B218" s="1253"/>
      <c r="C218" s="1254"/>
      <c r="D218" s="1255"/>
      <c r="E218" s="723"/>
      <c r="F218" s="1287"/>
      <c r="G218" s="722" t="s">
        <v>21</v>
      </c>
      <c r="H218" s="703">
        <f t="shared" si="56"/>
        <v>0</v>
      </c>
      <c r="I218" s="704">
        <f t="shared" si="57"/>
        <v>0</v>
      </c>
      <c r="J218" s="704">
        <v>0</v>
      </c>
      <c r="K218" s="704">
        <v>0</v>
      </c>
      <c r="L218" s="704">
        <f t="shared" si="58"/>
        <v>0</v>
      </c>
      <c r="M218" s="704">
        <v>0</v>
      </c>
      <c r="N218" s="704">
        <v>0</v>
      </c>
    </row>
    <row r="219" spans="1:14" s="624" customFormat="1" ht="13.5" customHeight="1" hidden="1">
      <c r="A219" s="1252"/>
      <c r="B219" s="1253"/>
      <c r="C219" s="1254"/>
      <c r="D219" s="1255"/>
      <c r="E219" s="724"/>
      <c r="F219" s="1288"/>
      <c r="G219" s="722" t="s">
        <v>22</v>
      </c>
      <c r="H219" s="703">
        <f t="shared" si="56"/>
        <v>400000</v>
      </c>
      <c r="I219" s="704">
        <f t="shared" si="57"/>
        <v>75000</v>
      </c>
      <c r="J219" s="704">
        <f>J218+J217</f>
        <v>0</v>
      </c>
      <c r="K219" s="704">
        <f>K218+K217</f>
        <v>75000</v>
      </c>
      <c r="L219" s="704">
        <f t="shared" si="58"/>
        <v>325000</v>
      </c>
      <c r="M219" s="704">
        <f>M218+M217</f>
        <v>0</v>
      </c>
      <c r="N219" s="704">
        <f>N218+N217</f>
        <v>325000</v>
      </c>
    </row>
    <row r="220" spans="1:14" s="624" customFormat="1" ht="13.5" customHeight="1" hidden="1">
      <c r="A220" s="1252"/>
      <c r="B220" s="1253"/>
      <c r="C220" s="1254"/>
      <c r="D220" s="1255"/>
      <c r="E220" s="721" t="s">
        <v>565</v>
      </c>
      <c r="F220" s="1289" t="s">
        <v>567</v>
      </c>
      <c r="G220" s="722" t="s">
        <v>20</v>
      </c>
      <c r="H220" s="703">
        <f t="shared" si="56"/>
        <v>3739447</v>
      </c>
      <c r="I220" s="704">
        <f t="shared" si="57"/>
        <v>814966</v>
      </c>
      <c r="J220" s="704">
        <v>0</v>
      </c>
      <c r="K220" s="704">
        <v>814966</v>
      </c>
      <c r="L220" s="704">
        <f t="shared" si="58"/>
        <v>2924481</v>
      </c>
      <c r="M220" s="704">
        <v>0</v>
      </c>
      <c r="N220" s="704">
        <v>2924481</v>
      </c>
    </row>
    <row r="221" spans="1:14" s="624" customFormat="1" ht="13.5" customHeight="1" hidden="1">
      <c r="A221" s="1252"/>
      <c r="B221" s="1253"/>
      <c r="C221" s="1254"/>
      <c r="D221" s="1255"/>
      <c r="E221" s="723"/>
      <c r="F221" s="1287"/>
      <c r="G221" s="722" t="s">
        <v>21</v>
      </c>
      <c r="H221" s="703">
        <f t="shared" si="56"/>
        <v>0</v>
      </c>
      <c r="I221" s="704">
        <f t="shared" si="57"/>
        <v>0</v>
      </c>
      <c r="J221" s="704">
        <v>0</v>
      </c>
      <c r="K221" s="704">
        <v>0</v>
      </c>
      <c r="L221" s="704">
        <f t="shared" si="58"/>
        <v>0</v>
      </c>
      <c r="M221" s="704">
        <v>0</v>
      </c>
      <c r="N221" s="704">
        <v>0</v>
      </c>
    </row>
    <row r="222" spans="1:14" s="624" customFormat="1" ht="13.5" customHeight="1" hidden="1">
      <c r="A222" s="1252"/>
      <c r="B222" s="1253"/>
      <c r="C222" s="1254"/>
      <c r="D222" s="1255"/>
      <c r="E222" s="723"/>
      <c r="F222" s="1288"/>
      <c r="G222" s="722" t="s">
        <v>22</v>
      </c>
      <c r="H222" s="703">
        <f t="shared" si="56"/>
        <v>3739447</v>
      </c>
      <c r="I222" s="704">
        <f t="shared" si="57"/>
        <v>814966</v>
      </c>
      <c r="J222" s="704">
        <f>J221+J220</f>
        <v>0</v>
      </c>
      <c r="K222" s="704">
        <f>K221+K220</f>
        <v>814966</v>
      </c>
      <c r="L222" s="704">
        <f t="shared" si="58"/>
        <v>2924481</v>
      </c>
      <c r="M222" s="704">
        <f>M221+M220</f>
        <v>0</v>
      </c>
      <c r="N222" s="704">
        <f>N221+N220</f>
        <v>2924481</v>
      </c>
    </row>
    <row r="223" spans="1:14" s="727" customFormat="1" ht="13.5" customHeight="1" hidden="1">
      <c r="A223" s="1260"/>
      <c r="B223" s="1261"/>
      <c r="C223" s="1262"/>
      <c r="D223" s="1263"/>
      <c r="E223" s="728"/>
      <c r="F223" s="1289" t="s">
        <v>634</v>
      </c>
      <c r="G223" s="722" t="s">
        <v>20</v>
      </c>
      <c r="H223" s="703">
        <f t="shared" si="56"/>
        <v>20000</v>
      </c>
      <c r="I223" s="704">
        <f t="shared" si="57"/>
        <v>0</v>
      </c>
      <c r="J223" s="704">
        <v>0</v>
      </c>
      <c r="K223" s="704">
        <v>0</v>
      </c>
      <c r="L223" s="704">
        <f t="shared" si="58"/>
        <v>20000</v>
      </c>
      <c r="M223" s="704">
        <v>5000</v>
      </c>
      <c r="N223" s="704">
        <v>15000</v>
      </c>
    </row>
    <row r="224" spans="1:14" s="727" customFormat="1" ht="13.5" customHeight="1" hidden="1">
      <c r="A224" s="1260"/>
      <c r="B224" s="1261"/>
      <c r="C224" s="1262"/>
      <c r="D224" s="1263"/>
      <c r="E224" s="728"/>
      <c r="F224" s="1287"/>
      <c r="G224" s="722" t="s">
        <v>21</v>
      </c>
      <c r="H224" s="703">
        <f t="shared" si="56"/>
        <v>0</v>
      </c>
      <c r="I224" s="704">
        <f t="shared" si="57"/>
        <v>0</v>
      </c>
      <c r="J224" s="704">
        <v>0</v>
      </c>
      <c r="K224" s="704">
        <v>0</v>
      </c>
      <c r="L224" s="704">
        <f t="shared" si="58"/>
        <v>0</v>
      </c>
      <c r="M224" s="704">
        <v>0</v>
      </c>
      <c r="N224" s="704">
        <v>0</v>
      </c>
    </row>
    <row r="225" spans="1:14" s="624" customFormat="1" ht="13.5" customHeight="1" hidden="1">
      <c r="A225" s="1252"/>
      <c r="B225" s="1253"/>
      <c r="C225" s="1254"/>
      <c r="D225" s="1255"/>
      <c r="E225" s="724"/>
      <c r="F225" s="1288"/>
      <c r="G225" s="722" t="s">
        <v>22</v>
      </c>
      <c r="H225" s="703">
        <f t="shared" si="56"/>
        <v>20000</v>
      </c>
      <c r="I225" s="704">
        <f t="shared" si="57"/>
        <v>0</v>
      </c>
      <c r="J225" s="704">
        <f>J224+J223</f>
        <v>0</v>
      </c>
      <c r="K225" s="704">
        <f>K224+K223</f>
        <v>0</v>
      </c>
      <c r="L225" s="704">
        <f t="shared" si="58"/>
        <v>20000</v>
      </c>
      <c r="M225" s="704">
        <f>M224+M223</f>
        <v>5000</v>
      </c>
      <c r="N225" s="704">
        <f>N224+N223</f>
        <v>15000</v>
      </c>
    </row>
    <row r="226" spans="1:14" s="624" customFormat="1" ht="13.5" customHeight="1" hidden="1">
      <c r="A226" s="1252"/>
      <c r="B226" s="1253"/>
      <c r="C226" s="1254"/>
      <c r="D226" s="1255"/>
      <c r="E226" s="721" t="s">
        <v>570</v>
      </c>
      <c r="F226" s="1289" t="s">
        <v>636</v>
      </c>
      <c r="G226" s="722" t="s">
        <v>20</v>
      </c>
      <c r="H226" s="703">
        <f t="shared" si="56"/>
        <v>410000</v>
      </c>
      <c r="I226" s="704">
        <f t="shared" si="57"/>
        <v>210000</v>
      </c>
      <c r="J226" s="704">
        <v>30000</v>
      </c>
      <c r="K226" s="704">
        <v>180000</v>
      </c>
      <c r="L226" s="704">
        <f t="shared" si="58"/>
        <v>200000</v>
      </c>
      <c r="M226" s="704">
        <v>30000</v>
      </c>
      <c r="N226" s="704">
        <v>170000</v>
      </c>
    </row>
    <row r="227" spans="1:14" s="624" customFormat="1" ht="13.5" customHeight="1" hidden="1">
      <c r="A227" s="1252"/>
      <c r="B227" s="1253"/>
      <c r="C227" s="1254"/>
      <c r="D227" s="1255"/>
      <c r="E227" s="723"/>
      <c r="F227" s="1287"/>
      <c r="G227" s="722" t="s">
        <v>21</v>
      </c>
      <c r="H227" s="703">
        <f t="shared" si="56"/>
        <v>0</v>
      </c>
      <c r="I227" s="704">
        <f t="shared" si="57"/>
        <v>0</v>
      </c>
      <c r="J227" s="704">
        <v>0</v>
      </c>
      <c r="K227" s="704">
        <v>0</v>
      </c>
      <c r="L227" s="704">
        <f t="shared" si="58"/>
        <v>0</v>
      </c>
      <c r="M227" s="704">
        <v>0</v>
      </c>
      <c r="N227" s="704">
        <v>0</v>
      </c>
    </row>
    <row r="228" spans="1:14" s="624" customFormat="1" ht="13.5" customHeight="1" hidden="1">
      <c r="A228" s="1252"/>
      <c r="B228" s="1253"/>
      <c r="C228" s="1254"/>
      <c r="D228" s="1255"/>
      <c r="E228" s="723"/>
      <c r="F228" s="1288"/>
      <c r="G228" s="722" t="s">
        <v>22</v>
      </c>
      <c r="H228" s="703">
        <f t="shared" si="56"/>
        <v>410000</v>
      </c>
      <c r="I228" s="704">
        <f t="shared" si="57"/>
        <v>210000</v>
      </c>
      <c r="J228" s="704">
        <f>J227+J226</f>
        <v>30000</v>
      </c>
      <c r="K228" s="704">
        <f>K227+K226</f>
        <v>180000</v>
      </c>
      <c r="L228" s="704">
        <f t="shared" si="58"/>
        <v>200000</v>
      </c>
      <c r="M228" s="704">
        <f>M227+M226</f>
        <v>30000</v>
      </c>
      <c r="N228" s="704">
        <f>N227+N226</f>
        <v>170000</v>
      </c>
    </row>
    <row r="229" spans="1:14" s="624" customFormat="1" ht="13.5" customHeight="1" hidden="1">
      <c r="A229" s="1252"/>
      <c r="B229" s="1253"/>
      <c r="C229" s="1254"/>
      <c r="D229" s="1255"/>
      <c r="E229" s="723"/>
      <c r="F229" s="1289" t="s">
        <v>572</v>
      </c>
      <c r="G229" s="722" t="s">
        <v>20</v>
      </c>
      <c r="H229" s="703">
        <f t="shared" si="56"/>
        <v>4717460</v>
      </c>
      <c r="I229" s="704">
        <f t="shared" si="57"/>
        <v>4717460</v>
      </c>
      <c r="J229" s="704">
        <v>0</v>
      </c>
      <c r="K229" s="704">
        <v>4717460</v>
      </c>
      <c r="L229" s="704">
        <f t="shared" si="58"/>
        <v>0</v>
      </c>
      <c r="M229" s="704">
        <v>0</v>
      </c>
      <c r="N229" s="704">
        <v>0</v>
      </c>
    </row>
    <row r="230" spans="1:14" s="624" customFormat="1" ht="13.5" customHeight="1" hidden="1">
      <c r="A230" s="1252"/>
      <c r="B230" s="1253"/>
      <c r="C230" s="1254"/>
      <c r="D230" s="1255"/>
      <c r="E230" s="723"/>
      <c r="F230" s="1287"/>
      <c r="G230" s="722" t="s">
        <v>21</v>
      </c>
      <c r="H230" s="703">
        <f aca="true" t="shared" si="59" ref="H230:H246">I230+L230</f>
        <v>0</v>
      </c>
      <c r="I230" s="704">
        <f aca="true" t="shared" si="60" ref="I230:I246">J230+K230</f>
        <v>0</v>
      </c>
      <c r="J230" s="704">
        <v>0</v>
      </c>
      <c r="K230" s="704">
        <v>0</v>
      </c>
      <c r="L230" s="704">
        <f aca="true" t="shared" si="61" ref="L230:L246">M230+N230</f>
        <v>0</v>
      </c>
      <c r="M230" s="704">
        <v>0</v>
      </c>
      <c r="N230" s="704">
        <v>0</v>
      </c>
    </row>
    <row r="231" spans="1:14" s="624" customFormat="1" ht="13.5" customHeight="1" hidden="1">
      <c r="A231" s="1252"/>
      <c r="B231" s="1253"/>
      <c r="C231" s="1254"/>
      <c r="D231" s="1255"/>
      <c r="E231" s="724"/>
      <c r="F231" s="1288"/>
      <c r="G231" s="722" t="s">
        <v>22</v>
      </c>
      <c r="H231" s="703">
        <f t="shared" si="59"/>
        <v>4717460</v>
      </c>
      <c r="I231" s="704">
        <f t="shared" si="60"/>
        <v>4717460</v>
      </c>
      <c r="J231" s="704">
        <f>J230+J229</f>
        <v>0</v>
      </c>
      <c r="K231" s="704">
        <f>K230+K229</f>
        <v>4717460</v>
      </c>
      <c r="L231" s="704">
        <f t="shared" si="61"/>
        <v>0</v>
      </c>
      <c r="M231" s="704">
        <f>M230+M229</f>
        <v>0</v>
      </c>
      <c r="N231" s="704">
        <f>N230+N229</f>
        <v>0</v>
      </c>
    </row>
    <row r="232" spans="1:14" s="727" customFormat="1" ht="13.5" customHeight="1" hidden="1">
      <c r="A232" s="1264" t="s">
        <v>57</v>
      </c>
      <c r="B232" s="1265"/>
      <c r="C232" s="1266" t="s">
        <v>776</v>
      </c>
      <c r="D232" s="1267"/>
      <c r="E232" s="726" t="s">
        <v>619</v>
      </c>
      <c r="F232" s="1289" t="s">
        <v>620</v>
      </c>
      <c r="G232" s="722" t="s">
        <v>20</v>
      </c>
      <c r="H232" s="703">
        <f t="shared" si="59"/>
        <v>1856522</v>
      </c>
      <c r="I232" s="704">
        <f t="shared" si="60"/>
        <v>0</v>
      </c>
      <c r="J232" s="704">
        <v>0</v>
      </c>
      <c r="K232" s="704">
        <v>0</v>
      </c>
      <c r="L232" s="704">
        <f t="shared" si="61"/>
        <v>1856522</v>
      </c>
      <c r="M232" s="704">
        <v>0</v>
      </c>
      <c r="N232" s="704">
        <v>1856522</v>
      </c>
    </row>
    <row r="233" spans="1:14" s="727" customFormat="1" ht="13.5" customHeight="1" hidden="1">
      <c r="A233" s="1260"/>
      <c r="B233" s="1261"/>
      <c r="C233" s="1262"/>
      <c r="D233" s="1263"/>
      <c r="E233" s="728"/>
      <c r="F233" s="1287"/>
      <c r="G233" s="722" t="s">
        <v>21</v>
      </c>
      <c r="H233" s="703">
        <f t="shared" si="59"/>
        <v>0</v>
      </c>
      <c r="I233" s="704">
        <f t="shared" si="60"/>
        <v>0</v>
      </c>
      <c r="J233" s="704">
        <v>0</v>
      </c>
      <c r="K233" s="704">
        <v>0</v>
      </c>
      <c r="L233" s="704">
        <f t="shared" si="61"/>
        <v>0</v>
      </c>
      <c r="M233" s="704">
        <v>0</v>
      </c>
      <c r="N233" s="704">
        <v>0</v>
      </c>
    </row>
    <row r="234" spans="1:14" s="624" customFormat="1" ht="13.5" customHeight="1" hidden="1">
      <c r="A234" s="1252"/>
      <c r="B234" s="1253"/>
      <c r="C234" s="1254"/>
      <c r="D234" s="1255"/>
      <c r="E234" s="724"/>
      <c r="F234" s="1288"/>
      <c r="G234" s="722" t="s">
        <v>22</v>
      </c>
      <c r="H234" s="703">
        <f t="shared" si="59"/>
        <v>1856522</v>
      </c>
      <c r="I234" s="704">
        <f t="shared" si="60"/>
        <v>0</v>
      </c>
      <c r="J234" s="704">
        <f>J233+J232</f>
        <v>0</v>
      </c>
      <c r="K234" s="704">
        <f>K233+K232</f>
        <v>0</v>
      </c>
      <c r="L234" s="704">
        <f t="shared" si="61"/>
        <v>1856522</v>
      </c>
      <c r="M234" s="704">
        <f>M233+M232</f>
        <v>0</v>
      </c>
      <c r="N234" s="704">
        <f>N233+N232</f>
        <v>1856522</v>
      </c>
    </row>
    <row r="235" spans="1:14" s="624" customFormat="1" ht="13.5" customHeight="1" hidden="1">
      <c r="A235" s="1252"/>
      <c r="B235" s="1253"/>
      <c r="C235" s="1254"/>
      <c r="D235" s="1255"/>
      <c r="E235" s="721" t="s">
        <v>622</v>
      </c>
      <c r="F235" s="1289" t="s">
        <v>777</v>
      </c>
      <c r="G235" s="722" t="s">
        <v>20</v>
      </c>
      <c r="H235" s="703">
        <f t="shared" si="59"/>
        <v>187668</v>
      </c>
      <c r="I235" s="704">
        <f t="shared" si="60"/>
        <v>37534</v>
      </c>
      <c r="J235" s="704">
        <v>0</v>
      </c>
      <c r="K235" s="704">
        <v>37534</v>
      </c>
      <c r="L235" s="704">
        <f t="shared" si="61"/>
        <v>150134</v>
      </c>
      <c r="M235" s="704">
        <v>0</v>
      </c>
      <c r="N235" s="704">
        <v>150134</v>
      </c>
    </row>
    <row r="236" spans="1:14" s="624" customFormat="1" ht="13.5" customHeight="1" hidden="1">
      <c r="A236" s="1252"/>
      <c r="B236" s="1253"/>
      <c r="C236" s="1254"/>
      <c r="D236" s="1255"/>
      <c r="E236" s="723"/>
      <c r="F236" s="1287"/>
      <c r="G236" s="722" t="s">
        <v>21</v>
      </c>
      <c r="H236" s="703">
        <f t="shared" si="59"/>
        <v>0</v>
      </c>
      <c r="I236" s="704">
        <f t="shared" si="60"/>
        <v>0</v>
      </c>
      <c r="J236" s="704">
        <v>0</v>
      </c>
      <c r="K236" s="704">
        <v>0</v>
      </c>
      <c r="L236" s="704">
        <f t="shared" si="61"/>
        <v>0</v>
      </c>
      <c r="M236" s="704">
        <v>0</v>
      </c>
      <c r="N236" s="704">
        <v>0</v>
      </c>
    </row>
    <row r="237" spans="1:14" s="624" customFormat="1" ht="13.5" customHeight="1" hidden="1">
      <c r="A237" s="1252"/>
      <c r="B237" s="1253"/>
      <c r="C237" s="1254"/>
      <c r="D237" s="1255"/>
      <c r="E237" s="724"/>
      <c r="F237" s="1288"/>
      <c r="G237" s="722" t="s">
        <v>22</v>
      </c>
      <c r="H237" s="703">
        <f t="shared" si="59"/>
        <v>187668</v>
      </c>
      <c r="I237" s="704">
        <f t="shared" si="60"/>
        <v>37534</v>
      </c>
      <c r="J237" s="704">
        <f>J236+J235</f>
        <v>0</v>
      </c>
      <c r="K237" s="704">
        <f>K236+K235</f>
        <v>37534</v>
      </c>
      <c r="L237" s="704">
        <f t="shared" si="61"/>
        <v>150134</v>
      </c>
      <c r="M237" s="704">
        <f>M236+M235</f>
        <v>0</v>
      </c>
      <c r="N237" s="704">
        <f>N236+N235</f>
        <v>150134</v>
      </c>
    </row>
    <row r="238" spans="1:14" s="624" customFormat="1" ht="13.5" customHeight="1" hidden="1">
      <c r="A238" s="1252"/>
      <c r="B238" s="1253"/>
      <c r="C238" s="1254"/>
      <c r="D238" s="1255"/>
      <c r="E238" s="721" t="s">
        <v>631</v>
      </c>
      <c r="F238" s="1289" t="s">
        <v>633</v>
      </c>
      <c r="G238" s="722" t="s">
        <v>20</v>
      </c>
      <c r="H238" s="703">
        <f t="shared" si="59"/>
        <v>340579</v>
      </c>
      <c r="I238" s="704">
        <f t="shared" si="60"/>
        <v>34058</v>
      </c>
      <c r="J238" s="704">
        <v>0</v>
      </c>
      <c r="K238" s="704">
        <v>34058</v>
      </c>
      <c r="L238" s="704">
        <f t="shared" si="61"/>
        <v>306521</v>
      </c>
      <c r="M238" s="704">
        <v>0</v>
      </c>
      <c r="N238" s="704">
        <v>306521</v>
      </c>
    </row>
    <row r="239" spans="1:14" s="624" customFormat="1" ht="13.5" customHeight="1" hidden="1">
      <c r="A239" s="1252"/>
      <c r="B239" s="1253"/>
      <c r="C239" s="1254"/>
      <c r="D239" s="1255"/>
      <c r="E239" s="723"/>
      <c r="F239" s="1287"/>
      <c r="G239" s="722" t="s">
        <v>21</v>
      </c>
      <c r="H239" s="703">
        <f t="shared" si="59"/>
        <v>0</v>
      </c>
      <c r="I239" s="704">
        <f t="shared" si="60"/>
        <v>0</v>
      </c>
      <c r="J239" s="704">
        <v>0</v>
      </c>
      <c r="K239" s="704">
        <v>0</v>
      </c>
      <c r="L239" s="704">
        <f t="shared" si="61"/>
        <v>0</v>
      </c>
      <c r="M239" s="704">
        <v>0</v>
      </c>
      <c r="N239" s="704">
        <v>0</v>
      </c>
    </row>
    <row r="240" spans="1:14" s="624" customFormat="1" ht="13.5" customHeight="1" hidden="1">
      <c r="A240" s="1252"/>
      <c r="B240" s="1253"/>
      <c r="C240" s="1254"/>
      <c r="D240" s="1255"/>
      <c r="E240" s="723"/>
      <c r="F240" s="1288"/>
      <c r="G240" s="722" t="s">
        <v>22</v>
      </c>
      <c r="H240" s="703">
        <f t="shared" si="59"/>
        <v>340579</v>
      </c>
      <c r="I240" s="704">
        <f t="shared" si="60"/>
        <v>34058</v>
      </c>
      <c r="J240" s="704">
        <f>J239+J238</f>
        <v>0</v>
      </c>
      <c r="K240" s="704">
        <f>K239+K238</f>
        <v>34058</v>
      </c>
      <c r="L240" s="704">
        <f t="shared" si="61"/>
        <v>306521</v>
      </c>
      <c r="M240" s="704">
        <f>M239+M238</f>
        <v>0</v>
      </c>
      <c r="N240" s="704">
        <f>N239+N238</f>
        <v>306521</v>
      </c>
    </row>
    <row r="241" spans="1:14" s="624" customFormat="1" ht="13.5" customHeight="1">
      <c r="A241" s="1242" t="s">
        <v>147</v>
      </c>
      <c r="B241" s="1243"/>
      <c r="C241" s="1244" t="s">
        <v>778</v>
      </c>
      <c r="D241" s="1245"/>
      <c r="E241" s="721" t="s">
        <v>510</v>
      </c>
      <c r="F241" s="1289" t="s">
        <v>512</v>
      </c>
      <c r="G241" s="722" t="s">
        <v>20</v>
      </c>
      <c r="H241" s="703">
        <f>I241+L241</f>
        <v>0</v>
      </c>
      <c r="I241" s="704">
        <f>J241+K241</f>
        <v>0</v>
      </c>
      <c r="J241" s="704">
        <v>0</v>
      </c>
      <c r="K241" s="704">
        <v>0</v>
      </c>
      <c r="L241" s="704">
        <f>M241+N241</f>
        <v>0</v>
      </c>
      <c r="M241" s="704">
        <v>0</v>
      </c>
      <c r="N241" s="704">
        <v>0</v>
      </c>
    </row>
    <row r="242" spans="1:14" s="624" customFormat="1" ht="13.5" customHeight="1">
      <c r="A242" s="1252"/>
      <c r="B242" s="1253"/>
      <c r="C242" s="1254"/>
      <c r="D242" s="1255"/>
      <c r="E242" s="723"/>
      <c r="F242" s="1287"/>
      <c r="G242" s="722" t="s">
        <v>21</v>
      </c>
      <c r="H242" s="703">
        <f>I242+L242</f>
        <v>2680873</v>
      </c>
      <c r="I242" s="704">
        <f>J242+K242</f>
        <v>0</v>
      </c>
      <c r="J242" s="704">
        <v>0</v>
      </c>
      <c r="K242" s="704">
        <v>0</v>
      </c>
      <c r="L242" s="704">
        <f>M242+N242</f>
        <v>2680873</v>
      </c>
      <c r="M242" s="704">
        <v>0</v>
      </c>
      <c r="N242" s="704">
        <v>2680873</v>
      </c>
    </row>
    <row r="243" spans="1:14" s="624" customFormat="1" ht="13.5" customHeight="1">
      <c r="A243" s="1252"/>
      <c r="B243" s="1253"/>
      <c r="C243" s="1254"/>
      <c r="D243" s="1255"/>
      <c r="E243" s="724"/>
      <c r="F243" s="1288"/>
      <c r="G243" s="722" t="s">
        <v>22</v>
      </c>
      <c r="H243" s="703">
        <f>I243+L243</f>
        <v>2680873</v>
      </c>
      <c r="I243" s="704">
        <f>J243+K243</f>
        <v>0</v>
      </c>
      <c r="J243" s="704">
        <f>J242+J241</f>
        <v>0</v>
      </c>
      <c r="K243" s="704">
        <f>K242+K241</f>
        <v>0</v>
      </c>
      <c r="L243" s="704">
        <f>M243+N243</f>
        <v>2680873</v>
      </c>
      <c r="M243" s="704">
        <f>M242+M241</f>
        <v>0</v>
      </c>
      <c r="N243" s="704">
        <f>N242+N241</f>
        <v>2680873</v>
      </c>
    </row>
    <row r="244" spans="1:14" s="624" customFormat="1" ht="17.25" customHeight="1">
      <c r="A244" s="1252"/>
      <c r="B244" s="1253"/>
      <c r="C244" s="1244" t="s">
        <v>779</v>
      </c>
      <c r="D244" s="1245"/>
      <c r="E244" s="721" t="s">
        <v>510</v>
      </c>
      <c r="F244" s="1286" t="s">
        <v>780</v>
      </c>
      <c r="G244" s="725" t="s">
        <v>20</v>
      </c>
      <c r="H244" s="674">
        <f t="shared" si="59"/>
        <v>4307457</v>
      </c>
      <c r="I244" s="675">
        <f t="shared" si="60"/>
        <v>1936238</v>
      </c>
      <c r="J244" s="675">
        <v>0</v>
      </c>
      <c r="K244" s="675">
        <v>1936238</v>
      </c>
      <c r="L244" s="675">
        <f t="shared" si="61"/>
        <v>2371219</v>
      </c>
      <c r="M244" s="675">
        <v>0</v>
      </c>
      <c r="N244" s="675">
        <v>2371219</v>
      </c>
    </row>
    <row r="245" spans="1:14" s="624" customFormat="1" ht="17.25" customHeight="1">
      <c r="A245" s="1252"/>
      <c r="B245" s="1253"/>
      <c r="C245" s="1254"/>
      <c r="D245" s="1255"/>
      <c r="E245" s="723"/>
      <c r="F245" s="1287"/>
      <c r="G245" s="725" t="s">
        <v>21</v>
      </c>
      <c r="H245" s="674">
        <f t="shared" si="59"/>
        <v>-1190395</v>
      </c>
      <c r="I245" s="675">
        <f t="shared" si="60"/>
        <v>-576808</v>
      </c>
      <c r="J245" s="675">
        <v>0</v>
      </c>
      <c r="K245" s="675">
        <v>-576808</v>
      </c>
      <c r="L245" s="675">
        <f t="shared" si="61"/>
        <v>-613587</v>
      </c>
      <c r="M245" s="675">
        <v>0</v>
      </c>
      <c r="N245" s="675">
        <v>-613587</v>
      </c>
    </row>
    <row r="246" spans="1:14" s="624" customFormat="1" ht="17.25" customHeight="1">
      <c r="A246" s="1252"/>
      <c r="B246" s="1253"/>
      <c r="C246" s="1254"/>
      <c r="D246" s="1255"/>
      <c r="E246" s="724"/>
      <c r="F246" s="1288"/>
      <c r="G246" s="722" t="s">
        <v>22</v>
      </c>
      <c r="H246" s="703">
        <f t="shared" si="59"/>
        <v>3117062</v>
      </c>
      <c r="I246" s="704">
        <f t="shared" si="60"/>
        <v>1359430</v>
      </c>
      <c r="J246" s="704">
        <f>J245+J244</f>
        <v>0</v>
      </c>
      <c r="K246" s="704">
        <f>K245+K244</f>
        <v>1359430</v>
      </c>
      <c r="L246" s="704">
        <f t="shared" si="61"/>
        <v>1757632</v>
      </c>
      <c r="M246" s="704">
        <f>M245+M244</f>
        <v>0</v>
      </c>
      <c r="N246" s="704">
        <f>N245+N244</f>
        <v>1757632</v>
      </c>
    </row>
    <row r="247" spans="1:14" s="698" customFormat="1" ht="3.75" customHeight="1">
      <c r="A247" s="729"/>
      <c r="B247" s="693"/>
      <c r="C247" s="693"/>
      <c r="D247" s="693"/>
      <c r="E247" s="693"/>
      <c r="F247" s="693"/>
      <c r="G247" s="694"/>
      <c r="H247" s="695"/>
      <c r="I247" s="696"/>
      <c r="J247" s="696"/>
      <c r="K247" s="696"/>
      <c r="L247" s="696"/>
      <c r="M247" s="696"/>
      <c r="N247" s="697"/>
    </row>
    <row r="248" spans="1:14" s="715" customFormat="1" ht="15.75" customHeight="1" hidden="1">
      <c r="A248" s="1280" t="s">
        <v>781</v>
      </c>
      <c r="B248" s="1281"/>
      <c r="C248" s="1281"/>
      <c r="D248" s="1281"/>
      <c r="E248" s="1281"/>
      <c r="F248" s="1282"/>
      <c r="G248" s="712" t="s">
        <v>20</v>
      </c>
      <c r="H248" s="713">
        <f>I248+L248</f>
        <v>573000</v>
      </c>
      <c r="I248" s="714">
        <f>J248+K248</f>
        <v>0</v>
      </c>
      <c r="J248" s="714">
        <f>J252</f>
        <v>0</v>
      </c>
      <c r="K248" s="714">
        <f aca="true" t="shared" si="62" ref="J248:K250">K252</f>
        <v>0</v>
      </c>
      <c r="L248" s="714">
        <f>M248+N248</f>
        <v>573000</v>
      </c>
      <c r="M248" s="714">
        <f aca="true" t="shared" si="63" ref="M248:N250">M252</f>
        <v>0</v>
      </c>
      <c r="N248" s="714">
        <f t="shared" si="63"/>
        <v>573000</v>
      </c>
    </row>
    <row r="249" spans="1:14" s="715" customFormat="1" ht="15.75" customHeight="1" hidden="1">
      <c r="A249" s="1274"/>
      <c r="B249" s="1275"/>
      <c r="C249" s="1275"/>
      <c r="D249" s="1275"/>
      <c r="E249" s="1275"/>
      <c r="F249" s="1276"/>
      <c r="G249" s="712" t="s">
        <v>21</v>
      </c>
      <c r="H249" s="713">
        <f>I249+L249</f>
        <v>0</v>
      </c>
      <c r="I249" s="714">
        <f>J249+K249</f>
        <v>0</v>
      </c>
      <c r="J249" s="714">
        <f>J253</f>
        <v>0</v>
      </c>
      <c r="K249" s="714">
        <f t="shared" si="62"/>
        <v>0</v>
      </c>
      <c r="L249" s="714">
        <f>M249+N249</f>
        <v>0</v>
      </c>
      <c r="M249" s="714">
        <f t="shared" si="63"/>
        <v>0</v>
      </c>
      <c r="N249" s="714">
        <f t="shared" si="63"/>
        <v>0</v>
      </c>
    </row>
    <row r="250" spans="1:14" s="715" customFormat="1" ht="15.75" customHeight="1" hidden="1">
      <c r="A250" s="1277"/>
      <c r="B250" s="1278"/>
      <c r="C250" s="1278"/>
      <c r="D250" s="1278"/>
      <c r="E250" s="1278"/>
      <c r="F250" s="1279"/>
      <c r="G250" s="712" t="s">
        <v>22</v>
      </c>
      <c r="H250" s="713">
        <f>I250+L250</f>
        <v>573000</v>
      </c>
      <c r="I250" s="714">
        <f>J250+K250</f>
        <v>0</v>
      </c>
      <c r="J250" s="714">
        <f t="shared" si="62"/>
        <v>0</v>
      </c>
      <c r="K250" s="714">
        <f t="shared" si="62"/>
        <v>0</v>
      </c>
      <c r="L250" s="714">
        <f>M250+N250</f>
        <v>573000</v>
      </c>
      <c r="M250" s="714">
        <f t="shared" si="63"/>
        <v>0</v>
      </c>
      <c r="N250" s="714">
        <f t="shared" si="63"/>
        <v>573000</v>
      </c>
    </row>
    <row r="251" spans="1:14" s="698" customFormat="1" ht="3.75" customHeight="1" hidden="1">
      <c r="A251" s="691"/>
      <c r="B251" s="692"/>
      <c r="C251" s="692"/>
      <c r="D251" s="692"/>
      <c r="E251" s="693"/>
      <c r="F251" s="693"/>
      <c r="G251" s="717"/>
      <c r="H251" s="718"/>
      <c r="I251" s="719"/>
      <c r="J251" s="719"/>
      <c r="K251" s="719"/>
      <c r="L251" s="719"/>
      <c r="M251" s="719"/>
      <c r="N251" s="720"/>
    </row>
    <row r="252" spans="1:14" s="624" customFormat="1" ht="13.5" customHeight="1" hidden="1">
      <c r="A252" s="1242" t="s">
        <v>57</v>
      </c>
      <c r="B252" s="1243"/>
      <c r="C252" s="1244" t="s">
        <v>61</v>
      </c>
      <c r="D252" s="1245"/>
      <c r="E252" s="721" t="s">
        <v>782</v>
      </c>
      <c r="F252" s="1283" t="s">
        <v>783</v>
      </c>
      <c r="G252" s="702" t="s">
        <v>20</v>
      </c>
      <c r="H252" s="703">
        <f>I252+L252</f>
        <v>573000</v>
      </c>
      <c r="I252" s="704">
        <f>J252+K252</f>
        <v>0</v>
      </c>
      <c r="J252" s="704">
        <v>0</v>
      </c>
      <c r="K252" s="704">
        <v>0</v>
      </c>
      <c r="L252" s="704">
        <f>M252+N252</f>
        <v>573000</v>
      </c>
      <c r="M252" s="704">
        <v>0</v>
      </c>
      <c r="N252" s="704">
        <v>573000</v>
      </c>
    </row>
    <row r="253" spans="1:14" s="624" customFormat="1" ht="13.5" customHeight="1" hidden="1">
      <c r="A253" s="1252"/>
      <c r="B253" s="1253"/>
      <c r="C253" s="1254"/>
      <c r="D253" s="1255"/>
      <c r="E253" s="723"/>
      <c r="F253" s="1284"/>
      <c r="G253" s="702" t="s">
        <v>21</v>
      </c>
      <c r="H253" s="703">
        <f>I253+L253</f>
        <v>0</v>
      </c>
      <c r="I253" s="704">
        <f>J253+K253</f>
        <v>0</v>
      </c>
      <c r="J253" s="704">
        <v>0</v>
      </c>
      <c r="K253" s="704">
        <v>0</v>
      </c>
      <c r="L253" s="704">
        <f>M253+N253</f>
        <v>0</v>
      </c>
      <c r="M253" s="704">
        <v>0</v>
      </c>
      <c r="N253" s="704">
        <v>0</v>
      </c>
    </row>
    <row r="254" spans="1:14" s="624" customFormat="1" ht="13.5" customHeight="1" hidden="1">
      <c r="A254" s="1252"/>
      <c r="B254" s="1253"/>
      <c r="C254" s="1254"/>
      <c r="D254" s="1255"/>
      <c r="E254" s="724"/>
      <c r="F254" s="1285"/>
      <c r="G254" s="722" t="s">
        <v>22</v>
      </c>
      <c r="H254" s="703">
        <f>I254+L254</f>
        <v>573000</v>
      </c>
      <c r="I254" s="704">
        <f>J254+K254</f>
        <v>0</v>
      </c>
      <c r="J254" s="704">
        <f>J253+J252</f>
        <v>0</v>
      </c>
      <c r="K254" s="704">
        <f>K253+K252</f>
        <v>0</v>
      </c>
      <c r="L254" s="704">
        <f>M254+N254</f>
        <v>573000</v>
      </c>
      <c r="M254" s="704">
        <f>M253+M252</f>
        <v>0</v>
      </c>
      <c r="N254" s="704">
        <f>N253+N252</f>
        <v>573000</v>
      </c>
    </row>
    <row r="255" spans="1:14" s="698" customFormat="1" ht="3.75" customHeight="1" hidden="1">
      <c r="A255" s="729"/>
      <c r="B255" s="693"/>
      <c r="C255" s="693"/>
      <c r="D255" s="693"/>
      <c r="E255" s="693"/>
      <c r="F255" s="693"/>
      <c r="G255" s="694"/>
      <c r="H255" s="695"/>
      <c r="I255" s="696"/>
      <c r="J255" s="696"/>
      <c r="K255" s="696"/>
      <c r="L255" s="696"/>
      <c r="M255" s="696"/>
      <c r="N255" s="697"/>
    </row>
    <row r="256" spans="1:14" s="715" customFormat="1" ht="15.75" customHeight="1">
      <c r="A256" s="1271" t="s">
        <v>784</v>
      </c>
      <c r="B256" s="1272"/>
      <c r="C256" s="1272"/>
      <c r="D256" s="1272"/>
      <c r="E256" s="1272"/>
      <c r="F256" s="1273"/>
      <c r="G256" s="687" t="s">
        <v>20</v>
      </c>
      <c r="H256" s="689">
        <f>I256+L256</f>
        <v>30907165</v>
      </c>
      <c r="I256" s="689">
        <f>J256+K256</f>
        <v>22193464</v>
      </c>
      <c r="J256" s="689">
        <f aca="true" t="shared" si="64" ref="J256:K258">J260+J263+J266+J269+J272+J275+J278+J281+J284+J287+J290+J293+J296+J299+J302+J305+J308+J311+J314+J317+J320+J323+J326+J329+J332+J335+J338+J341+J344+J347+J350+J353+J356+J359+J362+J365+J368+J371+J374+J377+J380+J383+J386+J389+J392+J395+J398+J401+J404+J407+J410+J413+J416+J419</f>
        <v>14848048</v>
      </c>
      <c r="K256" s="689">
        <f t="shared" si="64"/>
        <v>7345416</v>
      </c>
      <c r="L256" s="689">
        <f>M256+N256</f>
        <v>8713701</v>
      </c>
      <c r="M256" s="689">
        <f aca="true" t="shared" si="65" ref="M256:N258">M260+M263+M266+M269+M272+M275+M278+M281+M284+M287+M290+M293+M296+M299+M302+M305+M308+M311+M314+M317+M320+M323+M326+M329+M332+M335+M338+M341+M344+M347+M350+M353+M356+M359+M362+M365+M368+M371+M374+M377+M380+M383+M386+M389+M392+M395+M398+M401+M404+M407+M410+M413+M416+M419</f>
        <v>0</v>
      </c>
      <c r="N256" s="689">
        <f t="shared" si="65"/>
        <v>8713701</v>
      </c>
    </row>
    <row r="257" spans="1:14" s="715" customFormat="1" ht="15.75" customHeight="1">
      <c r="A257" s="1274"/>
      <c r="B257" s="1275"/>
      <c r="C257" s="1275"/>
      <c r="D257" s="1275"/>
      <c r="E257" s="1275"/>
      <c r="F257" s="1276"/>
      <c r="G257" s="687" t="s">
        <v>21</v>
      </c>
      <c r="H257" s="689">
        <f>I257+L257</f>
        <v>856730</v>
      </c>
      <c r="I257" s="689">
        <f>J257+K257</f>
        <v>656730</v>
      </c>
      <c r="J257" s="689">
        <f t="shared" si="64"/>
        <v>656730</v>
      </c>
      <c r="K257" s="689">
        <f t="shared" si="64"/>
        <v>0</v>
      </c>
      <c r="L257" s="689">
        <f>M257+N257</f>
        <v>200000</v>
      </c>
      <c r="M257" s="689">
        <f t="shared" si="65"/>
        <v>200000</v>
      </c>
      <c r="N257" s="689">
        <f t="shared" si="65"/>
        <v>0</v>
      </c>
    </row>
    <row r="258" spans="1:14" s="715" customFormat="1" ht="15.75" customHeight="1">
      <c r="A258" s="1277"/>
      <c r="B258" s="1278"/>
      <c r="C258" s="1278"/>
      <c r="D258" s="1278"/>
      <c r="E258" s="1278"/>
      <c r="F258" s="1279"/>
      <c r="G258" s="687" t="s">
        <v>22</v>
      </c>
      <c r="H258" s="689">
        <f>I258+L258</f>
        <v>31763895</v>
      </c>
      <c r="I258" s="689">
        <f>J258+K258</f>
        <v>22850194</v>
      </c>
      <c r="J258" s="689">
        <f t="shared" si="64"/>
        <v>15504778</v>
      </c>
      <c r="K258" s="689">
        <f t="shared" si="64"/>
        <v>7345416</v>
      </c>
      <c r="L258" s="689">
        <f>M258+N258</f>
        <v>8913701</v>
      </c>
      <c r="M258" s="689">
        <f t="shared" si="65"/>
        <v>200000</v>
      </c>
      <c r="N258" s="689">
        <f t="shared" si="65"/>
        <v>8713701</v>
      </c>
    </row>
    <row r="259" spans="1:14" s="698" customFormat="1" ht="3" customHeight="1">
      <c r="A259" s="729"/>
      <c r="B259" s="693"/>
      <c r="C259" s="693"/>
      <c r="D259" s="693"/>
      <c r="E259" s="693"/>
      <c r="F259" s="693"/>
      <c r="G259" s="694"/>
      <c r="H259" s="695"/>
      <c r="I259" s="696"/>
      <c r="J259" s="696"/>
      <c r="K259" s="696"/>
      <c r="L259" s="696"/>
      <c r="M259" s="696"/>
      <c r="N259" s="697"/>
    </row>
    <row r="260" spans="1:14" s="727" customFormat="1" ht="13.5" customHeight="1" hidden="1">
      <c r="A260" s="1264" t="s">
        <v>23</v>
      </c>
      <c r="B260" s="1265"/>
      <c r="C260" s="1266" t="s">
        <v>280</v>
      </c>
      <c r="D260" s="1267"/>
      <c r="E260" s="1246" t="s">
        <v>785</v>
      </c>
      <c r="F260" s="1247"/>
      <c r="G260" s="702" t="s">
        <v>20</v>
      </c>
      <c r="H260" s="703">
        <f aca="true" t="shared" si="66" ref="H260:H332">I260+L260</f>
        <v>1100000</v>
      </c>
      <c r="I260" s="704">
        <f aca="true" t="shared" si="67" ref="I260:I332">J260+K260</f>
        <v>0</v>
      </c>
      <c r="J260" s="704">
        <v>0</v>
      </c>
      <c r="K260" s="704">
        <v>0</v>
      </c>
      <c r="L260" s="704">
        <f aca="true" t="shared" si="68" ref="L260:L332">M260+N260</f>
        <v>1100000</v>
      </c>
      <c r="M260" s="704">
        <v>0</v>
      </c>
      <c r="N260" s="704">
        <v>1100000</v>
      </c>
    </row>
    <row r="261" spans="1:14" s="727" customFormat="1" ht="13.5" customHeight="1" hidden="1">
      <c r="A261" s="1260"/>
      <c r="B261" s="1261"/>
      <c r="C261" s="1262"/>
      <c r="D261" s="1263"/>
      <c r="E261" s="1248"/>
      <c r="F261" s="1249"/>
      <c r="G261" s="702" t="s">
        <v>21</v>
      </c>
      <c r="H261" s="703">
        <f t="shared" si="66"/>
        <v>0</v>
      </c>
      <c r="I261" s="704">
        <f t="shared" si="67"/>
        <v>0</v>
      </c>
      <c r="J261" s="704">
        <v>0</v>
      </c>
      <c r="K261" s="704">
        <v>0</v>
      </c>
      <c r="L261" s="704">
        <f t="shared" si="68"/>
        <v>0</v>
      </c>
      <c r="M261" s="704">
        <v>0</v>
      </c>
      <c r="N261" s="704">
        <v>0</v>
      </c>
    </row>
    <row r="262" spans="1:14" s="624" customFormat="1" ht="13.5" customHeight="1" hidden="1">
      <c r="A262" s="1252"/>
      <c r="B262" s="1253"/>
      <c r="C262" s="1254"/>
      <c r="D262" s="1255"/>
      <c r="E262" s="1250"/>
      <c r="F262" s="1251"/>
      <c r="G262" s="722" t="s">
        <v>22</v>
      </c>
      <c r="H262" s="703">
        <f t="shared" si="66"/>
        <v>1100000</v>
      </c>
      <c r="I262" s="704">
        <f t="shared" si="67"/>
        <v>0</v>
      </c>
      <c r="J262" s="704">
        <f>J261+J260</f>
        <v>0</v>
      </c>
      <c r="K262" s="704">
        <f>K261+K260</f>
        <v>0</v>
      </c>
      <c r="L262" s="704">
        <f t="shared" si="68"/>
        <v>1100000</v>
      </c>
      <c r="M262" s="704">
        <f>M261+M260</f>
        <v>0</v>
      </c>
      <c r="N262" s="704">
        <f>N261+N260</f>
        <v>1100000</v>
      </c>
    </row>
    <row r="263" spans="1:14" s="624" customFormat="1" ht="13.5" customHeight="1">
      <c r="A263" s="1252" t="s">
        <v>23</v>
      </c>
      <c r="B263" s="1253"/>
      <c r="C263" s="1244" t="s">
        <v>259</v>
      </c>
      <c r="D263" s="1245"/>
      <c r="E263" s="1246" t="s">
        <v>786</v>
      </c>
      <c r="F263" s="1247"/>
      <c r="G263" s="702" t="s">
        <v>20</v>
      </c>
      <c r="H263" s="703">
        <f>I263+L263</f>
        <v>0</v>
      </c>
      <c r="I263" s="704">
        <f>J263+K263</f>
        <v>0</v>
      </c>
      <c r="J263" s="704">
        <v>0</v>
      </c>
      <c r="K263" s="704">
        <v>0</v>
      </c>
      <c r="L263" s="704">
        <f>M263+N263</f>
        <v>0</v>
      </c>
      <c r="M263" s="704">
        <v>0</v>
      </c>
      <c r="N263" s="704">
        <v>0</v>
      </c>
    </row>
    <row r="264" spans="1:14" s="624" customFormat="1" ht="13.5" customHeight="1">
      <c r="A264" s="1252"/>
      <c r="B264" s="1253"/>
      <c r="C264" s="1254"/>
      <c r="D264" s="1255"/>
      <c r="E264" s="1248"/>
      <c r="F264" s="1249"/>
      <c r="G264" s="702" t="s">
        <v>21</v>
      </c>
      <c r="H264" s="703">
        <f>I264+L264</f>
        <v>59263</v>
      </c>
      <c r="I264" s="704">
        <f>J264+K264</f>
        <v>59263</v>
      </c>
      <c r="J264" s="704">
        <v>59263</v>
      </c>
      <c r="K264" s="704">
        <v>0</v>
      </c>
      <c r="L264" s="704">
        <f>M264+N264</f>
        <v>0</v>
      </c>
      <c r="M264" s="704">
        <v>0</v>
      </c>
      <c r="N264" s="704">
        <v>0</v>
      </c>
    </row>
    <row r="265" spans="1:14" s="624" customFormat="1" ht="13.5" customHeight="1">
      <c r="A265" s="1252"/>
      <c r="B265" s="1253"/>
      <c r="C265" s="1254"/>
      <c r="D265" s="1255"/>
      <c r="E265" s="1250"/>
      <c r="F265" s="1251"/>
      <c r="G265" s="722" t="s">
        <v>22</v>
      </c>
      <c r="H265" s="703">
        <f>I265+L265</f>
        <v>59263</v>
      </c>
      <c r="I265" s="704">
        <f>J265+K265</f>
        <v>59263</v>
      </c>
      <c r="J265" s="704">
        <f>J264+J263</f>
        <v>59263</v>
      </c>
      <c r="K265" s="704">
        <f>K264+K263</f>
        <v>0</v>
      </c>
      <c r="L265" s="704">
        <f>M265+N265</f>
        <v>0</v>
      </c>
      <c r="M265" s="704">
        <f>M264+M263</f>
        <v>0</v>
      </c>
      <c r="N265" s="704">
        <f>N264+N263</f>
        <v>0</v>
      </c>
    </row>
    <row r="266" spans="1:14" s="624" customFormat="1" ht="13.5" customHeight="1" hidden="1">
      <c r="A266" s="1252"/>
      <c r="B266" s="1253"/>
      <c r="C266" s="1244" t="s">
        <v>26</v>
      </c>
      <c r="D266" s="1245"/>
      <c r="E266" s="1246" t="s">
        <v>787</v>
      </c>
      <c r="F266" s="1247"/>
      <c r="G266" s="702" t="s">
        <v>20</v>
      </c>
      <c r="H266" s="703">
        <f t="shared" si="66"/>
        <v>7441800</v>
      </c>
      <c r="I266" s="704">
        <f t="shared" si="67"/>
        <v>7441800</v>
      </c>
      <c r="J266" s="704">
        <v>7441800</v>
      </c>
      <c r="K266" s="704">
        <v>0</v>
      </c>
      <c r="L266" s="704">
        <f t="shared" si="68"/>
        <v>0</v>
      </c>
      <c r="M266" s="704">
        <v>0</v>
      </c>
      <c r="N266" s="704">
        <v>0</v>
      </c>
    </row>
    <row r="267" spans="1:14" s="624" customFormat="1" ht="13.5" customHeight="1" hidden="1">
      <c r="A267" s="1252"/>
      <c r="B267" s="1253"/>
      <c r="C267" s="1254"/>
      <c r="D267" s="1255"/>
      <c r="E267" s="1248"/>
      <c r="F267" s="1249"/>
      <c r="G267" s="702" t="s">
        <v>21</v>
      </c>
      <c r="H267" s="703">
        <f t="shared" si="66"/>
        <v>0</v>
      </c>
      <c r="I267" s="704">
        <f t="shared" si="67"/>
        <v>0</v>
      </c>
      <c r="J267" s="704">
        <v>0</v>
      </c>
      <c r="K267" s="704">
        <v>0</v>
      </c>
      <c r="L267" s="704">
        <f t="shared" si="68"/>
        <v>0</v>
      </c>
      <c r="M267" s="704">
        <v>0</v>
      </c>
      <c r="N267" s="704">
        <v>0</v>
      </c>
    </row>
    <row r="268" spans="1:14" s="624" customFormat="1" ht="13.5" customHeight="1" hidden="1">
      <c r="A268" s="1252"/>
      <c r="B268" s="1253"/>
      <c r="C268" s="1254"/>
      <c r="D268" s="1255"/>
      <c r="E268" s="1250"/>
      <c r="F268" s="1251"/>
      <c r="G268" s="722" t="s">
        <v>22</v>
      </c>
      <c r="H268" s="703">
        <f t="shared" si="66"/>
        <v>7441800</v>
      </c>
      <c r="I268" s="704">
        <f t="shared" si="67"/>
        <v>7441800</v>
      </c>
      <c r="J268" s="704">
        <f>J267+J266</f>
        <v>7441800</v>
      </c>
      <c r="K268" s="704">
        <f>K267+K266</f>
        <v>0</v>
      </c>
      <c r="L268" s="704">
        <f t="shared" si="68"/>
        <v>0</v>
      </c>
      <c r="M268" s="704">
        <f>M267+M266</f>
        <v>0</v>
      </c>
      <c r="N268" s="704">
        <f>N267+N266</f>
        <v>0</v>
      </c>
    </row>
    <row r="269" spans="1:14" s="624" customFormat="1" ht="13.5" customHeight="1" hidden="1">
      <c r="A269" s="1252"/>
      <c r="B269" s="1253"/>
      <c r="C269" s="1244" t="s">
        <v>285</v>
      </c>
      <c r="D269" s="1245"/>
      <c r="E269" s="1246" t="s">
        <v>788</v>
      </c>
      <c r="F269" s="1247"/>
      <c r="G269" s="705" t="s">
        <v>20</v>
      </c>
      <c r="H269" s="674">
        <f t="shared" si="66"/>
        <v>30000</v>
      </c>
      <c r="I269" s="675">
        <f t="shared" si="67"/>
        <v>30000</v>
      </c>
      <c r="J269" s="675">
        <v>0</v>
      </c>
      <c r="K269" s="675">
        <v>30000</v>
      </c>
      <c r="L269" s="675">
        <f t="shared" si="68"/>
        <v>0</v>
      </c>
      <c r="M269" s="675">
        <v>0</v>
      </c>
      <c r="N269" s="675">
        <v>0</v>
      </c>
    </row>
    <row r="270" spans="1:14" s="624" customFormat="1" ht="13.5" customHeight="1" hidden="1">
      <c r="A270" s="1252"/>
      <c r="B270" s="1253"/>
      <c r="C270" s="1254"/>
      <c r="D270" s="1255"/>
      <c r="E270" s="1248"/>
      <c r="F270" s="1249"/>
      <c r="G270" s="705" t="s">
        <v>21</v>
      </c>
      <c r="H270" s="674">
        <f t="shared" si="66"/>
        <v>0</v>
      </c>
      <c r="I270" s="675">
        <f t="shared" si="67"/>
        <v>0</v>
      </c>
      <c r="J270" s="675">
        <v>0</v>
      </c>
      <c r="K270" s="675">
        <v>0</v>
      </c>
      <c r="L270" s="675">
        <f t="shared" si="68"/>
        <v>0</v>
      </c>
      <c r="M270" s="675">
        <v>0</v>
      </c>
      <c r="N270" s="675">
        <v>0</v>
      </c>
    </row>
    <row r="271" spans="1:14" s="624" customFormat="1" ht="13.5" customHeight="1" hidden="1">
      <c r="A271" s="1252"/>
      <c r="B271" s="1253"/>
      <c r="C271" s="1254"/>
      <c r="D271" s="1255"/>
      <c r="E271" s="1250"/>
      <c r="F271" s="1251"/>
      <c r="G271" s="722" t="s">
        <v>22</v>
      </c>
      <c r="H271" s="703">
        <f t="shared" si="66"/>
        <v>30000</v>
      </c>
      <c r="I271" s="704">
        <f t="shared" si="67"/>
        <v>30000</v>
      </c>
      <c r="J271" s="704">
        <f>J270+J269</f>
        <v>0</v>
      </c>
      <c r="K271" s="704">
        <f>K270+K269</f>
        <v>30000</v>
      </c>
      <c r="L271" s="704">
        <f t="shared" si="68"/>
        <v>0</v>
      </c>
      <c r="M271" s="704">
        <f>M270+M269</f>
        <v>0</v>
      </c>
      <c r="N271" s="704">
        <f>N270+N269</f>
        <v>0</v>
      </c>
    </row>
    <row r="272" spans="1:14" s="624" customFormat="1" ht="13.5" customHeight="1" hidden="1">
      <c r="A272" s="1242" t="s">
        <v>27</v>
      </c>
      <c r="B272" s="1243"/>
      <c r="C272" s="1244" t="s">
        <v>29</v>
      </c>
      <c r="D272" s="1245"/>
      <c r="E272" s="1246" t="s">
        <v>789</v>
      </c>
      <c r="F272" s="1247"/>
      <c r="G272" s="705" t="s">
        <v>20</v>
      </c>
      <c r="H272" s="674">
        <f t="shared" si="66"/>
        <v>1300000</v>
      </c>
      <c r="I272" s="675">
        <f t="shared" si="67"/>
        <v>1300000</v>
      </c>
      <c r="J272" s="675">
        <v>0</v>
      </c>
      <c r="K272" s="675">
        <v>1300000</v>
      </c>
      <c r="L272" s="675">
        <f t="shared" si="68"/>
        <v>0</v>
      </c>
      <c r="M272" s="675">
        <v>0</v>
      </c>
      <c r="N272" s="675">
        <v>0</v>
      </c>
    </row>
    <row r="273" spans="1:14" s="624" customFormat="1" ht="13.5" customHeight="1" hidden="1">
      <c r="A273" s="1252"/>
      <c r="B273" s="1253"/>
      <c r="C273" s="1254"/>
      <c r="D273" s="1255"/>
      <c r="E273" s="1248"/>
      <c r="F273" s="1249"/>
      <c r="G273" s="705" t="s">
        <v>21</v>
      </c>
      <c r="H273" s="674">
        <f t="shared" si="66"/>
        <v>0</v>
      </c>
      <c r="I273" s="675">
        <f t="shared" si="67"/>
        <v>0</v>
      </c>
      <c r="J273" s="675">
        <v>0</v>
      </c>
      <c r="K273" s="675">
        <v>0</v>
      </c>
      <c r="L273" s="675">
        <f t="shared" si="68"/>
        <v>0</v>
      </c>
      <c r="M273" s="675">
        <v>0</v>
      </c>
      <c r="N273" s="675">
        <v>0</v>
      </c>
    </row>
    <row r="274" spans="1:14" s="624" customFormat="1" ht="13.5" customHeight="1" hidden="1">
      <c r="A274" s="1252"/>
      <c r="B274" s="1253"/>
      <c r="C274" s="1254"/>
      <c r="D274" s="1255"/>
      <c r="E274" s="1250"/>
      <c r="F274" s="1251"/>
      <c r="G274" s="722" t="s">
        <v>22</v>
      </c>
      <c r="H274" s="703">
        <f t="shared" si="66"/>
        <v>1300000</v>
      </c>
      <c r="I274" s="704">
        <f t="shared" si="67"/>
        <v>1300000</v>
      </c>
      <c r="J274" s="704">
        <f>J273+J272</f>
        <v>0</v>
      </c>
      <c r="K274" s="704">
        <f>K273+K272</f>
        <v>1300000</v>
      </c>
      <c r="L274" s="704">
        <f t="shared" si="68"/>
        <v>0</v>
      </c>
      <c r="M274" s="704">
        <f>M273+M272</f>
        <v>0</v>
      </c>
      <c r="N274" s="704">
        <f>N273+N272</f>
        <v>0</v>
      </c>
    </row>
    <row r="275" spans="1:14" s="727" customFormat="1" ht="13.5" customHeight="1" hidden="1">
      <c r="A275" s="1260"/>
      <c r="B275" s="1261"/>
      <c r="C275" s="1266" t="s">
        <v>64</v>
      </c>
      <c r="D275" s="1267"/>
      <c r="E275" s="1246" t="s">
        <v>790</v>
      </c>
      <c r="F275" s="1247"/>
      <c r="G275" s="705" t="s">
        <v>20</v>
      </c>
      <c r="H275" s="674">
        <f t="shared" si="66"/>
        <v>2147544</v>
      </c>
      <c r="I275" s="675">
        <f t="shared" si="67"/>
        <v>2147544</v>
      </c>
      <c r="J275" s="675">
        <v>2147544</v>
      </c>
      <c r="K275" s="675">
        <v>0</v>
      </c>
      <c r="L275" s="675">
        <f t="shared" si="68"/>
        <v>0</v>
      </c>
      <c r="M275" s="675">
        <v>0</v>
      </c>
      <c r="N275" s="675">
        <v>0</v>
      </c>
    </row>
    <row r="276" spans="1:14" s="727" customFormat="1" ht="13.5" customHeight="1" hidden="1">
      <c r="A276" s="1260"/>
      <c r="B276" s="1261"/>
      <c r="C276" s="1262"/>
      <c r="D276" s="1263"/>
      <c r="E276" s="1248"/>
      <c r="F276" s="1249"/>
      <c r="G276" s="705" t="s">
        <v>21</v>
      </c>
      <c r="H276" s="674">
        <f t="shared" si="66"/>
        <v>0</v>
      </c>
      <c r="I276" s="675">
        <f t="shared" si="67"/>
        <v>0</v>
      </c>
      <c r="J276" s="675">
        <v>0</v>
      </c>
      <c r="K276" s="675">
        <v>0</v>
      </c>
      <c r="L276" s="675">
        <f t="shared" si="68"/>
        <v>0</v>
      </c>
      <c r="M276" s="675">
        <v>0</v>
      </c>
      <c r="N276" s="675">
        <v>0</v>
      </c>
    </row>
    <row r="277" spans="1:14" s="624" customFormat="1" ht="13.5" customHeight="1" hidden="1">
      <c r="A277" s="1252"/>
      <c r="B277" s="1253"/>
      <c r="C277" s="1254"/>
      <c r="D277" s="1255"/>
      <c r="E277" s="1250"/>
      <c r="F277" s="1251"/>
      <c r="G277" s="722" t="s">
        <v>22</v>
      </c>
      <c r="H277" s="703">
        <f t="shared" si="66"/>
        <v>2147544</v>
      </c>
      <c r="I277" s="704">
        <f t="shared" si="67"/>
        <v>2147544</v>
      </c>
      <c r="J277" s="704">
        <f>J276+J275</f>
        <v>2147544</v>
      </c>
      <c r="K277" s="704">
        <f>K276+K275</f>
        <v>0</v>
      </c>
      <c r="L277" s="704">
        <f t="shared" si="68"/>
        <v>0</v>
      </c>
      <c r="M277" s="704">
        <f>M276+M275</f>
        <v>0</v>
      </c>
      <c r="N277" s="704">
        <f>N276+N275</f>
        <v>0</v>
      </c>
    </row>
    <row r="278" spans="1:14" s="727" customFormat="1" ht="13.5" customHeight="1" hidden="1">
      <c r="A278" s="1260"/>
      <c r="B278" s="1261"/>
      <c r="C278" s="1266" t="s">
        <v>209</v>
      </c>
      <c r="D278" s="1267"/>
      <c r="E278" s="1246" t="s">
        <v>791</v>
      </c>
      <c r="F278" s="1247"/>
      <c r="G278" s="705" t="s">
        <v>20</v>
      </c>
      <c r="H278" s="674">
        <f t="shared" si="66"/>
        <v>50000</v>
      </c>
      <c r="I278" s="675">
        <f t="shared" si="67"/>
        <v>50000</v>
      </c>
      <c r="J278" s="675">
        <v>0</v>
      </c>
      <c r="K278" s="675">
        <v>50000</v>
      </c>
      <c r="L278" s="675">
        <f t="shared" si="68"/>
        <v>0</v>
      </c>
      <c r="M278" s="675">
        <v>0</v>
      </c>
      <c r="N278" s="675">
        <v>0</v>
      </c>
    </row>
    <row r="279" spans="1:14" s="727" customFormat="1" ht="13.5" customHeight="1" hidden="1">
      <c r="A279" s="1260"/>
      <c r="B279" s="1261"/>
      <c r="C279" s="1262"/>
      <c r="D279" s="1263"/>
      <c r="E279" s="1248"/>
      <c r="F279" s="1249"/>
      <c r="G279" s="705" t="s">
        <v>21</v>
      </c>
      <c r="H279" s="674">
        <f t="shared" si="66"/>
        <v>0</v>
      </c>
      <c r="I279" s="675">
        <f t="shared" si="67"/>
        <v>0</v>
      </c>
      <c r="J279" s="675">
        <v>0</v>
      </c>
      <c r="K279" s="675">
        <v>0</v>
      </c>
      <c r="L279" s="675">
        <f t="shared" si="68"/>
        <v>0</v>
      </c>
      <c r="M279" s="675">
        <v>0</v>
      </c>
      <c r="N279" s="675">
        <v>0</v>
      </c>
    </row>
    <row r="280" spans="1:14" s="624" customFormat="1" ht="13.5" customHeight="1" hidden="1">
      <c r="A280" s="1252"/>
      <c r="B280" s="1253"/>
      <c r="C280" s="1254"/>
      <c r="D280" s="1255"/>
      <c r="E280" s="1250"/>
      <c r="F280" s="1251"/>
      <c r="G280" s="722" t="s">
        <v>22</v>
      </c>
      <c r="H280" s="703">
        <f t="shared" si="66"/>
        <v>50000</v>
      </c>
      <c r="I280" s="704">
        <f t="shared" si="67"/>
        <v>50000</v>
      </c>
      <c r="J280" s="704">
        <f>J279+J278</f>
        <v>0</v>
      </c>
      <c r="K280" s="704">
        <f>K279+K278</f>
        <v>50000</v>
      </c>
      <c r="L280" s="704">
        <f t="shared" si="68"/>
        <v>0</v>
      </c>
      <c r="M280" s="704">
        <f>M279+M278</f>
        <v>0</v>
      </c>
      <c r="N280" s="704">
        <f>N279+N278</f>
        <v>0</v>
      </c>
    </row>
    <row r="281" spans="1:14" s="624" customFormat="1" ht="13.5" customHeight="1" hidden="1">
      <c r="A281" s="1242" t="s">
        <v>308</v>
      </c>
      <c r="B281" s="1243"/>
      <c r="C281" s="1244" t="s">
        <v>310</v>
      </c>
      <c r="D281" s="1245"/>
      <c r="E281" s="1246" t="s">
        <v>792</v>
      </c>
      <c r="F281" s="1247"/>
      <c r="G281" s="702" t="s">
        <v>20</v>
      </c>
      <c r="H281" s="703">
        <f t="shared" si="66"/>
        <v>150000</v>
      </c>
      <c r="I281" s="704">
        <f t="shared" si="67"/>
        <v>0</v>
      </c>
      <c r="J281" s="704">
        <v>0</v>
      </c>
      <c r="K281" s="704">
        <v>0</v>
      </c>
      <c r="L281" s="704">
        <f t="shared" si="68"/>
        <v>150000</v>
      </c>
      <c r="M281" s="704">
        <v>0</v>
      </c>
      <c r="N281" s="704">
        <v>150000</v>
      </c>
    </row>
    <row r="282" spans="1:14" s="624" customFormat="1" ht="13.5" customHeight="1" hidden="1">
      <c r="A282" s="1252"/>
      <c r="B282" s="1253"/>
      <c r="C282" s="1254"/>
      <c r="D282" s="1255"/>
      <c r="E282" s="1248"/>
      <c r="F282" s="1249"/>
      <c r="G282" s="702" t="s">
        <v>21</v>
      </c>
      <c r="H282" s="703">
        <f t="shared" si="66"/>
        <v>0</v>
      </c>
      <c r="I282" s="704">
        <f t="shared" si="67"/>
        <v>0</v>
      </c>
      <c r="J282" s="704">
        <v>0</v>
      </c>
      <c r="K282" s="704">
        <v>0</v>
      </c>
      <c r="L282" s="704">
        <f t="shared" si="68"/>
        <v>0</v>
      </c>
      <c r="M282" s="704">
        <v>0</v>
      </c>
      <c r="N282" s="704">
        <v>0</v>
      </c>
    </row>
    <row r="283" spans="1:14" s="624" customFormat="1" ht="13.5" customHeight="1" hidden="1">
      <c r="A283" s="1252"/>
      <c r="B283" s="1253"/>
      <c r="C283" s="1254"/>
      <c r="D283" s="1255"/>
      <c r="E283" s="1250"/>
      <c r="F283" s="1251"/>
      <c r="G283" s="722" t="s">
        <v>22</v>
      </c>
      <c r="H283" s="703">
        <f t="shared" si="66"/>
        <v>150000</v>
      </c>
      <c r="I283" s="704">
        <f t="shared" si="67"/>
        <v>0</v>
      </c>
      <c r="J283" s="704">
        <f>J282+J281</f>
        <v>0</v>
      </c>
      <c r="K283" s="704">
        <f>K282+K281</f>
        <v>0</v>
      </c>
      <c r="L283" s="704">
        <f t="shared" si="68"/>
        <v>150000</v>
      </c>
      <c r="M283" s="704">
        <f>M282+M281</f>
        <v>0</v>
      </c>
      <c r="N283" s="704">
        <f>N282+N281</f>
        <v>150000</v>
      </c>
    </row>
    <row r="284" spans="1:14" s="624" customFormat="1" ht="13.5" customHeight="1">
      <c r="A284" s="1242" t="s">
        <v>32</v>
      </c>
      <c r="B284" s="1243"/>
      <c r="C284" s="1244" t="s">
        <v>34</v>
      </c>
      <c r="D284" s="1245"/>
      <c r="E284" s="1246" t="s">
        <v>786</v>
      </c>
      <c r="F284" s="1247"/>
      <c r="G284" s="702" t="s">
        <v>20</v>
      </c>
      <c r="H284" s="703">
        <f t="shared" si="66"/>
        <v>0</v>
      </c>
      <c r="I284" s="704">
        <f t="shared" si="67"/>
        <v>0</v>
      </c>
      <c r="J284" s="704">
        <v>0</v>
      </c>
      <c r="K284" s="704">
        <v>0</v>
      </c>
      <c r="L284" s="704">
        <f t="shared" si="68"/>
        <v>0</v>
      </c>
      <c r="M284" s="704">
        <v>0</v>
      </c>
      <c r="N284" s="704">
        <v>0</v>
      </c>
    </row>
    <row r="285" spans="1:14" s="624" customFormat="1" ht="13.5" customHeight="1">
      <c r="A285" s="1252"/>
      <c r="B285" s="1253"/>
      <c r="C285" s="1254"/>
      <c r="D285" s="1255"/>
      <c r="E285" s="1248"/>
      <c r="F285" s="1249"/>
      <c r="G285" s="702" t="s">
        <v>21</v>
      </c>
      <c r="H285" s="703">
        <f t="shared" si="66"/>
        <v>4863</v>
      </c>
      <c r="I285" s="704">
        <f t="shared" si="67"/>
        <v>4863</v>
      </c>
      <c r="J285" s="704">
        <v>4863</v>
      </c>
      <c r="K285" s="704">
        <v>0</v>
      </c>
      <c r="L285" s="704">
        <f t="shared" si="68"/>
        <v>0</v>
      </c>
      <c r="M285" s="704">
        <v>0</v>
      </c>
      <c r="N285" s="704">
        <v>0</v>
      </c>
    </row>
    <row r="286" spans="1:14" s="624" customFormat="1" ht="13.5" customHeight="1">
      <c r="A286" s="1252"/>
      <c r="B286" s="1253"/>
      <c r="C286" s="1254"/>
      <c r="D286" s="1255"/>
      <c r="E286" s="1250"/>
      <c r="F286" s="1251"/>
      <c r="G286" s="722" t="s">
        <v>22</v>
      </c>
      <c r="H286" s="703">
        <f t="shared" si="66"/>
        <v>4863</v>
      </c>
      <c r="I286" s="704">
        <f t="shared" si="67"/>
        <v>4863</v>
      </c>
      <c r="J286" s="704">
        <f>J285+J284</f>
        <v>4863</v>
      </c>
      <c r="K286" s="704">
        <f>K285+K284</f>
        <v>0</v>
      </c>
      <c r="L286" s="704">
        <f t="shared" si="68"/>
        <v>0</v>
      </c>
      <c r="M286" s="704">
        <f>M285+M284</f>
        <v>0</v>
      </c>
      <c r="N286" s="704">
        <f>N285+N284</f>
        <v>0</v>
      </c>
    </row>
    <row r="287" spans="1:14" s="624" customFormat="1" ht="13.5" customHeight="1" hidden="1">
      <c r="A287" s="1242" t="s">
        <v>38</v>
      </c>
      <c r="B287" s="1243"/>
      <c r="C287" s="1244" t="s">
        <v>327</v>
      </c>
      <c r="D287" s="1245"/>
      <c r="E287" s="1246" t="s">
        <v>793</v>
      </c>
      <c r="F287" s="1247"/>
      <c r="G287" s="702" t="s">
        <v>20</v>
      </c>
      <c r="H287" s="703">
        <f t="shared" si="66"/>
        <v>135000</v>
      </c>
      <c r="I287" s="704">
        <f t="shared" si="67"/>
        <v>0</v>
      </c>
      <c r="J287" s="704">
        <v>0</v>
      </c>
      <c r="K287" s="704">
        <v>0</v>
      </c>
      <c r="L287" s="704">
        <f t="shared" si="68"/>
        <v>135000</v>
      </c>
      <c r="M287" s="704">
        <v>0</v>
      </c>
      <c r="N287" s="704">
        <v>135000</v>
      </c>
    </row>
    <row r="288" spans="1:14" s="624" customFormat="1" ht="13.5" customHeight="1" hidden="1">
      <c r="A288" s="1252"/>
      <c r="B288" s="1253"/>
      <c r="C288" s="1254"/>
      <c r="D288" s="1255"/>
      <c r="E288" s="1248"/>
      <c r="F288" s="1249"/>
      <c r="G288" s="702" t="s">
        <v>21</v>
      </c>
      <c r="H288" s="703">
        <f t="shared" si="66"/>
        <v>0</v>
      </c>
      <c r="I288" s="704">
        <f t="shared" si="67"/>
        <v>0</v>
      </c>
      <c r="J288" s="704">
        <v>0</v>
      </c>
      <c r="K288" s="704">
        <v>0</v>
      </c>
      <c r="L288" s="704">
        <f t="shared" si="68"/>
        <v>0</v>
      </c>
      <c r="M288" s="704">
        <v>0</v>
      </c>
      <c r="N288" s="704">
        <v>0</v>
      </c>
    </row>
    <row r="289" spans="1:14" s="624" customFormat="1" ht="13.5" customHeight="1" hidden="1">
      <c r="A289" s="1252"/>
      <c r="B289" s="1253"/>
      <c r="C289" s="1254"/>
      <c r="D289" s="1255"/>
      <c r="E289" s="1250"/>
      <c r="F289" s="1251"/>
      <c r="G289" s="722" t="s">
        <v>22</v>
      </c>
      <c r="H289" s="703">
        <f t="shared" si="66"/>
        <v>135000</v>
      </c>
      <c r="I289" s="704">
        <f t="shared" si="67"/>
        <v>0</v>
      </c>
      <c r="J289" s="704">
        <f>J288+J287</f>
        <v>0</v>
      </c>
      <c r="K289" s="704">
        <f>K288+K287</f>
        <v>0</v>
      </c>
      <c r="L289" s="704">
        <f t="shared" si="68"/>
        <v>135000</v>
      </c>
      <c r="M289" s="704">
        <f>M288+M287</f>
        <v>0</v>
      </c>
      <c r="N289" s="704">
        <f>N288+N287</f>
        <v>135000</v>
      </c>
    </row>
    <row r="290" spans="1:14" s="624" customFormat="1" ht="13.5" customHeight="1" hidden="1">
      <c r="A290" s="1252"/>
      <c r="B290" s="1253"/>
      <c r="C290" s="1254"/>
      <c r="D290" s="1255"/>
      <c r="E290" s="1246" t="s">
        <v>794</v>
      </c>
      <c r="F290" s="1247"/>
      <c r="G290" s="702" t="s">
        <v>20</v>
      </c>
      <c r="H290" s="703">
        <f t="shared" si="66"/>
        <v>3243909</v>
      </c>
      <c r="I290" s="704">
        <f t="shared" si="67"/>
        <v>3243909</v>
      </c>
      <c r="J290" s="704">
        <v>0</v>
      </c>
      <c r="K290" s="704">
        <v>3243909</v>
      </c>
      <c r="L290" s="704">
        <f t="shared" si="68"/>
        <v>0</v>
      </c>
      <c r="M290" s="704">
        <v>0</v>
      </c>
      <c r="N290" s="704">
        <v>0</v>
      </c>
    </row>
    <row r="291" spans="1:14" s="624" customFormat="1" ht="13.5" customHeight="1" hidden="1">
      <c r="A291" s="1252"/>
      <c r="B291" s="1253"/>
      <c r="C291" s="1254"/>
      <c r="D291" s="1255"/>
      <c r="E291" s="1248"/>
      <c r="F291" s="1249"/>
      <c r="G291" s="702" t="s">
        <v>21</v>
      </c>
      <c r="H291" s="703">
        <f t="shared" si="66"/>
        <v>0</v>
      </c>
      <c r="I291" s="704">
        <f t="shared" si="67"/>
        <v>0</v>
      </c>
      <c r="J291" s="704">
        <v>0</v>
      </c>
      <c r="K291" s="704">
        <v>0</v>
      </c>
      <c r="L291" s="704">
        <f t="shared" si="68"/>
        <v>0</v>
      </c>
      <c r="M291" s="704">
        <v>0</v>
      </c>
      <c r="N291" s="704">
        <v>0</v>
      </c>
    </row>
    <row r="292" spans="1:14" s="624" customFormat="1" ht="13.5" customHeight="1" hidden="1">
      <c r="A292" s="1252"/>
      <c r="B292" s="1253"/>
      <c r="C292" s="1254"/>
      <c r="D292" s="1255"/>
      <c r="E292" s="1250"/>
      <c r="F292" s="1251"/>
      <c r="G292" s="722" t="s">
        <v>22</v>
      </c>
      <c r="H292" s="703">
        <f t="shared" si="66"/>
        <v>3243909</v>
      </c>
      <c r="I292" s="704">
        <f t="shared" si="67"/>
        <v>3243909</v>
      </c>
      <c r="J292" s="704">
        <f>J291+J290</f>
        <v>0</v>
      </c>
      <c r="K292" s="704">
        <f>K291+K290</f>
        <v>3243909</v>
      </c>
      <c r="L292" s="704">
        <f t="shared" si="68"/>
        <v>0</v>
      </c>
      <c r="M292" s="704">
        <f>M291+M290</f>
        <v>0</v>
      </c>
      <c r="N292" s="704">
        <f>N291+N290</f>
        <v>0</v>
      </c>
    </row>
    <row r="293" spans="1:14" s="727" customFormat="1" ht="13.5" customHeight="1" hidden="1">
      <c r="A293" s="1264" t="s">
        <v>41</v>
      </c>
      <c r="B293" s="1265"/>
      <c r="C293" s="1266" t="s">
        <v>351</v>
      </c>
      <c r="D293" s="1267"/>
      <c r="E293" s="1246" t="s">
        <v>795</v>
      </c>
      <c r="F293" s="1247"/>
      <c r="G293" s="705" t="s">
        <v>20</v>
      </c>
      <c r="H293" s="674">
        <f t="shared" si="66"/>
        <v>58920</v>
      </c>
      <c r="I293" s="675">
        <f t="shared" si="67"/>
        <v>58920</v>
      </c>
      <c r="J293" s="675">
        <v>0</v>
      </c>
      <c r="K293" s="675">
        <v>58920</v>
      </c>
      <c r="L293" s="675">
        <f t="shared" si="68"/>
        <v>0</v>
      </c>
      <c r="M293" s="675">
        <v>0</v>
      </c>
      <c r="N293" s="675">
        <v>0</v>
      </c>
    </row>
    <row r="294" spans="1:14" s="727" customFormat="1" ht="13.5" customHeight="1" hidden="1">
      <c r="A294" s="1260"/>
      <c r="B294" s="1261"/>
      <c r="C294" s="1262"/>
      <c r="D294" s="1263"/>
      <c r="E294" s="1248"/>
      <c r="F294" s="1249"/>
      <c r="G294" s="705" t="s">
        <v>21</v>
      </c>
      <c r="H294" s="674">
        <f t="shared" si="66"/>
        <v>0</v>
      </c>
      <c r="I294" s="675">
        <f t="shared" si="67"/>
        <v>0</v>
      </c>
      <c r="J294" s="675">
        <v>0</v>
      </c>
      <c r="K294" s="675">
        <v>0</v>
      </c>
      <c r="L294" s="675">
        <f t="shared" si="68"/>
        <v>0</v>
      </c>
      <c r="M294" s="675">
        <v>0</v>
      </c>
      <c r="N294" s="675">
        <v>0</v>
      </c>
    </row>
    <row r="295" spans="1:14" s="624" customFormat="1" ht="13.5" customHeight="1" hidden="1">
      <c r="A295" s="1252"/>
      <c r="B295" s="1253"/>
      <c r="C295" s="1254"/>
      <c r="D295" s="1255"/>
      <c r="E295" s="1250"/>
      <c r="F295" s="1251"/>
      <c r="G295" s="722" t="s">
        <v>22</v>
      </c>
      <c r="H295" s="703">
        <f t="shared" si="66"/>
        <v>58920</v>
      </c>
      <c r="I295" s="704">
        <f t="shared" si="67"/>
        <v>58920</v>
      </c>
      <c r="J295" s="704">
        <f>J294+J293</f>
        <v>0</v>
      </c>
      <c r="K295" s="704">
        <f>K294+K293</f>
        <v>58920</v>
      </c>
      <c r="L295" s="704">
        <f t="shared" si="68"/>
        <v>0</v>
      </c>
      <c r="M295" s="704">
        <f>M294+M293</f>
        <v>0</v>
      </c>
      <c r="N295" s="704">
        <f>N294+N293</f>
        <v>0</v>
      </c>
    </row>
    <row r="296" spans="1:14" s="727" customFormat="1" ht="13.5" customHeight="1" hidden="1">
      <c r="A296" s="1264" t="s">
        <v>44</v>
      </c>
      <c r="B296" s="1265"/>
      <c r="C296" s="1266" t="s">
        <v>136</v>
      </c>
      <c r="D296" s="1267"/>
      <c r="E296" s="1246" t="s">
        <v>796</v>
      </c>
      <c r="F296" s="1247"/>
      <c r="G296" s="702" t="s">
        <v>20</v>
      </c>
      <c r="H296" s="703">
        <f t="shared" si="66"/>
        <v>316956</v>
      </c>
      <c r="I296" s="704">
        <f t="shared" si="67"/>
        <v>316956</v>
      </c>
      <c r="J296" s="704">
        <v>316956</v>
      </c>
      <c r="K296" s="704">
        <v>0</v>
      </c>
      <c r="L296" s="704">
        <f t="shared" si="68"/>
        <v>0</v>
      </c>
      <c r="M296" s="704">
        <v>0</v>
      </c>
      <c r="N296" s="704">
        <v>0</v>
      </c>
    </row>
    <row r="297" spans="1:14" s="727" customFormat="1" ht="13.5" customHeight="1" hidden="1">
      <c r="A297" s="1260"/>
      <c r="B297" s="1261"/>
      <c r="C297" s="1262"/>
      <c r="D297" s="1263"/>
      <c r="E297" s="1248"/>
      <c r="F297" s="1249"/>
      <c r="G297" s="702" t="s">
        <v>21</v>
      </c>
      <c r="H297" s="703">
        <f t="shared" si="66"/>
        <v>0</v>
      </c>
      <c r="I297" s="704">
        <f t="shared" si="67"/>
        <v>0</v>
      </c>
      <c r="J297" s="704">
        <v>0</v>
      </c>
      <c r="K297" s="704">
        <v>0</v>
      </c>
      <c r="L297" s="704">
        <f t="shared" si="68"/>
        <v>0</v>
      </c>
      <c r="M297" s="704">
        <v>0</v>
      </c>
      <c r="N297" s="704">
        <v>0</v>
      </c>
    </row>
    <row r="298" spans="1:14" s="624" customFormat="1" ht="13.5" customHeight="1" hidden="1">
      <c r="A298" s="1252"/>
      <c r="B298" s="1253"/>
      <c r="C298" s="1254"/>
      <c r="D298" s="1255"/>
      <c r="E298" s="1250"/>
      <c r="F298" s="1251"/>
      <c r="G298" s="722" t="s">
        <v>22</v>
      </c>
      <c r="H298" s="703">
        <f t="shared" si="66"/>
        <v>316956</v>
      </c>
      <c r="I298" s="704">
        <f t="shared" si="67"/>
        <v>316956</v>
      </c>
      <c r="J298" s="704">
        <f>J297+J296</f>
        <v>316956</v>
      </c>
      <c r="K298" s="704">
        <f>K297+K296</f>
        <v>0</v>
      </c>
      <c r="L298" s="704">
        <f t="shared" si="68"/>
        <v>0</v>
      </c>
      <c r="M298" s="704">
        <f>M297+M296</f>
        <v>0</v>
      </c>
      <c r="N298" s="704">
        <f>N297+N296</f>
        <v>0</v>
      </c>
    </row>
    <row r="299" spans="1:14" s="727" customFormat="1" ht="13.5" customHeight="1" hidden="1">
      <c r="A299" s="1260"/>
      <c r="B299" s="1261"/>
      <c r="C299" s="1262"/>
      <c r="D299" s="1263"/>
      <c r="E299" s="1246" t="s">
        <v>797</v>
      </c>
      <c r="F299" s="1247"/>
      <c r="G299" s="702" t="s">
        <v>20</v>
      </c>
      <c r="H299" s="703">
        <f t="shared" si="66"/>
        <v>317990</v>
      </c>
      <c r="I299" s="704">
        <f t="shared" si="67"/>
        <v>317990</v>
      </c>
      <c r="J299" s="704">
        <v>317990</v>
      </c>
      <c r="K299" s="704">
        <v>0</v>
      </c>
      <c r="L299" s="704">
        <f t="shared" si="68"/>
        <v>0</v>
      </c>
      <c r="M299" s="704">
        <v>0</v>
      </c>
      <c r="N299" s="704">
        <v>0</v>
      </c>
    </row>
    <row r="300" spans="1:14" s="727" customFormat="1" ht="13.5" customHeight="1" hidden="1">
      <c r="A300" s="1260"/>
      <c r="B300" s="1261"/>
      <c r="C300" s="1262"/>
      <c r="D300" s="1263"/>
      <c r="E300" s="1248"/>
      <c r="F300" s="1249"/>
      <c r="G300" s="702" t="s">
        <v>21</v>
      </c>
      <c r="H300" s="703">
        <f t="shared" si="66"/>
        <v>0</v>
      </c>
      <c r="I300" s="704">
        <f t="shared" si="67"/>
        <v>0</v>
      </c>
      <c r="J300" s="704">
        <v>0</v>
      </c>
      <c r="K300" s="704">
        <v>0</v>
      </c>
      <c r="L300" s="704">
        <f t="shared" si="68"/>
        <v>0</v>
      </c>
      <c r="M300" s="704">
        <v>0</v>
      </c>
      <c r="N300" s="704">
        <v>0</v>
      </c>
    </row>
    <row r="301" spans="1:14" s="624" customFormat="1" ht="13.5" customHeight="1" hidden="1">
      <c r="A301" s="1252"/>
      <c r="B301" s="1253"/>
      <c r="C301" s="1254"/>
      <c r="D301" s="1255"/>
      <c r="E301" s="1250"/>
      <c r="F301" s="1251"/>
      <c r="G301" s="722" t="s">
        <v>22</v>
      </c>
      <c r="H301" s="703">
        <f t="shared" si="66"/>
        <v>317990</v>
      </c>
      <c r="I301" s="704">
        <f t="shared" si="67"/>
        <v>317990</v>
      </c>
      <c r="J301" s="704">
        <f>J300+J299</f>
        <v>317990</v>
      </c>
      <c r="K301" s="704">
        <f>K300+K299</f>
        <v>0</v>
      </c>
      <c r="L301" s="704">
        <f t="shared" si="68"/>
        <v>0</v>
      </c>
      <c r="M301" s="704">
        <f>M300+M299</f>
        <v>0</v>
      </c>
      <c r="N301" s="704">
        <f>N300+N299</f>
        <v>0</v>
      </c>
    </row>
    <row r="302" spans="1:14" s="727" customFormat="1" ht="13.5" customHeight="1" hidden="1">
      <c r="A302" s="1260"/>
      <c r="B302" s="1261"/>
      <c r="C302" s="1266" t="s">
        <v>142</v>
      </c>
      <c r="D302" s="1267"/>
      <c r="E302" s="1246" t="s">
        <v>798</v>
      </c>
      <c r="F302" s="1247"/>
      <c r="G302" s="702" t="s">
        <v>20</v>
      </c>
      <c r="H302" s="703">
        <f t="shared" si="66"/>
        <v>286128</v>
      </c>
      <c r="I302" s="704">
        <f t="shared" si="67"/>
        <v>286128</v>
      </c>
      <c r="J302" s="704">
        <v>286128</v>
      </c>
      <c r="K302" s="704">
        <v>0</v>
      </c>
      <c r="L302" s="704">
        <f t="shared" si="68"/>
        <v>0</v>
      </c>
      <c r="M302" s="704">
        <v>0</v>
      </c>
      <c r="N302" s="704">
        <v>0</v>
      </c>
    </row>
    <row r="303" spans="1:14" s="727" customFormat="1" ht="13.5" customHeight="1" hidden="1">
      <c r="A303" s="1260"/>
      <c r="B303" s="1261"/>
      <c r="C303" s="1262"/>
      <c r="D303" s="1263"/>
      <c r="E303" s="1248"/>
      <c r="F303" s="1249"/>
      <c r="G303" s="702" t="s">
        <v>21</v>
      </c>
      <c r="H303" s="703">
        <f t="shared" si="66"/>
        <v>0</v>
      </c>
      <c r="I303" s="704">
        <f t="shared" si="67"/>
        <v>0</v>
      </c>
      <c r="J303" s="704">
        <v>0</v>
      </c>
      <c r="K303" s="704">
        <v>0</v>
      </c>
      <c r="L303" s="704">
        <f t="shared" si="68"/>
        <v>0</v>
      </c>
      <c r="M303" s="704">
        <v>0</v>
      </c>
      <c r="N303" s="704">
        <v>0</v>
      </c>
    </row>
    <row r="304" spans="1:14" s="624" customFormat="1" ht="13.5" customHeight="1" hidden="1">
      <c r="A304" s="1252"/>
      <c r="B304" s="1253"/>
      <c r="C304" s="1254"/>
      <c r="D304" s="1255"/>
      <c r="E304" s="1250"/>
      <c r="F304" s="1251"/>
      <c r="G304" s="722" t="s">
        <v>22</v>
      </c>
      <c r="H304" s="703">
        <f t="shared" si="66"/>
        <v>286128</v>
      </c>
      <c r="I304" s="704">
        <f t="shared" si="67"/>
        <v>286128</v>
      </c>
      <c r="J304" s="704">
        <f>J303+J302</f>
        <v>286128</v>
      </c>
      <c r="K304" s="704">
        <f>K303+K302</f>
        <v>0</v>
      </c>
      <c r="L304" s="704">
        <f t="shared" si="68"/>
        <v>0</v>
      </c>
      <c r="M304" s="704">
        <f>M303+M302</f>
        <v>0</v>
      </c>
      <c r="N304" s="704">
        <f>N303+N302</f>
        <v>0</v>
      </c>
    </row>
    <row r="305" spans="1:14" s="624" customFormat="1" ht="13.5" customHeight="1" hidden="1">
      <c r="A305" s="1252"/>
      <c r="B305" s="1253"/>
      <c r="C305" s="1244" t="s">
        <v>799</v>
      </c>
      <c r="D305" s="1245"/>
      <c r="E305" s="1246" t="s">
        <v>800</v>
      </c>
      <c r="F305" s="1247"/>
      <c r="G305" s="702" t="s">
        <v>20</v>
      </c>
      <c r="H305" s="703">
        <f t="shared" si="66"/>
        <v>100000</v>
      </c>
      <c r="I305" s="704">
        <f t="shared" si="67"/>
        <v>0</v>
      </c>
      <c r="J305" s="704">
        <v>0</v>
      </c>
      <c r="K305" s="704">
        <v>0</v>
      </c>
      <c r="L305" s="704">
        <f t="shared" si="68"/>
        <v>100000</v>
      </c>
      <c r="M305" s="704">
        <v>0</v>
      </c>
      <c r="N305" s="704">
        <v>100000</v>
      </c>
    </row>
    <row r="306" spans="1:14" s="624" customFormat="1" ht="13.5" customHeight="1" hidden="1">
      <c r="A306" s="1252"/>
      <c r="B306" s="1253"/>
      <c r="C306" s="1254"/>
      <c r="D306" s="1255"/>
      <c r="E306" s="1248"/>
      <c r="F306" s="1249"/>
      <c r="G306" s="702" t="s">
        <v>21</v>
      </c>
      <c r="H306" s="703">
        <f t="shared" si="66"/>
        <v>0</v>
      </c>
      <c r="I306" s="704">
        <f t="shared" si="67"/>
        <v>0</v>
      </c>
      <c r="J306" s="704">
        <v>0</v>
      </c>
      <c r="K306" s="704">
        <v>0</v>
      </c>
      <c r="L306" s="704">
        <f t="shared" si="68"/>
        <v>0</v>
      </c>
      <c r="M306" s="704">
        <v>0</v>
      </c>
      <c r="N306" s="704">
        <v>0</v>
      </c>
    </row>
    <row r="307" spans="1:14" s="624" customFormat="1" ht="13.5" customHeight="1" hidden="1">
      <c r="A307" s="1256"/>
      <c r="B307" s="1257"/>
      <c r="C307" s="1258"/>
      <c r="D307" s="1259"/>
      <c r="E307" s="1250"/>
      <c r="F307" s="1251"/>
      <c r="G307" s="725" t="s">
        <v>22</v>
      </c>
      <c r="H307" s="674">
        <f t="shared" si="66"/>
        <v>100000</v>
      </c>
      <c r="I307" s="675">
        <f t="shared" si="67"/>
        <v>0</v>
      </c>
      <c r="J307" s="675">
        <f>J306+J305</f>
        <v>0</v>
      </c>
      <c r="K307" s="675">
        <f>K306+K305</f>
        <v>0</v>
      </c>
      <c r="L307" s="675">
        <f t="shared" si="68"/>
        <v>100000</v>
      </c>
      <c r="M307" s="675">
        <f>M306+M305</f>
        <v>0</v>
      </c>
      <c r="N307" s="675">
        <f>N306+N305</f>
        <v>100000</v>
      </c>
    </row>
    <row r="308" spans="1:14" s="624" customFormat="1" ht="13.5" customHeight="1" hidden="1">
      <c r="A308" s="1242"/>
      <c r="B308" s="1243"/>
      <c r="C308" s="1244"/>
      <c r="D308" s="1245"/>
      <c r="E308" s="1246" t="s">
        <v>801</v>
      </c>
      <c r="F308" s="1247"/>
      <c r="G308" s="702" t="s">
        <v>20</v>
      </c>
      <c r="H308" s="703">
        <f t="shared" si="66"/>
        <v>799840</v>
      </c>
      <c r="I308" s="704">
        <f t="shared" si="67"/>
        <v>395675</v>
      </c>
      <c r="J308" s="704">
        <v>0</v>
      </c>
      <c r="K308" s="704">
        <v>395675</v>
      </c>
      <c r="L308" s="704">
        <f t="shared" si="68"/>
        <v>404165</v>
      </c>
      <c r="M308" s="704">
        <v>0</v>
      </c>
      <c r="N308" s="704">
        <v>404165</v>
      </c>
    </row>
    <row r="309" spans="1:14" s="624" customFormat="1" ht="13.5" customHeight="1" hidden="1">
      <c r="A309" s="1252"/>
      <c r="B309" s="1253"/>
      <c r="C309" s="1254"/>
      <c r="D309" s="1255"/>
      <c r="E309" s="1248"/>
      <c r="F309" s="1249"/>
      <c r="G309" s="702" t="s">
        <v>21</v>
      </c>
      <c r="H309" s="703">
        <f t="shared" si="66"/>
        <v>0</v>
      </c>
      <c r="I309" s="704">
        <f t="shared" si="67"/>
        <v>0</v>
      </c>
      <c r="J309" s="704">
        <v>0</v>
      </c>
      <c r="K309" s="704">
        <v>0</v>
      </c>
      <c r="L309" s="704">
        <f t="shared" si="68"/>
        <v>0</v>
      </c>
      <c r="M309" s="704">
        <v>0</v>
      </c>
      <c r="N309" s="704">
        <v>0</v>
      </c>
    </row>
    <row r="310" spans="1:14" s="624" customFormat="1" ht="13.5" customHeight="1" hidden="1">
      <c r="A310" s="1252"/>
      <c r="B310" s="1253"/>
      <c r="C310" s="1258"/>
      <c r="D310" s="1259"/>
      <c r="E310" s="1250"/>
      <c r="F310" s="1251"/>
      <c r="G310" s="725" t="s">
        <v>22</v>
      </c>
      <c r="H310" s="674">
        <f t="shared" si="66"/>
        <v>799840</v>
      </c>
      <c r="I310" s="675">
        <f t="shared" si="67"/>
        <v>395675</v>
      </c>
      <c r="J310" s="675">
        <f>J309+J308</f>
        <v>0</v>
      </c>
      <c r="K310" s="675">
        <f>K309+K308</f>
        <v>395675</v>
      </c>
      <c r="L310" s="675">
        <f t="shared" si="68"/>
        <v>404165</v>
      </c>
      <c r="M310" s="675">
        <f>M309+M308</f>
        <v>0</v>
      </c>
      <c r="N310" s="675">
        <f>N309+N308</f>
        <v>404165</v>
      </c>
    </row>
    <row r="311" spans="1:14" s="624" customFormat="1" ht="13.5" customHeight="1" hidden="1">
      <c r="A311" s="1252"/>
      <c r="B311" s="1253"/>
      <c r="C311" s="1254" t="s">
        <v>802</v>
      </c>
      <c r="D311" s="1255"/>
      <c r="E311" s="1269" t="s">
        <v>803</v>
      </c>
      <c r="F311" s="1270"/>
      <c r="G311" s="730" t="s">
        <v>20</v>
      </c>
      <c r="H311" s="731">
        <f t="shared" si="66"/>
        <v>350000</v>
      </c>
      <c r="I311" s="732">
        <f t="shared" si="67"/>
        <v>0</v>
      </c>
      <c r="J311" s="732">
        <v>0</v>
      </c>
      <c r="K311" s="732">
        <v>0</v>
      </c>
      <c r="L311" s="732">
        <f t="shared" si="68"/>
        <v>350000</v>
      </c>
      <c r="M311" s="732">
        <v>0</v>
      </c>
      <c r="N311" s="732">
        <v>350000</v>
      </c>
    </row>
    <row r="312" spans="1:14" s="624" customFormat="1" ht="13.5" customHeight="1" hidden="1">
      <c r="A312" s="1252"/>
      <c r="B312" s="1253"/>
      <c r="C312" s="1254"/>
      <c r="D312" s="1255"/>
      <c r="E312" s="1248"/>
      <c r="F312" s="1249"/>
      <c r="G312" s="702" t="s">
        <v>21</v>
      </c>
      <c r="H312" s="703">
        <f t="shared" si="66"/>
        <v>0</v>
      </c>
      <c r="I312" s="704">
        <f t="shared" si="67"/>
        <v>0</v>
      </c>
      <c r="J312" s="704">
        <v>0</v>
      </c>
      <c r="K312" s="704">
        <v>0</v>
      </c>
      <c r="L312" s="704">
        <f t="shared" si="68"/>
        <v>0</v>
      </c>
      <c r="M312" s="704">
        <v>0</v>
      </c>
      <c r="N312" s="704">
        <v>0</v>
      </c>
    </row>
    <row r="313" spans="1:14" s="624" customFormat="1" ht="13.5" customHeight="1" hidden="1">
      <c r="A313" s="1252"/>
      <c r="B313" s="1253"/>
      <c r="C313" s="1254"/>
      <c r="D313" s="1255"/>
      <c r="E313" s="1250"/>
      <c r="F313" s="1251"/>
      <c r="G313" s="722" t="s">
        <v>22</v>
      </c>
      <c r="H313" s="703">
        <f t="shared" si="66"/>
        <v>350000</v>
      </c>
      <c r="I313" s="704">
        <f t="shared" si="67"/>
        <v>0</v>
      </c>
      <c r="J313" s="704">
        <f>J312+J311</f>
        <v>0</v>
      </c>
      <c r="K313" s="704">
        <f>K312+K311</f>
        <v>0</v>
      </c>
      <c r="L313" s="704">
        <f t="shared" si="68"/>
        <v>350000</v>
      </c>
      <c r="M313" s="704">
        <f>M312+M311</f>
        <v>0</v>
      </c>
      <c r="N313" s="704">
        <f>N312+N311</f>
        <v>350000</v>
      </c>
    </row>
    <row r="314" spans="1:14" s="624" customFormat="1" ht="13.5" customHeight="1" hidden="1">
      <c r="A314" s="1252"/>
      <c r="B314" s="1253"/>
      <c r="C314" s="1244" t="s">
        <v>804</v>
      </c>
      <c r="D314" s="1245"/>
      <c r="E314" s="1246" t="s">
        <v>805</v>
      </c>
      <c r="F314" s="1247"/>
      <c r="G314" s="702" t="s">
        <v>20</v>
      </c>
      <c r="H314" s="703">
        <f t="shared" si="66"/>
        <v>30000</v>
      </c>
      <c r="I314" s="704">
        <f t="shared" si="67"/>
        <v>30000</v>
      </c>
      <c r="J314" s="704">
        <v>0</v>
      </c>
      <c r="K314" s="704">
        <v>30000</v>
      </c>
      <c r="L314" s="704">
        <f t="shared" si="68"/>
        <v>0</v>
      </c>
      <c r="M314" s="704">
        <v>0</v>
      </c>
      <c r="N314" s="704">
        <v>0</v>
      </c>
    </row>
    <row r="315" spans="1:14" s="624" customFormat="1" ht="13.5" customHeight="1" hidden="1">
      <c r="A315" s="1252"/>
      <c r="B315" s="1253"/>
      <c r="C315" s="1254"/>
      <c r="D315" s="1255"/>
      <c r="E315" s="1248"/>
      <c r="F315" s="1249"/>
      <c r="G315" s="702" t="s">
        <v>21</v>
      </c>
      <c r="H315" s="703">
        <f t="shared" si="66"/>
        <v>0</v>
      </c>
      <c r="I315" s="704">
        <f t="shared" si="67"/>
        <v>0</v>
      </c>
      <c r="J315" s="704">
        <v>0</v>
      </c>
      <c r="K315" s="704">
        <v>0</v>
      </c>
      <c r="L315" s="704">
        <f t="shared" si="68"/>
        <v>0</v>
      </c>
      <c r="M315" s="704">
        <v>0</v>
      </c>
      <c r="N315" s="704">
        <v>0</v>
      </c>
    </row>
    <row r="316" spans="1:14" s="624" customFormat="1" ht="13.5" customHeight="1" hidden="1">
      <c r="A316" s="1252"/>
      <c r="B316" s="1253"/>
      <c r="C316" s="1254"/>
      <c r="D316" s="1255"/>
      <c r="E316" s="1250"/>
      <c r="F316" s="1251"/>
      <c r="G316" s="722" t="s">
        <v>22</v>
      </c>
      <c r="H316" s="703">
        <f t="shared" si="66"/>
        <v>30000</v>
      </c>
      <c r="I316" s="704">
        <f t="shared" si="67"/>
        <v>30000</v>
      </c>
      <c r="J316" s="704">
        <f>J315+J314</f>
        <v>0</v>
      </c>
      <c r="K316" s="704">
        <f>K315+K314</f>
        <v>30000</v>
      </c>
      <c r="L316" s="704">
        <f t="shared" si="68"/>
        <v>0</v>
      </c>
      <c r="M316" s="704">
        <f>M315+M314</f>
        <v>0</v>
      </c>
      <c r="N316" s="704">
        <f>N315+N314</f>
        <v>0</v>
      </c>
    </row>
    <row r="317" spans="1:14" s="727" customFormat="1" ht="13.5" customHeight="1" hidden="1">
      <c r="A317" s="1260"/>
      <c r="B317" s="1261"/>
      <c r="C317" s="1262"/>
      <c r="D317" s="1263"/>
      <c r="E317" s="1246" t="s">
        <v>806</v>
      </c>
      <c r="F317" s="1247"/>
      <c r="G317" s="705" t="s">
        <v>20</v>
      </c>
      <c r="H317" s="674">
        <f t="shared" si="66"/>
        <v>70000</v>
      </c>
      <c r="I317" s="675">
        <f t="shared" si="67"/>
        <v>0</v>
      </c>
      <c r="J317" s="675">
        <v>0</v>
      </c>
      <c r="K317" s="675">
        <v>0</v>
      </c>
      <c r="L317" s="675">
        <f t="shared" si="68"/>
        <v>70000</v>
      </c>
      <c r="M317" s="675">
        <v>0</v>
      </c>
      <c r="N317" s="675">
        <v>70000</v>
      </c>
    </row>
    <row r="318" spans="1:14" s="727" customFormat="1" ht="13.5" customHeight="1" hidden="1">
      <c r="A318" s="1260"/>
      <c r="B318" s="1261"/>
      <c r="C318" s="1262"/>
      <c r="D318" s="1263"/>
      <c r="E318" s="1248"/>
      <c r="F318" s="1249"/>
      <c r="G318" s="705" t="s">
        <v>21</v>
      </c>
      <c r="H318" s="674">
        <f t="shared" si="66"/>
        <v>0</v>
      </c>
      <c r="I318" s="675">
        <f t="shared" si="67"/>
        <v>0</v>
      </c>
      <c r="J318" s="675">
        <v>0</v>
      </c>
      <c r="K318" s="675">
        <v>0</v>
      </c>
      <c r="L318" s="675">
        <f t="shared" si="68"/>
        <v>0</v>
      </c>
      <c r="M318" s="675">
        <v>0</v>
      </c>
      <c r="N318" s="675">
        <v>0</v>
      </c>
    </row>
    <row r="319" spans="1:14" s="624" customFormat="1" ht="13.5" customHeight="1" hidden="1">
      <c r="A319" s="1252"/>
      <c r="B319" s="1253"/>
      <c r="C319" s="1254"/>
      <c r="D319" s="1255"/>
      <c r="E319" s="1250"/>
      <c r="F319" s="1251"/>
      <c r="G319" s="722" t="s">
        <v>22</v>
      </c>
      <c r="H319" s="703">
        <f t="shared" si="66"/>
        <v>70000</v>
      </c>
      <c r="I319" s="704">
        <f t="shared" si="67"/>
        <v>0</v>
      </c>
      <c r="J319" s="704">
        <f>J318+J317</f>
        <v>0</v>
      </c>
      <c r="K319" s="704">
        <f>K318+K317</f>
        <v>0</v>
      </c>
      <c r="L319" s="704">
        <f t="shared" si="68"/>
        <v>70000</v>
      </c>
      <c r="M319" s="704">
        <f>M318+M317</f>
        <v>0</v>
      </c>
      <c r="N319" s="704">
        <f>N318+N317</f>
        <v>70000</v>
      </c>
    </row>
    <row r="320" spans="1:14" s="727" customFormat="1" ht="13.5" customHeight="1" hidden="1">
      <c r="A320" s="1260"/>
      <c r="B320" s="1261"/>
      <c r="C320" s="1262"/>
      <c r="D320" s="1263"/>
      <c r="E320" s="1246" t="s">
        <v>807</v>
      </c>
      <c r="F320" s="1247"/>
      <c r="G320" s="705" t="s">
        <v>20</v>
      </c>
      <c r="H320" s="674">
        <f t="shared" si="66"/>
        <v>260000</v>
      </c>
      <c r="I320" s="675">
        <f t="shared" si="67"/>
        <v>0</v>
      </c>
      <c r="J320" s="675">
        <v>0</v>
      </c>
      <c r="K320" s="675">
        <v>0</v>
      </c>
      <c r="L320" s="675">
        <f t="shared" si="68"/>
        <v>260000</v>
      </c>
      <c r="M320" s="675">
        <v>0</v>
      </c>
      <c r="N320" s="675">
        <v>260000</v>
      </c>
    </row>
    <row r="321" spans="1:14" s="727" customFormat="1" ht="13.5" customHeight="1" hidden="1">
      <c r="A321" s="1260"/>
      <c r="B321" s="1261"/>
      <c r="C321" s="1262"/>
      <c r="D321" s="1263"/>
      <c r="E321" s="1248"/>
      <c r="F321" s="1249"/>
      <c r="G321" s="705" t="s">
        <v>21</v>
      </c>
      <c r="H321" s="674">
        <f t="shared" si="66"/>
        <v>0</v>
      </c>
      <c r="I321" s="675">
        <f t="shared" si="67"/>
        <v>0</v>
      </c>
      <c r="J321" s="675">
        <v>0</v>
      </c>
      <c r="K321" s="675">
        <v>0</v>
      </c>
      <c r="L321" s="675">
        <f t="shared" si="68"/>
        <v>0</v>
      </c>
      <c r="M321" s="675">
        <v>0</v>
      </c>
      <c r="N321" s="675">
        <v>0</v>
      </c>
    </row>
    <row r="322" spans="1:14" s="624" customFormat="1" ht="13.5" customHeight="1" hidden="1">
      <c r="A322" s="1252"/>
      <c r="B322" s="1253"/>
      <c r="C322" s="1254"/>
      <c r="D322" s="1255"/>
      <c r="E322" s="1250"/>
      <c r="F322" s="1251"/>
      <c r="G322" s="722" t="s">
        <v>22</v>
      </c>
      <c r="H322" s="703">
        <f t="shared" si="66"/>
        <v>260000</v>
      </c>
      <c r="I322" s="704">
        <f t="shared" si="67"/>
        <v>0</v>
      </c>
      <c r="J322" s="704">
        <f>J321+J320</f>
        <v>0</v>
      </c>
      <c r="K322" s="704">
        <f>K321+K320</f>
        <v>0</v>
      </c>
      <c r="L322" s="704">
        <f t="shared" si="68"/>
        <v>260000</v>
      </c>
      <c r="M322" s="704">
        <f>M321+M320</f>
        <v>0</v>
      </c>
      <c r="N322" s="704">
        <f>N321+N320</f>
        <v>260000</v>
      </c>
    </row>
    <row r="323" spans="1:14" s="624" customFormat="1" ht="13.5" customHeight="1">
      <c r="A323" s="1242" t="s">
        <v>62</v>
      </c>
      <c r="B323" s="1243"/>
      <c r="C323" s="1244" t="s">
        <v>176</v>
      </c>
      <c r="D323" s="1245"/>
      <c r="E323" s="1246" t="s">
        <v>808</v>
      </c>
      <c r="F323" s="1247"/>
      <c r="G323" s="705" t="s">
        <v>20</v>
      </c>
      <c r="H323" s="674">
        <f>I323+L323</f>
        <v>0</v>
      </c>
      <c r="I323" s="675">
        <f>J323+K323</f>
        <v>0</v>
      </c>
      <c r="J323" s="675">
        <v>0</v>
      </c>
      <c r="K323" s="675"/>
      <c r="L323" s="675">
        <f>M323+N323</f>
        <v>0</v>
      </c>
      <c r="M323" s="675">
        <v>0</v>
      </c>
      <c r="N323" s="675">
        <v>0</v>
      </c>
    </row>
    <row r="324" spans="1:14" s="624" customFormat="1" ht="13.5" customHeight="1">
      <c r="A324" s="1252"/>
      <c r="B324" s="1253"/>
      <c r="C324" s="1254"/>
      <c r="D324" s="1255"/>
      <c r="E324" s="1248"/>
      <c r="F324" s="1249"/>
      <c r="G324" s="705" t="s">
        <v>21</v>
      </c>
      <c r="H324" s="674">
        <f>I324+L324</f>
        <v>200000</v>
      </c>
      <c r="I324" s="675">
        <f>J324+K324</f>
        <v>0</v>
      </c>
      <c r="J324" s="675">
        <v>0</v>
      </c>
      <c r="K324" s="675"/>
      <c r="L324" s="675">
        <f>M324+N324</f>
        <v>200000</v>
      </c>
      <c r="M324" s="675">
        <v>200000</v>
      </c>
      <c r="N324" s="675">
        <v>0</v>
      </c>
    </row>
    <row r="325" spans="1:14" s="624" customFormat="1" ht="13.5" customHeight="1">
      <c r="A325" s="1252"/>
      <c r="B325" s="1253"/>
      <c r="C325" s="1254"/>
      <c r="D325" s="1255"/>
      <c r="E325" s="1250"/>
      <c r="F325" s="1251"/>
      <c r="G325" s="722" t="s">
        <v>22</v>
      </c>
      <c r="H325" s="703">
        <f>I325+L325</f>
        <v>200000</v>
      </c>
      <c r="I325" s="704">
        <f>J325+K325</f>
        <v>0</v>
      </c>
      <c r="J325" s="704">
        <f>J324+J323</f>
        <v>0</v>
      </c>
      <c r="K325" s="704">
        <f>K324+K323</f>
        <v>0</v>
      </c>
      <c r="L325" s="704">
        <f>M325+N325</f>
        <v>200000</v>
      </c>
      <c r="M325" s="704">
        <f>M324+M323</f>
        <v>200000</v>
      </c>
      <c r="N325" s="704">
        <f>N324+N323</f>
        <v>0</v>
      </c>
    </row>
    <row r="326" spans="1:14" s="624" customFormat="1" ht="13.5" customHeight="1" hidden="1">
      <c r="A326" s="1242" t="s">
        <v>56</v>
      </c>
      <c r="B326" s="1243"/>
      <c r="C326" s="1244" t="s">
        <v>809</v>
      </c>
      <c r="D326" s="1245"/>
      <c r="E326" s="1246" t="s">
        <v>810</v>
      </c>
      <c r="F326" s="1247"/>
      <c r="G326" s="705" t="s">
        <v>20</v>
      </c>
      <c r="H326" s="674">
        <f t="shared" si="66"/>
        <v>40000</v>
      </c>
      <c r="I326" s="675">
        <f t="shared" si="67"/>
        <v>0</v>
      </c>
      <c r="J326" s="675">
        <v>0</v>
      </c>
      <c r="K326" s="675"/>
      <c r="L326" s="675">
        <f t="shared" si="68"/>
        <v>40000</v>
      </c>
      <c r="M326" s="675">
        <v>0</v>
      </c>
      <c r="N326" s="675">
        <v>40000</v>
      </c>
    </row>
    <row r="327" spans="1:14" s="624" customFormat="1" ht="13.5" customHeight="1" hidden="1">
      <c r="A327" s="1252"/>
      <c r="B327" s="1253"/>
      <c r="C327" s="1254"/>
      <c r="D327" s="1255"/>
      <c r="E327" s="1248"/>
      <c r="F327" s="1249"/>
      <c r="G327" s="705" t="s">
        <v>21</v>
      </c>
      <c r="H327" s="674">
        <f t="shared" si="66"/>
        <v>0</v>
      </c>
      <c r="I327" s="675">
        <f t="shared" si="67"/>
        <v>0</v>
      </c>
      <c r="J327" s="675">
        <v>0</v>
      </c>
      <c r="K327" s="675"/>
      <c r="L327" s="675">
        <f t="shared" si="68"/>
        <v>0</v>
      </c>
      <c r="M327" s="675">
        <v>0</v>
      </c>
      <c r="N327" s="675">
        <v>0</v>
      </c>
    </row>
    <row r="328" spans="1:14" s="624" customFormat="1" ht="13.5" customHeight="1" hidden="1">
      <c r="A328" s="1252"/>
      <c r="B328" s="1253"/>
      <c r="C328" s="1254"/>
      <c r="D328" s="1255"/>
      <c r="E328" s="1250"/>
      <c r="F328" s="1251"/>
      <c r="G328" s="722" t="s">
        <v>22</v>
      </c>
      <c r="H328" s="703">
        <f t="shared" si="66"/>
        <v>40000</v>
      </c>
      <c r="I328" s="704">
        <f t="shared" si="67"/>
        <v>0</v>
      </c>
      <c r="J328" s="704">
        <f>J327+J326</f>
        <v>0</v>
      </c>
      <c r="K328" s="704">
        <f>K327+K326</f>
        <v>0</v>
      </c>
      <c r="L328" s="704">
        <f t="shared" si="68"/>
        <v>40000</v>
      </c>
      <c r="M328" s="704">
        <f>M327+M326</f>
        <v>0</v>
      </c>
      <c r="N328" s="704">
        <f>N327+N326</f>
        <v>40000</v>
      </c>
    </row>
    <row r="329" spans="1:14" s="727" customFormat="1" ht="13.5" customHeight="1" hidden="1">
      <c r="A329" s="1260"/>
      <c r="B329" s="1261"/>
      <c r="C329" s="1262"/>
      <c r="D329" s="1263"/>
      <c r="E329" s="1246" t="s">
        <v>811</v>
      </c>
      <c r="F329" s="1247"/>
      <c r="G329" s="702" t="s">
        <v>20</v>
      </c>
      <c r="H329" s="703">
        <f t="shared" si="66"/>
        <v>30000</v>
      </c>
      <c r="I329" s="704">
        <f t="shared" si="67"/>
        <v>30000</v>
      </c>
      <c r="J329" s="704">
        <v>0</v>
      </c>
      <c r="K329" s="704">
        <v>30000</v>
      </c>
      <c r="L329" s="704">
        <f t="shared" si="68"/>
        <v>0</v>
      </c>
      <c r="M329" s="704">
        <v>0</v>
      </c>
      <c r="N329" s="704">
        <v>0</v>
      </c>
    </row>
    <row r="330" spans="1:14" s="727" customFormat="1" ht="13.5" customHeight="1" hidden="1">
      <c r="A330" s="1260"/>
      <c r="B330" s="1261"/>
      <c r="C330" s="1262"/>
      <c r="D330" s="1263"/>
      <c r="E330" s="1248"/>
      <c r="F330" s="1249"/>
      <c r="G330" s="702" t="s">
        <v>21</v>
      </c>
      <c r="H330" s="703">
        <f t="shared" si="66"/>
        <v>0</v>
      </c>
      <c r="I330" s="704">
        <f t="shared" si="67"/>
        <v>0</v>
      </c>
      <c r="J330" s="704">
        <v>0</v>
      </c>
      <c r="K330" s="704">
        <v>0</v>
      </c>
      <c r="L330" s="704">
        <f t="shared" si="68"/>
        <v>0</v>
      </c>
      <c r="M330" s="704">
        <v>0</v>
      </c>
      <c r="N330" s="704">
        <v>0</v>
      </c>
    </row>
    <row r="331" spans="1:14" s="624" customFormat="1" ht="13.5" customHeight="1" hidden="1">
      <c r="A331" s="1252"/>
      <c r="B331" s="1253"/>
      <c r="C331" s="1254"/>
      <c r="D331" s="1255"/>
      <c r="E331" s="1250"/>
      <c r="F331" s="1251"/>
      <c r="G331" s="722" t="s">
        <v>22</v>
      </c>
      <c r="H331" s="703">
        <f t="shared" si="66"/>
        <v>30000</v>
      </c>
      <c r="I331" s="704">
        <f t="shared" si="67"/>
        <v>30000</v>
      </c>
      <c r="J331" s="704">
        <f>J330+J329</f>
        <v>0</v>
      </c>
      <c r="K331" s="704">
        <f>K330+K329</f>
        <v>30000</v>
      </c>
      <c r="L331" s="704">
        <f t="shared" si="68"/>
        <v>0</v>
      </c>
      <c r="M331" s="704">
        <f>M330+M329</f>
        <v>0</v>
      </c>
      <c r="N331" s="704">
        <f>N330+N329</f>
        <v>0</v>
      </c>
    </row>
    <row r="332" spans="1:14" s="727" customFormat="1" ht="13.5" customHeight="1" hidden="1">
      <c r="A332" s="1260"/>
      <c r="B332" s="1261"/>
      <c r="C332" s="1266" t="s">
        <v>775</v>
      </c>
      <c r="D332" s="1267"/>
      <c r="E332" s="1246" t="s">
        <v>812</v>
      </c>
      <c r="F332" s="1247"/>
      <c r="G332" s="702" t="s">
        <v>20</v>
      </c>
      <c r="H332" s="703">
        <f t="shared" si="66"/>
        <v>320000</v>
      </c>
      <c r="I332" s="704">
        <f t="shared" si="67"/>
        <v>0</v>
      </c>
      <c r="J332" s="704">
        <v>0</v>
      </c>
      <c r="K332" s="704">
        <v>0</v>
      </c>
      <c r="L332" s="704">
        <f t="shared" si="68"/>
        <v>320000</v>
      </c>
      <c r="M332" s="704">
        <v>0</v>
      </c>
      <c r="N332" s="704">
        <v>320000</v>
      </c>
    </row>
    <row r="333" spans="1:14" s="727" customFormat="1" ht="13.5" customHeight="1" hidden="1">
      <c r="A333" s="1260"/>
      <c r="B333" s="1261"/>
      <c r="C333" s="1262"/>
      <c r="D333" s="1263"/>
      <c r="E333" s="1248"/>
      <c r="F333" s="1249"/>
      <c r="G333" s="702" t="s">
        <v>21</v>
      </c>
      <c r="H333" s="703">
        <f aca="true" t="shared" si="69" ref="H333:H408">I333+L333</f>
        <v>0</v>
      </c>
      <c r="I333" s="704">
        <f aca="true" t="shared" si="70" ref="I333:I408">J333+K333</f>
        <v>0</v>
      </c>
      <c r="J333" s="704">
        <v>0</v>
      </c>
      <c r="K333" s="704">
        <v>0</v>
      </c>
      <c r="L333" s="704">
        <f aca="true" t="shared" si="71" ref="L333:L408">M333+N333</f>
        <v>0</v>
      </c>
      <c r="M333" s="704">
        <v>0</v>
      </c>
      <c r="N333" s="704">
        <v>0</v>
      </c>
    </row>
    <row r="334" spans="1:14" s="624" customFormat="1" ht="13.5" customHeight="1" hidden="1">
      <c r="A334" s="1252"/>
      <c r="B334" s="1253"/>
      <c r="C334" s="1254"/>
      <c r="D334" s="1255"/>
      <c r="E334" s="1250"/>
      <c r="F334" s="1251"/>
      <c r="G334" s="722" t="s">
        <v>22</v>
      </c>
      <c r="H334" s="703">
        <f t="shared" si="69"/>
        <v>320000</v>
      </c>
      <c r="I334" s="704">
        <f t="shared" si="70"/>
        <v>0</v>
      </c>
      <c r="J334" s="704">
        <f>J333+J332</f>
        <v>0</v>
      </c>
      <c r="K334" s="704">
        <f>K333+K332</f>
        <v>0</v>
      </c>
      <c r="L334" s="704">
        <f t="shared" si="71"/>
        <v>320000</v>
      </c>
      <c r="M334" s="704">
        <f>M333+M332</f>
        <v>0</v>
      </c>
      <c r="N334" s="704">
        <f>N333+N332</f>
        <v>320000</v>
      </c>
    </row>
    <row r="335" spans="1:14" s="727" customFormat="1" ht="13.5" customHeight="1" hidden="1">
      <c r="A335" s="1260"/>
      <c r="B335" s="1261"/>
      <c r="C335" s="1262"/>
      <c r="D335" s="1263"/>
      <c r="E335" s="1246" t="s">
        <v>813</v>
      </c>
      <c r="F335" s="1247"/>
      <c r="G335" s="702" t="s">
        <v>20</v>
      </c>
      <c r="H335" s="703">
        <f t="shared" si="69"/>
        <v>230000</v>
      </c>
      <c r="I335" s="704">
        <f t="shared" si="70"/>
        <v>0</v>
      </c>
      <c r="J335" s="704">
        <v>0</v>
      </c>
      <c r="K335" s="704">
        <v>0</v>
      </c>
      <c r="L335" s="704">
        <f t="shared" si="71"/>
        <v>230000</v>
      </c>
      <c r="M335" s="704">
        <v>0</v>
      </c>
      <c r="N335" s="704">
        <v>230000</v>
      </c>
    </row>
    <row r="336" spans="1:14" s="727" customFormat="1" ht="13.5" customHeight="1" hidden="1">
      <c r="A336" s="1260"/>
      <c r="B336" s="1261"/>
      <c r="C336" s="1262"/>
      <c r="D336" s="1263"/>
      <c r="E336" s="1248"/>
      <c r="F336" s="1249"/>
      <c r="G336" s="702" t="s">
        <v>21</v>
      </c>
      <c r="H336" s="703">
        <f t="shared" si="69"/>
        <v>0</v>
      </c>
      <c r="I336" s="704">
        <f t="shared" si="70"/>
        <v>0</v>
      </c>
      <c r="J336" s="704">
        <v>0</v>
      </c>
      <c r="K336" s="704">
        <v>0</v>
      </c>
      <c r="L336" s="704">
        <f t="shared" si="71"/>
        <v>0</v>
      </c>
      <c r="M336" s="704">
        <v>0</v>
      </c>
      <c r="N336" s="704">
        <v>0</v>
      </c>
    </row>
    <row r="337" spans="1:14" s="624" customFormat="1" ht="13.5" customHeight="1" hidden="1">
      <c r="A337" s="1252"/>
      <c r="B337" s="1253"/>
      <c r="C337" s="1254"/>
      <c r="D337" s="1255"/>
      <c r="E337" s="1250"/>
      <c r="F337" s="1251"/>
      <c r="G337" s="722" t="s">
        <v>22</v>
      </c>
      <c r="H337" s="703">
        <f t="shared" si="69"/>
        <v>230000</v>
      </c>
      <c r="I337" s="704">
        <f t="shared" si="70"/>
        <v>0</v>
      </c>
      <c r="J337" s="704">
        <f>J336+J335</f>
        <v>0</v>
      </c>
      <c r="K337" s="704">
        <f>K336+K335</f>
        <v>0</v>
      </c>
      <c r="L337" s="704">
        <f t="shared" si="71"/>
        <v>230000</v>
      </c>
      <c r="M337" s="704">
        <f>M336+M335</f>
        <v>0</v>
      </c>
      <c r="N337" s="704">
        <f>N336+N335</f>
        <v>230000</v>
      </c>
    </row>
    <row r="338" spans="1:14" s="624" customFormat="1" ht="13.5" customHeight="1" hidden="1">
      <c r="A338" s="1252"/>
      <c r="B338" s="1253"/>
      <c r="C338" s="1254"/>
      <c r="D338" s="1255"/>
      <c r="E338" s="1246" t="s">
        <v>814</v>
      </c>
      <c r="F338" s="1247"/>
      <c r="G338" s="705" t="s">
        <v>20</v>
      </c>
      <c r="H338" s="674">
        <f t="shared" si="69"/>
        <v>100000</v>
      </c>
      <c r="I338" s="675">
        <f t="shared" si="70"/>
        <v>0</v>
      </c>
      <c r="J338" s="675">
        <v>0</v>
      </c>
      <c r="K338" s="675">
        <v>0</v>
      </c>
      <c r="L338" s="675">
        <f t="shared" si="71"/>
        <v>100000</v>
      </c>
      <c r="M338" s="675">
        <v>0</v>
      </c>
      <c r="N338" s="675">
        <v>100000</v>
      </c>
    </row>
    <row r="339" spans="1:14" s="624" customFormat="1" ht="13.5" customHeight="1" hidden="1">
      <c r="A339" s="1252"/>
      <c r="B339" s="1253"/>
      <c r="C339" s="1254"/>
      <c r="D339" s="1255"/>
      <c r="E339" s="1248"/>
      <c r="F339" s="1249"/>
      <c r="G339" s="705" t="s">
        <v>21</v>
      </c>
      <c r="H339" s="674">
        <f t="shared" si="69"/>
        <v>0</v>
      </c>
      <c r="I339" s="675">
        <f t="shared" si="70"/>
        <v>0</v>
      </c>
      <c r="J339" s="675">
        <v>0</v>
      </c>
      <c r="K339" s="675">
        <v>0</v>
      </c>
      <c r="L339" s="675">
        <f t="shared" si="71"/>
        <v>0</v>
      </c>
      <c r="M339" s="675">
        <v>0</v>
      </c>
      <c r="N339" s="675">
        <v>0</v>
      </c>
    </row>
    <row r="340" spans="1:14" s="624" customFormat="1" ht="13.5" customHeight="1" hidden="1">
      <c r="A340" s="1252"/>
      <c r="B340" s="1253"/>
      <c r="C340" s="1254"/>
      <c r="D340" s="1255"/>
      <c r="E340" s="1250"/>
      <c r="F340" s="1251"/>
      <c r="G340" s="722" t="s">
        <v>22</v>
      </c>
      <c r="H340" s="703">
        <f t="shared" si="69"/>
        <v>100000</v>
      </c>
      <c r="I340" s="704">
        <f t="shared" si="70"/>
        <v>0</v>
      </c>
      <c r="J340" s="704">
        <f>J339+J338</f>
        <v>0</v>
      </c>
      <c r="K340" s="704">
        <f>K339+K338</f>
        <v>0</v>
      </c>
      <c r="L340" s="704">
        <f t="shared" si="71"/>
        <v>100000</v>
      </c>
      <c r="M340" s="704">
        <f>M339+M338</f>
        <v>0</v>
      </c>
      <c r="N340" s="704">
        <f>N339+N338</f>
        <v>100000</v>
      </c>
    </row>
    <row r="341" spans="1:14" s="624" customFormat="1" ht="13.5" customHeight="1" hidden="1">
      <c r="A341" s="1252"/>
      <c r="B341" s="1253"/>
      <c r="C341" s="1254"/>
      <c r="D341" s="1255"/>
      <c r="E341" s="1246" t="s">
        <v>815</v>
      </c>
      <c r="F341" s="1247"/>
      <c r="G341" s="705" t="s">
        <v>20</v>
      </c>
      <c r="H341" s="674">
        <f t="shared" si="69"/>
        <v>150000</v>
      </c>
      <c r="I341" s="675">
        <f t="shared" si="70"/>
        <v>0</v>
      </c>
      <c r="J341" s="675">
        <v>0</v>
      </c>
      <c r="K341" s="675">
        <v>0</v>
      </c>
      <c r="L341" s="675">
        <f t="shared" si="71"/>
        <v>150000</v>
      </c>
      <c r="M341" s="675">
        <v>0</v>
      </c>
      <c r="N341" s="675">
        <v>150000</v>
      </c>
    </row>
    <row r="342" spans="1:14" s="624" customFormat="1" ht="13.5" customHeight="1" hidden="1">
      <c r="A342" s="1252"/>
      <c r="B342" s="1253"/>
      <c r="C342" s="1254"/>
      <c r="D342" s="1255"/>
      <c r="E342" s="1248"/>
      <c r="F342" s="1249"/>
      <c r="G342" s="705" t="s">
        <v>21</v>
      </c>
      <c r="H342" s="674">
        <f t="shared" si="69"/>
        <v>0</v>
      </c>
      <c r="I342" s="675">
        <f t="shared" si="70"/>
        <v>0</v>
      </c>
      <c r="J342" s="675">
        <v>0</v>
      </c>
      <c r="K342" s="675">
        <v>0</v>
      </c>
      <c r="L342" s="675">
        <f t="shared" si="71"/>
        <v>0</v>
      </c>
      <c r="M342" s="675">
        <v>0</v>
      </c>
      <c r="N342" s="675">
        <v>0</v>
      </c>
    </row>
    <row r="343" spans="1:14" s="624" customFormat="1" ht="13.5" customHeight="1" hidden="1">
      <c r="A343" s="1252"/>
      <c r="B343" s="1253"/>
      <c r="C343" s="1254"/>
      <c r="D343" s="1255"/>
      <c r="E343" s="1250"/>
      <c r="F343" s="1251"/>
      <c r="G343" s="722" t="s">
        <v>22</v>
      </c>
      <c r="H343" s="703">
        <f t="shared" si="69"/>
        <v>150000</v>
      </c>
      <c r="I343" s="704">
        <f t="shared" si="70"/>
        <v>0</v>
      </c>
      <c r="J343" s="704">
        <f>J342+J341</f>
        <v>0</v>
      </c>
      <c r="K343" s="704">
        <f>K342+K341</f>
        <v>0</v>
      </c>
      <c r="L343" s="704">
        <f t="shared" si="71"/>
        <v>150000</v>
      </c>
      <c r="M343" s="704">
        <f>M342+M341</f>
        <v>0</v>
      </c>
      <c r="N343" s="704">
        <f>N342+N341</f>
        <v>150000</v>
      </c>
    </row>
    <row r="344" spans="1:14" s="624" customFormat="1" ht="13.5" customHeight="1" hidden="1">
      <c r="A344" s="1242" t="s">
        <v>57</v>
      </c>
      <c r="B344" s="1243"/>
      <c r="C344" s="1244" t="s">
        <v>816</v>
      </c>
      <c r="D344" s="1245"/>
      <c r="E344" s="1246" t="s">
        <v>817</v>
      </c>
      <c r="F344" s="1247"/>
      <c r="G344" s="702" t="s">
        <v>20</v>
      </c>
      <c r="H344" s="703">
        <f t="shared" si="69"/>
        <v>444000</v>
      </c>
      <c r="I344" s="704">
        <f t="shared" si="70"/>
        <v>386444</v>
      </c>
      <c r="J344" s="704">
        <v>0</v>
      </c>
      <c r="K344" s="704">
        <v>386444</v>
      </c>
      <c r="L344" s="704">
        <f t="shared" si="71"/>
        <v>57556</v>
      </c>
      <c r="M344" s="704">
        <v>0</v>
      </c>
      <c r="N344" s="704">
        <v>57556</v>
      </c>
    </row>
    <row r="345" spans="1:14" s="624" customFormat="1" ht="13.5" customHeight="1" hidden="1">
      <c r="A345" s="1252"/>
      <c r="B345" s="1253"/>
      <c r="C345" s="1254"/>
      <c r="D345" s="1255"/>
      <c r="E345" s="1248"/>
      <c r="F345" s="1249"/>
      <c r="G345" s="702" t="s">
        <v>21</v>
      </c>
      <c r="H345" s="703">
        <f t="shared" si="69"/>
        <v>0</v>
      </c>
      <c r="I345" s="704">
        <f t="shared" si="70"/>
        <v>0</v>
      </c>
      <c r="J345" s="704">
        <v>0</v>
      </c>
      <c r="K345" s="704">
        <v>0</v>
      </c>
      <c r="L345" s="704">
        <f t="shared" si="71"/>
        <v>0</v>
      </c>
      <c r="M345" s="704">
        <v>0</v>
      </c>
      <c r="N345" s="704">
        <v>0</v>
      </c>
    </row>
    <row r="346" spans="1:14" s="624" customFormat="1" ht="13.5" customHeight="1" hidden="1">
      <c r="A346" s="1252"/>
      <c r="B346" s="1253"/>
      <c r="C346" s="1254"/>
      <c r="D346" s="1255"/>
      <c r="E346" s="1250"/>
      <c r="F346" s="1251"/>
      <c r="G346" s="722" t="s">
        <v>22</v>
      </c>
      <c r="H346" s="703">
        <f t="shared" si="69"/>
        <v>444000</v>
      </c>
      <c r="I346" s="704">
        <f t="shared" si="70"/>
        <v>386444</v>
      </c>
      <c r="J346" s="704">
        <f>J345+J344</f>
        <v>0</v>
      </c>
      <c r="K346" s="704">
        <f>K345+K344</f>
        <v>386444</v>
      </c>
      <c r="L346" s="704">
        <f t="shared" si="71"/>
        <v>57556</v>
      </c>
      <c r="M346" s="704">
        <f>M345+M344</f>
        <v>0</v>
      </c>
      <c r="N346" s="704">
        <f>N345+N344</f>
        <v>57556</v>
      </c>
    </row>
    <row r="347" spans="1:14" s="624" customFormat="1" ht="13.5" customHeight="1" hidden="1">
      <c r="A347" s="1252"/>
      <c r="B347" s="1253"/>
      <c r="C347" s="1244" t="s">
        <v>776</v>
      </c>
      <c r="D347" s="1245"/>
      <c r="E347" s="1246" t="s">
        <v>818</v>
      </c>
      <c r="F347" s="1247"/>
      <c r="G347" s="702" t="s">
        <v>20</v>
      </c>
      <c r="H347" s="703">
        <f t="shared" si="69"/>
        <v>250000</v>
      </c>
      <c r="I347" s="704">
        <f t="shared" si="70"/>
        <v>0</v>
      </c>
      <c r="J347" s="704">
        <v>0</v>
      </c>
      <c r="K347" s="704">
        <v>0</v>
      </c>
      <c r="L347" s="704">
        <f t="shared" si="71"/>
        <v>250000</v>
      </c>
      <c r="M347" s="704">
        <v>0</v>
      </c>
      <c r="N347" s="704">
        <v>250000</v>
      </c>
    </row>
    <row r="348" spans="1:14" s="624" customFormat="1" ht="13.5" customHeight="1" hidden="1">
      <c r="A348" s="1252"/>
      <c r="B348" s="1253"/>
      <c r="C348" s="1254"/>
      <c r="D348" s="1255"/>
      <c r="E348" s="1248"/>
      <c r="F348" s="1249"/>
      <c r="G348" s="702" t="s">
        <v>21</v>
      </c>
      <c r="H348" s="703">
        <f t="shared" si="69"/>
        <v>0</v>
      </c>
      <c r="I348" s="704">
        <f t="shared" si="70"/>
        <v>0</v>
      </c>
      <c r="J348" s="704">
        <v>0</v>
      </c>
      <c r="K348" s="704">
        <v>0</v>
      </c>
      <c r="L348" s="704">
        <f t="shared" si="71"/>
        <v>0</v>
      </c>
      <c r="M348" s="704">
        <v>0</v>
      </c>
      <c r="N348" s="704">
        <v>0</v>
      </c>
    </row>
    <row r="349" spans="1:14" s="624" customFormat="1" ht="13.5" customHeight="1" hidden="1">
      <c r="A349" s="1252"/>
      <c r="B349" s="1253"/>
      <c r="C349" s="1254"/>
      <c r="D349" s="1255"/>
      <c r="E349" s="1250"/>
      <c r="F349" s="1251"/>
      <c r="G349" s="722" t="s">
        <v>22</v>
      </c>
      <c r="H349" s="703">
        <f t="shared" si="69"/>
        <v>250000</v>
      </c>
      <c r="I349" s="704">
        <f t="shared" si="70"/>
        <v>0</v>
      </c>
      <c r="J349" s="704">
        <f>J348+J347</f>
        <v>0</v>
      </c>
      <c r="K349" s="704">
        <f>K348+K347</f>
        <v>0</v>
      </c>
      <c r="L349" s="704">
        <f t="shared" si="71"/>
        <v>250000</v>
      </c>
      <c r="M349" s="704">
        <f>M348+M347</f>
        <v>0</v>
      </c>
      <c r="N349" s="704">
        <f>N348+N347</f>
        <v>250000</v>
      </c>
    </row>
    <row r="350" spans="1:14" s="727" customFormat="1" ht="13.5" customHeight="1" hidden="1">
      <c r="A350" s="1260"/>
      <c r="B350" s="1261"/>
      <c r="C350" s="1262"/>
      <c r="D350" s="1263"/>
      <c r="E350" s="1246" t="s">
        <v>819</v>
      </c>
      <c r="F350" s="1247"/>
      <c r="G350" s="702" t="s">
        <v>20</v>
      </c>
      <c r="H350" s="703">
        <f t="shared" si="69"/>
        <v>100000</v>
      </c>
      <c r="I350" s="704">
        <f t="shared" si="70"/>
        <v>0</v>
      </c>
      <c r="J350" s="704">
        <v>0</v>
      </c>
      <c r="K350" s="704">
        <v>0</v>
      </c>
      <c r="L350" s="704">
        <f t="shared" si="71"/>
        <v>100000</v>
      </c>
      <c r="M350" s="704">
        <v>0</v>
      </c>
      <c r="N350" s="704">
        <v>100000</v>
      </c>
    </row>
    <row r="351" spans="1:14" s="727" customFormat="1" ht="13.5" customHeight="1" hidden="1">
      <c r="A351" s="1260"/>
      <c r="B351" s="1261"/>
      <c r="C351" s="1262"/>
      <c r="D351" s="1263"/>
      <c r="E351" s="1248"/>
      <c r="F351" s="1249"/>
      <c r="G351" s="702" t="s">
        <v>21</v>
      </c>
      <c r="H351" s="703">
        <f t="shared" si="69"/>
        <v>0</v>
      </c>
      <c r="I351" s="704">
        <f t="shared" si="70"/>
        <v>0</v>
      </c>
      <c r="J351" s="704">
        <v>0</v>
      </c>
      <c r="K351" s="704">
        <v>0</v>
      </c>
      <c r="L351" s="704">
        <f t="shared" si="71"/>
        <v>0</v>
      </c>
      <c r="M351" s="704">
        <v>0</v>
      </c>
      <c r="N351" s="704">
        <v>0</v>
      </c>
    </row>
    <row r="352" spans="1:14" s="624" customFormat="1" ht="13.5" customHeight="1" hidden="1">
      <c r="A352" s="1256"/>
      <c r="B352" s="1257"/>
      <c r="C352" s="1258"/>
      <c r="D352" s="1259"/>
      <c r="E352" s="1250"/>
      <c r="F352" s="1251"/>
      <c r="G352" s="725" t="s">
        <v>22</v>
      </c>
      <c r="H352" s="674">
        <f t="shared" si="69"/>
        <v>100000</v>
      </c>
      <c r="I352" s="675">
        <f t="shared" si="70"/>
        <v>0</v>
      </c>
      <c r="J352" s="675">
        <f>J351+J350</f>
        <v>0</v>
      </c>
      <c r="K352" s="675">
        <f>K351+K350</f>
        <v>0</v>
      </c>
      <c r="L352" s="675">
        <f t="shared" si="71"/>
        <v>100000</v>
      </c>
      <c r="M352" s="675">
        <f>M351+M350</f>
        <v>0</v>
      </c>
      <c r="N352" s="675">
        <f>N351+N350</f>
        <v>100000</v>
      </c>
    </row>
    <row r="353" spans="1:14" s="624" customFormat="1" ht="13.5" customHeight="1" hidden="1">
      <c r="A353" s="1242" t="s">
        <v>62</v>
      </c>
      <c r="B353" s="1243"/>
      <c r="C353" s="1244" t="s">
        <v>820</v>
      </c>
      <c r="D353" s="1245"/>
      <c r="E353" s="1246" t="s">
        <v>821</v>
      </c>
      <c r="F353" s="1247"/>
      <c r="G353" s="702" t="s">
        <v>20</v>
      </c>
      <c r="H353" s="703">
        <f t="shared" si="69"/>
        <v>216000</v>
      </c>
      <c r="I353" s="704">
        <f t="shared" si="70"/>
        <v>216000</v>
      </c>
      <c r="J353" s="704">
        <v>0</v>
      </c>
      <c r="K353" s="704">
        <v>216000</v>
      </c>
      <c r="L353" s="704">
        <f t="shared" si="71"/>
        <v>0</v>
      </c>
      <c r="M353" s="704">
        <v>0</v>
      </c>
      <c r="N353" s="704">
        <v>0</v>
      </c>
    </row>
    <row r="354" spans="1:14" s="624" customFormat="1" ht="13.5" customHeight="1" hidden="1">
      <c r="A354" s="1252"/>
      <c r="B354" s="1253"/>
      <c r="C354" s="1254"/>
      <c r="D354" s="1255"/>
      <c r="E354" s="1248"/>
      <c r="F354" s="1249"/>
      <c r="G354" s="702" t="s">
        <v>21</v>
      </c>
      <c r="H354" s="703">
        <f t="shared" si="69"/>
        <v>0</v>
      </c>
      <c r="I354" s="704">
        <f t="shared" si="70"/>
        <v>0</v>
      </c>
      <c r="J354" s="704">
        <v>0</v>
      </c>
      <c r="K354" s="704">
        <v>0</v>
      </c>
      <c r="L354" s="704">
        <f t="shared" si="71"/>
        <v>0</v>
      </c>
      <c r="M354" s="704">
        <v>0</v>
      </c>
      <c r="N354" s="704">
        <v>0</v>
      </c>
    </row>
    <row r="355" spans="1:14" s="624" customFormat="1" ht="13.5" customHeight="1" hidden="1">
      <c r="A355" s="1256"/>
      <c r="B355" s="1257"/>
      <c r="C355" s="1258"/>
      <c r="D355" s="1259"/>
      <c r="E355" s="1250"/>
      <c r="F355" s="1251"/>
      <c r="G355" s="725" t="s">
        <v>22</v>
      </c>
      <c r="H355" s="674">
        <f t="shared" si="69"/>
        <v>216000</v>
      </c>
      <c r="I355" s="675">
        <f t="shared" si="70"/>
        <v>216000</v>
      </c>
      <c r="J355" s="675">
        <f>J354+J353</f>
        <v>0</v>
      </c>
      <c r="K355" s="675">
        <f>K354+K353</f>
        <v>216000</v>
      </c>
      <c r="L355" s="675">
        <f t="shared" si="71"/>
        <v>0</v>
      </c>
      <c r="M355" s="675">
        <f>M354+M353</f>
        <v>0</v>
      </c>
      <c r="N355" s="675">
        <f>N354+N353</f>
        <v>0</v>
      </c>
    </row>
    <row r="356" spans="1:14" s="624" customFormat="1" ht="13.5" customHeight="1" hidden="1">
      <c r="A356" s="1242" t="s">
        <v>235</v>
      </c>
      <c r="B356" s="1243"/>
      <c r="C356" s="1244" t="s">
        <v>243</v>
      </c>
      <c r="D356" s="1245"/>
      <c r="E356" s="1246" t="s">
        <v>822</v>
      </c>
      <c r="F356" s="1247"/>
      <c r="G356" s="705" t="s">
        <v>20</v>
      </c>
      <c r="H356" s="674">
        <f t="shared" si="69"/>
        <v>138980</v>
      </c>
      <c r="I356" s="675">
        <f t="shared" si="70"/>
        <v>0</v>
      </c>
      <c r="J356" s="675">
        <v>0</v>
      </c>
      <c r="K356" s="675">
        <v>0</v>
      </c>
      <c r="L356" s="675">
        <f t="shared" si="71"/>
        <v>138980</v>
      </c>
      <c r="M356" s="675">
        <v>0</v>
      </c>
      <c r="N356" s="675">
        <v>138980</v>
      </c>
    </row>
    <row r="357" spans="1:14" s="624" customFormat="1" ht="13.5" customHeight="1" hidden="1">
      <c r="A357" s="1252"/>
      <c r="B357" s="1253"/>
      <c r="C357" s="1254"/>
      <c r="D357" s="1255"/>
      <c r="E357" s="1248"/>
      <c r="F357" s="1249"/>
      <c r="G357" s="705" t="s">
        <v>21</v>
      </c>
      <c r="H357" s="674">
        <f t="shared" si="69"/>
        <v>0</v>
      </c>
      <c r="I357" s="675">
        <f t="shared" si="70"/>
        <v>0</v>
      </c>
      <c r="J357" s="675">
        <v>0</v>
      </c>
      <c r="K357" s="675">
        <v>0</v>
      </c>
      <c r="L357" s="675">
        <f t="shared" si="71"/>
        <v>0</v>
      </c>
      <c r="M357" s="675">
        <v>0</v>
      </c>
      <c r="N357" s="675">
        <v>0</v>
      </c>
    </row>
    <row r="358" spans="1:14" s="624" customFormat="1" ht="13.5" customHeight="1" hidden="1">
      <c r="A358" s="1252"/>
      <c r="B358" s="1253"/>
      <c r="C358" s="1254"/>
      <c r="D358" s="1255"/>
      <c r="E358" s="1250"/>
      <c r="F358" s="1251"/>
      <c r="G358" s="722" t="s">
        <v>22</v>
      </c>
      <c r="H358" s="703">
        <f t="shared" si="69"/>
        <v>138980</v>
      </c>
      <c r="I358" s="704">
        <f t="shared" si="70"/>
        <v>0</v>
      </c>
      <c r="J358" s="704">
        <f>J357+J356</f>
        <v>0</v>
      </c>
      <c r="K358" s="704">
        <f>K357+K356</f>
        <v>0</v>
      </c>
      <c r="L358" s="704">
        <f t="shared" si="71"/>
        <v>138980</v>
      </c>
      <c r="M358" s="704">
        <f>M357+M356</f>
        <v>0</v>
      </c>
      <c r="N358" s="704">
        <f>N357+N356</f>
        <v>138980</v>
      </c>
    </row>
    <row r="359" spans="1:14" s="624" customFormat="1" ht="13.5" customHeight="1">
      <c r="A359" s="1242" t="s">
        <v>58</v>
      </c>
      <c r="B359" s="1243"/>
      <c r="C359" s="1244" t="s">
        <v>260</v>
      </c>
      <c r="D359" s="1245"/>
      <c r="E359" s="1246" t="s">
        <v>786</v>
      </c>
      <c r="F359" s="1247"/>
      <c r="G359" s="702" t="s">
        <v>20</v>
      </c>
      <c r="H359" s="703">
        <f t="shared" si="69"/>
        <v>0</v>
      </c>
      <c r="I359" s="704">
        <f t="shared" si="70"/>
        <v>0</v>
      </c>
      <c r="J359" s="704">
        <v>0</v>
      </c>
      <c r="K359" s="704">
        <v>0</v>
      </c>
      <c r="L359" s="704">
        <f t="shared" si="71"/>
        <v>0</v>
      </c>
      <c r="M359" s="704">
        <v>0</v>
      </c>
      <c r="N359" s="704">
        <v>0</v>
      </c>
    </row>
    <row r="360" spans="1:14" s="624" customFormat="1" ht="13.5" customHeight="1">
      <c r="A360" s="1252"/>
      <c r="B360" s="1253"/>
      <c r="C360" s="1254"/>
      <c r="D360" s="1255"/>
      <c r="E360" s="1248"/>
      <c r="F360" s="1249"/>
      <c r="G360" s="702" t="s">
        <v>21</v>
      </c>
      <c r="H360" s="703">
        <f t="shared" si="69"/>
        <v>102631</v>
      </c>
      <c r="I360" s="704">
        <f t="shared" si="70"/>
        <v>102631</v>
      </c>
      <c r="J360" s="704">
        <v>102631</v>
      </c>
      <c r="K360" s="704">
        <v>0</v>
      </c>
      <c r="L360" s="704">
        <f t="shared" si="71"/>
        <v>0</v>
      </c>
      <c r="M360" s="704">
        <v>0</v>
      </c>
      <c r="N360" s="704">
        <v>0</v>
      </c>
    </row>
    <row r="361" spans="1:14" s="624" customFormat="1" ht="13.5" customHeight="1">
      <c r="A361" s="1256"/>
      <c r="B361" s="1257"/>
      <c r="C361" s="1258"/>
      <c r="D361" s="1259"/>
      <c r="E361" s="1250"/>
      <c r="F361" s="1251"/>
      <c r="G361" s="725" t="s">
        <v>22</v>
      </c>
      <c r="H361" s="674">
        <f t="shared" si="69"/>
        <v>102631</v>
      </c>
      <c r="I361" s="675">
        <f t="shared" si="70"/>
        <v>102631</v>
      </c>
      <c r="J361" s="675">
        <f>J360+J359</f>
        <v>102631</v>
      </c>
      <c r="K361" s="675">
        <f>K360+K359</f>
        <v>0</v>
      </c>
      <c r="L361" s="675">
        <f t="shared" si="71"/>
        <v>0</v>
      </c>
      <c r="M361" s="675">
        <f>M360+M359</f>
        <v>0</v>
      </c>
      <c r="N361" s="675">
        <f>N360+N359</f>
        <v>0</v>
      </c>
    </row>
    <row r="362" spans="1:14" s="727" customFormat="1" ht="13.5" customHeight="1" hidden="1">
      <c r="A362" s="1264" t="s">
        <v>147</v>
      </c>
      <c r="B362" s="1265"/>
      <c r="C362" s="1266" t="s">
        <v>148</v>
      </c>
      <c r="D362" s="1267"/>
      <c r="E362" s="1246" t="s">
        <v>823</v>
      </c>
      <c r="F362" s="1247"/>
      <c r="G362" s="705" t="s">
        <v>20</v>
      </c>
      <c r="H362" s="674">
        <f t="shared" si="69"/>
        <v>1229187</v>
      </c>
      <c r="I362" s="675">
        <f t="shared" si="70"/>
        <v>1229187</v>
      </c>
      <c r="J362" s="675">
        <v>1229187</v>
      </c>
      <c r="K362" s="675">
        <v>0</v>
      </c>
      <c r="L362" s="675">
        <f t="shared" si="71"/>
        <v>0</v>
      </c>
      <c r="M362" s="675">
        <v>0</v>
      </c>
      <c r="N362" s="675">
        <v>0</v>
      </c>
    </row>
    <row r="363" spans="1:14" s="727" customFormat="1" ht="13.5" customHeight="1" hidden="1">
      <c r="A363" s="1260"/>
      <c r="B363" s="1261"/>
      <c r="C363" s="1262"/>
      <c r="D363" s="1263"/>
      <c r="E363" s="1248"/>
      <c r="F363" s="1249"/>
      <c r="G363" s="705" t="s">
        <v>21</v>
      </c>
      <c r="H363" s="674">
        <f t="shared" si="69"/>
        <v>0</v>
      </c>
      <c r="I363" s="675">
        <f t="shared" si="70"/>
        <v>0</v>
      </c>
      <c r="J363" s="675">
        <v>0</v>
      </c>
      <c r="K363" s="675">
        <v>0</v>
      </c>
      <c r="L363" s="675">
        <f t="shared" si="71"/>
        <v>0</v>
      </c>
      <c r="M363" s="675">
        <v>0</v>
      </c>
      <c r="N363" s="675">
        <v>0</v>
      </c>
    </row>
    <row r="364" spans="1:14" s="624" customFormat="1" ht="13.5" customHeight="1" hidden="1">
      <c r="A364" s="1252"/>
      <c r="B364" s="1253"/>
      <c r="C364" s="1254"/>
      <c r="D364" s="1255"/>
      <c r="E364" s="1250"/>
      <c r="F364" s="1251"/>
      <c r="G364" s="722" t="s">
        <v>22</v>
      </c>
      <c r="H364" s="703">
        <f t="shared" si="69"/>
        <v>1229187</v>
      </c>
      <c r="I364" s="704">
        <f t="shared" si="70"/>
        <v>1229187</v>
      </c>
      <c r="J364" s="704">
        <f>J363+J362</f>
        <v>1229187</v>
      </c>
      <c r="K364" s="704">
        <f>K363+K362</f>
        <v>0</v>
      </c>
      <c r="L364" s="704">
        <f t="shared" si="71"/>
        <v>0</v>
      </c>
      <c r="M364" s="704">
        <f>M363+M362</f>
        <v>0</v>
      </c>
      <c r="N364" s="704">
        <f>N363+N362</f>
        <v>0</v>
      </c>
    </row>
    <row r="365" spans="1:14" s="727" customFormat="1" ht="13.5" customHeight="1" hidden="1">
      <c r="A365" s="1260"/>
      <c r="B365" s="1261"/>
      <c r="C365" s="1262"/>
      <c r="D365" s="1263"/>
      <c r="E365" s="1268" t="s">
        <v>824</v>
      </c>
      <c r="F365" s="1247"/>
      <c r="G365" s="705" t="s">
        <v>20</v>
      </c>
      <c r="H365" s="674">
        <f t="shared" si="69"/>
        <v>1005427</v>
      </c>
      <c r="I365" s="675">
        <f t="shared" si="70"/>
        <v>1005427</v>
      </c>
      <c r="J365" s="675">
        <v>1005427</v>
      </c>
      <c r="K365" s="675">
        <v>0</v>
      </c>
      <c r="L365" s="675">
        <f t="shared" si="71"/>
        <v>0</v>
      </c>
      <c r="M365" s="675">
        <v>0</v>
      </c>
      <c r="N365" s="675">
        <v>0</v>
      </c>
    </row>
    <row r="366" spans="1:14" s="727" customFormat="1" ht="13.5" customHeight="1" hidden="1">
      <c r="A366" s="1260"/>
      <c r="B366" s="1261"/>
      <c r="C366" s="1262"/>
      <c r="D366" s="1263"/>
      <c r="E366" s="1248"/>
      <c r="F366" s="1249"/>
      <c r="G366" s="705" t="s">
        <v>21</v>
      </c>
      <c r="H366" s="674">
        <f t="shared" si="69"/>
        <v>0</v>
      </c>
      <c r="I366" s="675">
        <f t="shared" si="70"/>
        <v>0</v>
      </c>
      <c r="J366" s="675">
        <v>0</v>
      </c>
      <c r="K366" s="675">
        <v>0</v>
      </c>
      <c r="L366" s="675">
        <f t="shared" si="71"/>
        <v>0</v>
      </c>
      <c r="M366" s="675">
        <v>0</v>
      </c>
      <c r="N366" s="675">
        <v>0</v>
      </c>
    </row>
    <row r="367" spans="1:14" s="624" customFormat="1" ht="13.5" customHeight="1" hidden="1">
      <c r="A367" s="1252"/>
      <c r="B367" s="1253"/>
      <c r="C367" s="1254"/>
      <c r="D367" s="1255"/>
      <c r="E367" s="1250"/>
      <c r="F367" s="1251"/>
      <c r="G367" s="722" t="s">
        <v>22</v>
      </c>
      <c r="H367" s="703">
        <f t="shared" si="69"/>
        <v>1005427</v>
      </c>
      <c r="I367" s="704">
        <f t="shared" si="70"/>
        <v>1005427</v>
      </c>
      <c r="J367" s="704">
        <f>J366+J365</f>
        <v>1005427</v>
      </c>
      <c r="K367" s="704">
        <f>K366+K365</f>
        <v>0</v>
      </c>
      <c r="L367" s="704">
        <f t="shared" si="71"/>
        <v>0</v>
      </c>
      <c r="M367" s="704">
        <f>M366+M365</f>
        <v>0</v>
      </c>
      <c r="N367" s="704">
        <f>N366+N365</f>
        <v>0</v>
      </c>
    </row>
    <row r="368" spans="1:14" s="727" customFormat="1" ht="18" customHeight="1">
      <c r="A368" s="1264" t="s">
        <v>147</v>
      </c>
      <c r="B368" s="1265"/>
      <c r="C368" s="1266" t="s">
        <v>148</v>
      </c>
      <c r="D368" s="1267"/>
      <c r="E368" s="1268" t="s">
        <v>825</v>
      </c>
      <c r="F368" s="1247"/>
      <c r="G368" s="705" t="s">
        <v>20</v>
      </c>
      <c r="H368" s="674">
        <f>I368+L368</f>
        <v>0</v>
      </c>
      <c r="I368" s="675">
        <f>J368+K368</f>
        <v>0</v>
      </c>
      <c r="J368" s="675">
        <v>0</v>
      </c>
      <c r="K368" s="675">
        <v>0</v>
      </c>
      <c r="L368" s="675">
        <f>M368+N368</f>
        <v>0</v>
      </c>
      <c r="M368" s="675">
        <v>0</v>
      </c>
      <c r="N368" s="675">
        <v>0</v>
      </c>
    </row>
    <row r="369" spans="1:14" s="727" customFormat="1" ht="18" customHeight="1">
      <c r="A369" s="1260"/>
      <c r="B369" s="1261"/>
      <c r="C369" s="1262"/>
      <c r="D369" s="1263"/>
      <c r="E369" s="1248"/>
      <c r="F369" s="1249"/>
      <c r="G369" s="705" t="s">
        <v>21</v>
      </c>
      <c r="H369" s="674">
        <f>I369+L369</f>
        <v>248520</v>
      </c>
      <c r="I369" s="675">
        <f>J369+K369</f>
        <v>248520</v>
      </c>
      <c r="J369" s="675">
        <v>248520</v>
      </c>
      <c r="K369" s="675">
        <v>0</v>
      </c>
      <c r="L369" s="675">
        <f>M369+N369</f>
        <v>0</v>
      </c>
      <c r="M369" s="675">
        <v>0</v>
      </c>
      <c r="N369" s="675">
        <v>0</v>
      </c>
    </row>
    <row r="370" spans="1:14" s="624" customFormat="1" ht="18" customHeight="1">
      <c r="A370" s="1252"/>
      <c r="B370" s="1253"/>
      <c r="C370" s="1254"/>
      <c r="D370" s="1255"/>
      <c r="E370" s="1250"/>
      <c r="F370" s="1251"/>
      <c r="G370" s="722" t="s">
        <v>22</v>
      </c>
      <c r="H370" s="703">
        <f>I370+L370</f>
        <v>248520</v>
      </c>
      <c r="I370" s="704">
        <f>J370+K370</f>
        <v>248520</v>
      </c>
      <c r="J370" s="704">
        <f>J369+J368</f>
        <v>248520</v>
      </c>
      <c r="K370" s="704">
        <f>K369+K368</f>
        <v>0</v>
      </c>
      <c r="L370" s="704">
        <f>M370+N370</f>
        <v>0</v>
      </c>
      <c r="M370" s="704">
        <f>M369+M368</f>
        <v>0</v>
      </c>
      <c r="N370" s="704">
        <f>N369+N368</f>
        <v>0</v>
      </c>
    </row>
    <row r="371" spans="1:14" s="727" customFormat="1" ht="13.5" customHeight="1" hidden="1">
      <c r="A371" s="1260"/>
      <c r="B371" s="1261"/>
      <c r="C371" s="1266" t="s">
        <v>154</v>
      </c>
      <c r="D371" s="1267"/>
      <c r="E371" s="1246" t="s">
        <v>826</v>
      </c>
      <c r="F371" s="1247"/>
      <c r="G371" s="705" t="s">
        <v>20</v>
      </c>
      <c r="H371" s="674">
        <f t="shared" si="69"/>
        <v>800000</v>
      </c>
      <c r="I371" s="675">
        <f t="shared" si="70"/>
        <v>800000</v>
      </c>
      <c r="J371" s="675">
        <v>800000</v>
      </c>
      <c r="K371" s="675">
        <v>0</v>
      </c>
      <c r="L371" s="675">
        <f t="shared" si="71"/>
        <v>0</v>
      </c>
      <c r="M371" s="675">
        <v>0</v>
      </c>
      <c r="N371" s="675">
        <v>0</v>
      </c>
    </row>
    <row r="372" spans="1:14" s="727" customFormat="1" ht="13.5" customHeight="1" hidden="1">
      <c r="A372" s="1260"/>
      <c r="B372" s="1261"/>
      <c r="C372" s="1262"/>
      <c r="D372" s="1263"/>
      <c r="E372" s="1248"/>
      <c r="F372" s="1249"/>
      <c r="G372" s="705" t="s">
        <v>21</v>
      </c>
      <c r="H372" s="674">
        <f t="shared" si="69"/>
        <v>0</v>
      </c>
      <c r="I372" s="675">
        <f t="shared" si="70"/>
        <v>0</v>
      </c>
      <c r="J372" s="675">
        <v>0</v>
      </c>
      <c r="K372" s="675">
        <v>0</v>
      </c>
      <c r="L372" s="675">
        <f t="shared" si="71"/>
        <v>0</v>
      </c>
      <c r="M372" s="675">
        <v>0</v>
      </c>
      <c r="N372" s="675">
        <v>0</v>
      </c>
    </row>
    <row r="373" spans="1:14" s="624" customFormat="1" ht="13.5" customHeight="1" hidden="1">
      <c r="A373" s="1252"/>
      <c r="B373" s="1253"/>
      <c r="C373" s="1254"/>
      <c r="D373" s="1255"/>
      <c r="E373" s="1250"/>
      <c r="F373" s="1251"/>
      <c r="G373" s="722" t="s">
        <v>22</v>
      </c>
      <c r="H373" s="703">
        <f t="shared" si="69"/>
        <v>800000</v>
      </c>
      <c r="I373" s="704">
        <f t="shared" si="70"/>
        <v>800000</v>
      </c>
      <c r="J373" s="704">
        <f>J372+J371</f>
        <v>800000</v>
      </c>
      <c r="K373" s="704">
        <f>K372+K371</f>
        <v>0</v>
      </c>
      <c r="L373" s="704">
        <f t="shared" si="71"/>
        <v>0</v>
      </c>
      <c r="M373" s="704">
        <f>M372+M371</f>
        <v>0</v>
      </c>
      <c r="N373" s="704">
        <f>N372+N371</f>
        <v>0</v>
      </c>
    </row>
    <row r="374" spans="1:14" s="727" customFormat="1" ht="13.5" customHeight="1" hidden="1">
      <c r="A374" s="1260"/>
      <c r="B374" s="1261"/>
      <c r="C374" s="1266" t="s">
        <v>157</v>
      </c>
      <c r="D374" s="1267"/>
      <c r="E374" s="1246" t="s">
        <v>827</v>
      </c>
      <c r="F374" s="1247"/>
      <c r="G374" s="705" t="s">
        <v>20</v>
      </c>
      <c r="H374" s="674">
        <f t="shared" si="69"/>
        <v>500000</v>
      </c>
      <c r="I374" s="675">
        <f t="shared" si="70"/>
        <v>500000</v>
      </c>
      <c r="J374" s="675">
        <v>500000</v>
      </c>
      <c r="K374" s="675">
        <v>0</v>
      </c>
      <c r="L374" s="675">
        <f t="shared" si="71"/>
        <v>0</v>
      </c>
      <c r="M374" s="675">
        <v>0</v>
      </c>
      <c r="N374" s="675">
        <v>0</v>
      </c>
    </row>
    <row r="375" spans="1:14" s="727" customFormat="1" ht="13.5" customHeight="1" hidden="1">
      <c r="A375" s="1260"/>
      <c r="B375" s="1261"/>
      <c r="C375" s="1262"/>
      <c r="D375" s="1263"/>
      <c r="E375" s="1248"/>
      <c r="F375" s="1249"/>
      <c r="G375" s="705" t="s">
        <v>21</v>
      </c>
      <c r="H375" s="674">
        <f t="shared" si="69"/>
        <v>0</v>
      </c>
      <c r="I375" s="675">
        <f t="shared" si="70"/>
        <v>0</v>
      </c>
      <c r="J375" s="675">
        <v>0</v>
      </c>
      <c r="K375" s="675">
        <v>0</v>
      </c>
      <c r="L375" s="675">
        <f t="shared" si="71"/>
        <v>0</v>
      </c>
      <c r="M375" s="675">
        <v>0</v>
      </c>
      <c r="N375" s="675">
        <v>0</v>
      </c>
    </row>
    <row r="376" spans="1:14" s="624" customFormat="1" ht="13.5" customHeight="1" hidden="1">
      <c r="A376" s="1252"/>
      <c r="B376" s="1253"/>
      <c r="C376" s="1254"/>
      <c r="D376" s="1255"/>
      <c r="E376" s="1250"/>
      <c r="F376" s="1251"/>
      <c r="G376" s="722" t="s">
        <v>22</v>
      </c>
      <c r="H376" s="703">
        <f t="shared" si="69"/>
        <v>500000</v>
      </c>
      <c r="I376" s="704">
        <f t="shared" si="70"/>
        <v>500000</v>
      </c>
      <c r="J376" s="704">
        <f>J375+J374</f>
        <v>500000</v>
      </c>
      <c r="K376" s="704">
        <f>K375+K374</f>
        <v>0</v>
      </c>
      <c r="L376" s="704">
        <f t="shared" si="71"/>
        <v>0</v>
      </c>
      <c r="M376" s="704">
        <f>M375+M374</f>
        <v>0</v>
      </c>
      <c r="N376" s="704">
        <f>N375+N374</f>
        <v>0</v>
      </c>
    </row>
    <row r="377" spans="1:14" s="727" customFormat="1" ht="13.5" customHeight="1">
      <c r="A377" s="1260"/>
      <c r="B377" s="1261"/>
      <c r="C377" s="1266" t="s">
        <v>157</v>
      </c>
      <c r="D377" s="1267"/>
      <c r="E377" s="1246" t="s">
        <v>828</v>
      </c>
      <c r="F377" s="1247"/>
      <c r="G377" s="705" t="s">
        <v>20</v>
      </c>
      <c r="H377" s="674">
        <f>I377+L377</f>
        <v>0</v>
      </c>
      <c r="I377" s="675">
        <f>J377+K377</f>
        <v>0</v>
      </c>
      <c r="J377" s="675">
        <v>0</v>
      </c>
      <c r="K377" s="675">
        <v>0</v>
      </c>
      <c r="L377" s="675">
        <f>M377+N377</f>
        <v>0</v>
      </c>
      <c r="M377" s="675">
        <v>0</v>
      </c>
      <c r="N377" s="675">
        <v>0</v>
      </c>
    </row>
    <row r="378" spans="1:14" s="727" customFormat="1" ht="13.5" customHeight="1">
      <c r="A378" s="1260"/>
      <c r="B378" s="1261"/>
      <c r="C378" s="1262"/>
      <c r="D378" s="1263"/>
      <c r="E378" s="1248"/>
      <c r="F378" s="1249"/>
      <c r="G378" s="705" t="s">
        <v>21</v>
      </c>
      <c r="H378" s="674">
        <f>I378+L378</f>
        <v>164610</v>
      </c>
      <c r="I378" s="675">
        <f>J378+K378</f>
        <v>164610</v>
      </c>
      <c r="J378" s="675">
        <v>164610</v>
      </c>
      <c r="K378" s="675">
        <v>0</v>
      </c>
      <c r="L378" s="675">
        <f>M378+N378</f>
        <v>0</v>
      </c>
      <c r="M378" s="675">
        <v>0</v>
      </c>
      <c r="N378" s="675">
        <v>0</v>
      </c>
    </row>
    <row r="379" spans="1:14" s="624" customFormat="1" ht="13.5" customHeight="1">
      <c r="A379" s="1252"/>
      <c r="B379" s="1253"/>
      <c r="C379" s="1254"/>
      <c r="D379" s="1255"/>
      <c r="E379" s="1250"/>
      <c r="F379" s="1251"/>
      <c r="G379" s="722" t="s">
        <v>22</v>
      </c>
      <c r="H379" s="703">
        <f>I379+L379</f>
        <v>164610</v>
      </c>
      <c r="I379" s="704">
        <f>J379+K379</f>
        <v>164610</v>
      </c>
      <c r="J379" s="704">
        <f>J378+J377</f>
        <v>164610</v>
      </c>
      <c r="K379" s="704">
        <f>K378+K377</f>
        <v>0</v>
      </c>
      <c r="L379" s="704">
        <f>M379+N379</f>
        <v>0</v>
      </c>
      <c r="M379" s="704">
        <f>M378+M377</f>
        <v>0</v>
      </c>
      <c r="N379" s="704">
        <f>N378+N377</f>
        <v>0</v>
      </c>
    </row>
    <row r="380" spans="1:14" s="727" customFormat="1" ht="13.5" customHeight="1" hidden="1">
      <c r="A380" s="1260"/>
      <c r="B380" s="1261"/>
      <c r="C380" s="1262"/>
      <c r="D380" s="1263"/>
      <c r="E380" s="1246" t="s">
        <v>795</v>
      </c>
      <c r="F380" s="1247"/>
      <c r="G380" s="705" t="s">
        <v>20</v>
      </c>
      <c r="H380" s="674">
        <f t="shared" si="69"/>
        <v>153468</v>
      </c>
      <c r="I380" s="675">
        <f t="shared" si="70"/>
        <v>153468</v>
      </c>
      <c r="J380" s="675">
        <v>0</v>
      </c>
      <c r="K380" s="675">
        <v>153468</v>
      </c>
      <c r="L380" s="675">
        <f t="shared" si="71"/>
        <v>0</v>
      </c>
      <c r="M380" s="675">
        <v>0</v>
      </c>
      <c r="N380" s="675">
        <v>0</v>
      </c>
    </row>
    <row r="381" spans="1:14" s="727" customFormat="1" ht="13.5" customHeight="1" hidden="1">
      <c r="A381" s="1260"/>
      <c r="B381" s="1261"/>
      <c r="C381" s="1262"/>
      <c r="D381" s="1263"/>
      <c r="E381" s="1248"/>
      <c r="F381" s="1249"/>
      <c r="G381" s="705" t="s">
        <v>21</v>
      </c>
      <c r="H381" s="674">
        <f t="shared" si="69"/>
        <v>0</v>
      </c>
      <c r="I381" s="675">
        <f t="shared" si="70"/>
        <v>0</v>
      </c>
      <c r="J381" s="675">
        <v>0</v>
      </c>
      <c r="K381" s="675">
        <v>0</v>
      </c>
      <c r="L381" s="675">
        <f t="shared" si="71"/>
        <v>0</v>
      </c>
      <c r="M381" s="675">
        <v>0</v>
      </c>
      <c r="N381" s="675">
        <v>0</v>
      </c>
    </row>
    <row r="382" spans="1:14" s="624" customFormat="1" ht="13.5" customHeight="1" hidden="1">
      <c r="A382" s="1252"/>
      <c r="B382" s="1253"/>
      <c r="C382" s="1254"/>
      <c r="D382" s="1255"/>
      <c r="E382" s="1250"/>
      <c r="F382" s="1251"/>
      <c r="G382" s="722" t="s">
        <v>22</v>
      </c>
      <c r="H382" s="703">
        <f t="shared" si="69"/>
        <v>153468</v>
      </c>
      <c r="I382" s="704">
        <f t="shared" si="70"/>
        <v>153468</v>
      </c>
      <c r="J382" s="704">
        <f>J381+J380</f>
        <v>0</v>
      </c>
      <c r="K382" s="704">
        <f>K381+K380</f>
        <v>153468</v>
      </c>
      <c r="L382" s="704">
        <f t="shared" si="71"/>
        <v>0</v>
      </c>
      <c r="M382" s="704">
        <f>M381+M380</f>
        <v>0</v>
      </c>
      <c r="N382" s="704">
        <f>N381+N380</f>
        <v>0</v>
      </c>
    </row>
    <row r="383" spans="1:14" s="727" customFormat="1" ht="13.5" customHeight="1">
      <c r="A383" s="1260"/>
      <c r="B383" s="1261"/>
      <c r="C383" s="1262"/>
      <c r="D383" s="1263"/>
      <c r="E383" s="1246" t="s">
        <v>829</v>
      </c>
      <c r="F383" s="1247"/>
      <c r="G383" s="705" t="s">
        <v>20</v>
      </c>
      <c r="H383" s="674">
        <f>I383+L383</f>
        <v>0</v>
      </c>
      <c r="I383" s="675">
        <f>J383+K383</f>
        <v>0</v>
      </c>
      <c r="J383" s="675">
        <v>0</v>
      </c>
      <c r="K383" s="675">
        <v>0</v>
      </c>
      <c r="L383" s="675">
        <f>M383+N383</f>
        <v>0</v>
      </c>
      <c r="M383" s="675">
        <v>0</v>
      </c>
      <c r="N383" s="675">
        <v>0</v>
      </c>
    </row>
    <row r="384" spans="1:14" s="727" customFormat="1" ht="13.5" customHeight="1">
      <c r="A384" s="1260"/>
      <c r="B384" s="1261"/>
      <c r="C384" s="1262"/>
      <c r="D384" s="1263"/>
      <c r="E384" s="1248"/>
      <c r="F384" s="1249"/>
      <c r="G384" s="705" t="s">
        <v>21</v>
      </c>
      <c r="H384" s="674">
        <f>I384+L384</f>
        <v>60000</v>
      </c>
      <c r="I384" s="675">
        <f>J384+K384</f>
        <v>60000</v>
      </c>
      <c r="J384" s="675">
        <v>60000</v>
      </c>
      <c r="K384" s="675">
        <v>0</v>
      </c>
      <c r="L384" s="675">
        <f>M384+N384</f>
        <v>0</v>
      </c>
      <c r="M384" s="675">
        <v>0</v>
      </c>
      <c r="N384" s="675">
        <v>0</v>
      </c>
    </row>
    <row r="385" spans="1:14" s="624" customFormat="1" ht="13.5" customHeight="1">
      <c r="A385" s="1252"/>
      <c r="B385" s="1253"/>
      <c r="C385" s="1254"/>
      <c r="D385" s="1255"/>
      <c r="E385" s="1250"/>
      <c r="F385" s="1251"/>
      <c r="G385" s="722" t="s">
        <v>22</v>
      </c>
      <c r="H385" s="703">
        <f>I385+L385</f>
        <v>60000</v>
      </c>
      <c r="I385" s="704">
        <f>J385+K385</f>
        <v>60000</v>
      </c>
      <c r="J385" s="704">
        <f>J384+J383</f>
        <v>60000</v>
      </c>
      <c r="K385" s="704">
        <f>K384+K383</f>
        <v>0</v>
      </c>
      <c r="L385" s="704">
        <f>M385+N385</f>
        <v>0</v>
      </c>
      <c r="M385" s="704">
        <f>M384+M383</f>
        <v>0</v>
      </c>
      <c r="N385" s="704">
        <f>N384+N383</f>
        <v>0</v>
      </c>
    </row>
    <row r="386" spans="1:14" s="624" customFormat="1" ht="13.5" customHeight="1" hidden="1">
      <c r="A386" s="1252"/>
      <c r="B386" s="1253"/>
      <c r="C386" s="1244" t="s">
        <v>160</v>
      </c>
      <c r="D386" s="1245"/>
      <c r="E386" s="1268" t="s">
        <v>830</v>
      </c>
      <c r="F386" s="1247"/>
      <c r="G386" s="705" t="s">
        <v>20</v>
      </c>
      <c r="H386" s="674">
        <f t="shared" si="69"/>
        <v>74000</v>
      </c>
      <c r="I386" s="675">
        <f t="shared" si="70"/>
        <v>74000</v>
      </c>
      <c r="J386" s="675">
        <v>0</v>
      </c>
      <c r="K386" s="675">
        <v>74000</v>
      </c>
      <c r="L386" s="675">
        <f t="shared" si="71"/>
        <v>0</v>
      </c>
      <c r="M386" s="675">
        <v>0</v>
      </c>
      <c r="N386" s="675">
        <v>0</v>
      </c>
    </row>
    <row r="387" spans="1:14" s="624" customFormat="1" ht="13.5" customHeight="1" hidden="1">
      <c r="A387" s="1252"/>
      <c r="B387" s="1253"/>
      <c r="C387" s="1254"/>
      <c r="D387" s="1255"/>
      <c r="E387" s="1248"/>
      <c r="F387" s="1249"/>
      <c r="G387" s="705" t="s">
        <v>21</v>
      </c>
      <c r="H387" s="674">
        <f t="shared" si="69"/>
        <v>0</v>
      </c>
      <c r="I387" s="675">
        <f t="shared" si="70"/>
        <v>0</v>
      </c>
      <c r="J387" s="675">
        <v>0</v>
      </c>
      <c r="K387" s="675">
        <v>0</v>
      </c>
      <c r="L387" s="675">
        <f t="shared" si="71"/>
        <v>0</v>
      </c>
      <c r="M387" s="675">
        <v>0</v>
      </c>
      <c r="N387" s="675">
        <v>0</v>
      </c>
    </row>
    <row r="388" spans="1:14" s="624" customFormat="1" ht="13.5" customHeight="1" hidden="1">
      <c r="A388" s="1252"/>
      <c r="B388" s="1253"/>
      <c r="C388" s="1254"/>
      <c r="D388" s="1255"/>
      <c r="E388" s="1250"/>
      <c r="F388" s="1251"/>
      <c r="G388" s="722" t="s">
        <v>22</v>
      </c>
      <c r="H388" s="703">
        <f t="shared" si="69"/>
        <v>74000</v>
      </c>
      <c r="I388" s="704">
        <f t="shared" si="70"/>
        <v>74000</v>
      </c>
      <c r="J388" s="704">
        <f>J387+J386</f>
        <v>0</v>
      </c>
      <c r="K388" s="704">
        <f>K387+K386</f>
        <v>74000</v>
      </c>
      <c r="L388" s="704">
        <f t="shared" si="71"/>
        <v>0</v>
      </c>
      <c r="M388" s="704">
        <f>M387+M386</f>
        <v>0</v>
      </c>
      <c r="N388" s="704">
        <f>N387+N386</f>
        <v>0</v>
      </c>
    </row>
    <row r="389" spans="1:14" s="727" customFormat="1" ht="13.5" customHeight="1" hidden="1">
      <c r="A389" s="1260"/>
      <c r="B389" s="1261"/>
      <c r="C389" s="1262"/>
      <c r="D389" s="1263"/>
      <c r="E389" s="1268" t="s">
        <v>831</v>
      </c>
      <c r="F389" s="1247"/>
      <c r="G389" s="705" t="s">
        <v>20</v>
      </c>
      <c r="H389" s="674">
        <f t="shared" si="69"/>
        <v>803016</v>
      </c>
      <c r="I389" s="675">
        <f t="shared" si="70"/>
        <v>803016</v>
      </c>
      <c r="J389" s="675">
        <v>803016</v>
      </c>
      <c r="K389" s="675">
        <v>0</v>
      </c>
      <c r="L389" s="675">
        <f t="shared" si="71"/>
        <v>0</v>
      </c>
      <c r="M389" s="675">
        <v>0</v>
      </c>
      <c r="N389" s="675">
        <v>0</v>
      </c>
    </row>
    <row r="390" spans="1:14" s="727" customFormat="1" ht="13.5" customHeight="1" hidden="1">
      <c r="A390" s="1260"/>
      <c r="B390" s="1261"/>
      <c r="C390" s="1262"/>
      <c r="D390" s="1263"/>
      <c r="E390" s="1248"/>
      <c r="F390" s="1249"/>
      <c r="G390" s="705" t="s">
        <v>21</v>
      </c>
      <c r="H390" s="674">
        <f t="shared" si="69"/>
        <v>0</v>
      </c>
      <c r="I390" s="675">
        <f t="shared" si="70"/>
        <v>0</v>
      </c>
      <c r="J390" s="675">
        <v>0</v>
      </c>
      <c r="K390" s="675">
        <v>0</v>
      </c>
      <c r="L390" s="675">
        <f t="shared" si="71"/>
        <v>0</v>
      </c>
      <c r="M390" s="675">
        <v>0</v>
      </c>
      <c r="N390" s="675">
        <v>0</v>
      </c>
    </row>
    <row r="391" spans="1:14" s="624" customFormat="1" ht="13.5" customHeight="1" hidden="1">
      <c r="A391" s="1252"/>
      <c r="B391" s="1253"/>
      <c r="C391" s="1254"/>
      <c r="D391" s="1255"/>
      <c r="E391" s="1250"/>
      <c r="F391" s="1251"/>
      <c r="G391" s="722" t="s">
        <v>22</v>
      </c>
      <c r="H391" s="703">
        <f t="shared" si="69"/>
        <v>803016</v>
      </c>
      <c r="I391" s="704">
        <f t="shared" si="70"/>
        <v>803016</v>
      </c>
      <c r="J391" s="704">
        <f>J390+J389</f>
        <v>803016</v>
      </c>
      <c r="K391" s="704">
        <f>K390+K389</f>
        <v>0</v>
      </c>
      <c r="L391" s="704">
        <f t="shared" si="71"/>
        <v>0</v>
      </c>
      <c r="M391" s="704">
        <f>M390+M389</f>
        <v>0</v>
      </c>
      <c r="N391" s="704">
        <f>N390+N389</f>
        <v>0</v>
      </c>
    </row>
    <row r="392" spans="1:14" s="624" customFormat="1" ht="13.5" customHeight="1" hidden="1">
      <c r="A392" s="1252"/>
      <c r="B392" s="1253"/>
      <c r="C392" s="1244" t="s">
        <v>778</v>
      </c>
      <c r="D392" s="1245"/>
      <c r="E392" s="1268" t="s">
        <v>832</v>
      </c>
      <c r="F392" s="1247"/>
      <c r="G392" s="705" t="s">
        <v>20</v>
      </c>
      <c r="H392" s="674">
        <f t="shared" si="69"/>
        <v>1145000</v>
      </c>
      <c r="I392" s="675">
        <f t="shared" si="70"/>
        <v>337000</v>
      </c>
      <c r="J392" s="675">
        <v>0</v>
      </c>
      <c r="K392" s="675">
        <v>337000</v>
      </c>
      <c r="L392" s="675">
        <f t="shared" si="71"/>
        <v>808000</v>
      </c>
      <c r="M392" s="675">
        <v>0</v>
      </c>
      <c r="N392" s="675">
        <v>808000</v>
      </c>
    </row>
    <row r="393" spans="1:14" s="624" customFormat="1" ht="13.5" customHeight="1" hidden="1">
      <c r="A393" s="1252"/>
      <c r="B393" s="1253"/>
      <c r="C393" s="1254"/>
      <c r="D393" s="1255"/>
      <c r="E393" s="1248"/>
      <c r="F393" s="1249"/>
      <c r="G393" s="705" t="s">
        <v>21</v>
      </c>
      <c r="H393" s="674">
        <f t="shared" si="69"/>
        <v>0</v>
      </c>
      <c r="I393" s="675">
        <f t="shared" si="70"/>
        <v>0</v>
      </c>
      <c r="J393" s="675">
        <v>0</v>
      </c>
      <c r="K393" s="675">
        <v>0</v>
      </c>
      <c r="L393" s="675">
        <f t="shared" si="71"/>
        <v>0</v>
      </c>
      <c r="M393" s="675">
        <v>0</v>
      </c>
      <c r="N393" s="675">
        <v>0</v>
      </c>
    </row>
    <row r="394" spans="1:14" s="624" customFormat="1" ht="13.5" customHeight="1" hidden="1">
      <c r="A394" s="1252"/>
      <c r="B394" s="1253"/>
      <c r="C394" s="1254"/>
      <c r="D394" s="1255"/>
      <c r="E394" s="1250"/>
      <c r="F394" s="1251"/>
      <c r="G394" s="722" t="s">
        <v>22</v>
      </c>
      <c r="H394" s="703">
        <f t="shared" si="69"/>
        <v>1145000</v>
      </c>
      <c r="I394" s="704">
        <f t="shared" si="70"/>
        <v>337000</v>
      </c>
      <c r="J394" s="704">
        <f>J393+J392</f>
        <v>0</v>
      </c>
      <c r="K394" s="704">
        <f>K393+K392</f>
        <v>337000</v>
      </c>
      <c r="L394" s="704">
        <f t="shared" si="71"/>
        <v>808000</v>
      </c>
      <c r="M394" s="704">
        <f>M393+M392</f>
        <v>0</v>
      </c>
      <c r="N394" s="704">
        <f>N393+N392</f>
        <v>808000</v>
      </c>
    </row>
    <row r="395" spans="1:14" s="727" customFormat="1" ht="13.5" customHeight="1" hidden="1">
      <c r="A395" s="1260"/>
      <c r="B395" s="1261"/>
      <c r="C395" s="1266" t="s">
        <v>779</v>
      </c>
      <c r="D395" s="1267"/>
      <c r="E395" s="1246" t="s">
        <v>833</v>
      </c>
      <c r="F395" s="1247"/>
      <c r="G395" s="705" t="s">
        <v>20</v>
      </c>
      <c r="H395" s="674">
        <f t="shared" si="69"/>
        <v>1050000</v>
      </c>
      <c r="I395" s="675">
        <f t="shared" si="70"/>
        <v>0</v>
      </c>
      <c r="J395" s="675">
        <v>0</v>
      </c>
      <c r="K395" s="675">
        <v>0</v>
      </c>
      <c r="L395" s="675">
        <f t="shared" si="71"/>
        <v>1050000</v>
      </c>
      <c r="M395" s="675">
        <v>0</v>
      </c>
      <c r="N395" s="675">
        <v>1050000</v>
      </c>
    </row>
    <row r="396" spans="1:14" s="727" customFormat="1" ht="13.5" customHeight="1" hidden="1">
      <c r="A396" s="1260"/>
      <c r="B396" s="1261"/>
      <c r="C396" s="1262"/>
      <c r="D396" s="1263"/>
      <c r="E396" s="1248"/>
      <c r="F396" s="1249"/>
      <c r="G396" s="705" t="s">
        <v>21</v>
      </c>
      <c r="H396" s="674">
        <f t="shared" si="69"/>
        <v>0</v>
      </c>
      <c r="I396" s="675">
        <f t="shared" si="70"/>
        <v>0</v>
      </c>
      <c r="J396" s="675">
        <v>0</v>
      </c>
      <c r="K396" s="675">
        <v>0</v>
      </c>
      <c r="L396" s="675">
        <f t="shared" si="71"/>
        <v>0</v>
      </c>
      <c r="M396" s="675">
        <v>0</v>
      </c>
      <c r="N396" s="675">
        <v>0</v>
      </c>
    </row>
    <row r="397" spans="1:14" s="624" customFormat="1" ht="13.5" customHeight="1" hidden="1">
      <c r="A397" s="1252"/>
      <c r="B397" s="1253"/>
      <c r="C397" s="1254"/>
      <c r="D397" s="1255"/>
      <c r="E397" s="1250"/>
      <c r="F397" s="1251"/>
      <c r="G397" s="722" t="s">
        <v>22</v>
      </c>
      <c r="H397" s="703">
        <f t="shared" si="69"/>
        <v>1050000</v>
      </c>
      <c r="I397" s="704">
        <f t="shared" si="70"/>
        <v>0</v>
      </c>
      <c r="J397" s="704">
        <f>J396+J395</f>
        <v>0</v>
      </c>
      <c r="K397" s="704">
        <f>K396+K395</f>
        <v>0</v>
      </c>
      <c r="L397" s="704">
        <f t="shared" si="71"/>
        <v>1050000</v>
      </c>
      <c r="M397" s="704">
        <f>M396+M395</f>
        <v>0</v>
      </c>
      <c r="N397" s="704">
        <f>N396+N395</f>
        <v>1050000</v>
      </c>
    </row>
    <row r="398" spans="1:14" s="624" customFormat="1" ht="13.5" customHeight="1" hidden="1">
      <c r="A398" s="1252"/>
      <c r="B398" s="1253"/>
      <c r="C398" s="1254"/>
      <c r="D398" s="1255"/>
      <c r="E398" s="1246" t="s">
        <v>834</v>
      </c>
      <c r="F398" s="1247"/>
      <c r="G398" s="705" t="s">
        <v>20</v>
      </c>
      <c r="H398" s="674">
        <f t="shared" si="69"/>
        <v>250000</v>
      </c>
      <c r="I398" s="675">
        <f t="shared" si="70"/>
        <v>250000</v>
      </c>
      <c r="J398" s="675">
        <v>0</v>
      </c>
      <c r="K398" s="675">
        <v>250000</v>
      </c>
      <c r="L398" s="675">
        <f t="shared" si="71"/>
        <v>0</v>
      </c>
      <c r="M398" s="675">
        <v>0</v>
      </c>
      <c r="N398" s="675">
        <v>0</v>
      </c>
    </row>
    <row r="399" spans="1:14" s="624" customFormat="1" ht="13.5" customHeight="1" hidden="1">
      <c r="A399" s="1252"/>
      <c r="B399" s="1253"/>
      <c r="C399" s="1254"/>
      <c r="D399" s="1255"/>
      <c r="E399" s="1248"/>
      <c r="F399" s="1249"/>
      <c r="G399" s="705" t="s">
        <v>21</v>
      </c>
      <c r="H399" s="674">
        <f t="shared" si="69"/>
        <v>0</v>
      </c>
      <c r="I399" s="675">
        <f t="shared" si="70"/>
        <v>0</v>
      </c>
      <c r="J399" s="675">
        <v>0</v>
      </c>
      <c r="K399" s="675">
        <v>0</v>
      </c>
      <c r="L399" s="675">
        <f t="shared" si="71"/>
        <v>0</v>
      </c>
      <c r="M399" s="675">
        <v>0</v>
      </c>
      <c r="N399" s="675">
        <v>0</v>
      </c>
    </row>
    <row r="400" spans="1:14" s="624" customFormat="1" ht="13.5" customHeight="1" hidden="1">
      <c r="A400" s="1252"/>
      <c r="B400" s="1253"/>
      <c r="C400" s="1254"/>
      <c r="D400" s="1255"/>
      <c r="E400" s="1250"/>
      <c r="F400" s="1251"/>
      <c r="G400" s="722" t="s">
        <v>22</v>
      </c>
      <c r="H400" s="703">
        <f t="shared" si="69"/>
        <v>250000</v>
      </c>
      <c r="I400" s="704">
        <f t="shared" si="70"/>
        <v>250000</v>
      </c>
      <c r="J400" s="704">
        <f>J399+J398</f>
        <v>0</v>
      </c>
      <c r="K400" s="704">
        <f>K399+K398</f>
        <v>250000</v>
      </c>
      <c r="L400" s="704">
        <f t="shared" si="71"/>
        <v>0</v>
      </c>
      <c r="M400" s="704">
        <f>M399+M398</f>
        <v>0</v>
      </c>
      <c r="N400" s="704">
        <f>N399+N398</f>
        <v>0</v>
      </c>
    </row>
    <row r="401" spans="1:14" s="727" customFormat="1" ht="13.5" customHeight="1" hidden="1">
      <c r="A401" s="1260"/>
      <c r="B401" s="1261"/>
      <c r="C401" s="1262"/>
      <c r="D401" s="1263"/>
      <c r="E401" s="1246" t="s">
        <v>835</v>
      </c>
      <c r="F401" s="1247"/>
      <c r="G401" s="705" t="s">
        <v>20</v>
      </c>
      <c r="H401" s="674">
        <f t="shared" si="69"/>
        <v>260000</v>
      </c>
      <c r="I401" s="675">
        <f t="shared" si="70"/>
        <v>260000</v>
      </c>
      <c r="J401" s="675">
        <v>0</v>
      </c>
      <c r="K401" s="675">
        <v>260000</v>
      </c>
      <c r="L401" s="675">
        <f t="shared" si="71"/>
        <v>0</v>
      </c>
      <c r="M401" s="675">
        <v>0</v>
      </c>
      <c r="N401" s="675">
        <v>0</v>
      </c>
    </row>
    <row r="402" spans="1:14" s="727" customFormat="1" ht="13.5" customHeight="1" hidden="1">
      <c r="A402" s="1260"/>
      <c r="B402" s="1261"/>
      <c r="C402" s="1262"/>
      <c r="D402" s="1263"/>
      <c r="E402" s="1248"/>
      <c r="F402" s="1249"/>
      <c r="G402" s="705" t="s">
        <v>21</v>
      </c>
      <c r="H402" s="674">
        <f t="shared" si="69"/>
        <v>0</v>
      </c>
      <c r="I402" s="675">
        <f t="shared" si="70"/>
        <v>0</v>
      </c>
      <c r="J402" s="675">
        <v>0</v>
      </c>
      <c r="K402" s="675">
        <v>0</v>
      </c>
      <c r="L402" s="675">
        <f t="shared" si="71"/>
        <v>0</v>
      </c>
      <c r="M402" s="675">
        <v>0</v>
      </c>
      <c r="N402" s="675">
        <v>0</v>
      </c>
    </row>
    <row r="403" spans="1:14" s="624" customFormat="1" ht="13.5" customHeight="1" hidden="1">
      <c r="A403" s="1252"/>
      <c r="B403" s="1253"/>
      <c r="C403" s="1254"/>
      <c r="D403" s="1255"/>
      <c r="E403" s="1250"/>
      <c r="F403" s="1251"/>
      <c r="G403" s="722" t="s">
        <v>22</v>
      </c>
      <c r="H403" s="703">
        <f t="shared" si="69"/>
        <v>260000</v>
      </c>
      <c r="I403" s="704">
        <f t="shared" si="70"/>
        <v>260000</v>
      </c>
      <c r="J403" s="704">
        <f>J402+J401</f>
        <v>0</v>
      </c>
      <c r="K403" s="704">
        <f>K402+K401</f>
        <v>260000</v>
      </c>
      <c r="L403" s="704">
        <f t="shared" si="71"/>
        <v>0</v>
      </c>
      <c r="M403" s="704">
        <f>M402+M401</f>
        <v>0</v>
      </c>
      <c r="N403" s="704">
        <f>N402+N401</f>
        <v>0</v>
      </c>
    </row>
    <row r="404" spans="1:14" s="727" customFormat="1" ht="13.5" customHeight="1" hidden="1">
      <c r="A404" s="1260"/>
      <c r="B404" s="1261"/>
      <c r="C404" s="1262"/>
      <c r="D404" s="1263"/>
      <c r="E404" s="1246" t="s">
        <v>836</v>
      </c>
      <c r="F404" s="1247"/>
      <c r="G404" s="705" t="s">
        <v>20</v>
      </c>
      <c r="H404" s="674">
        <f t="shared" si="69"/>
        <v>150000</v>
      </c>
      <c r="I404" s="675">
        <f t="shared" si="70"/>
        <v>150000</v>
      </c>
      <c r="J404" s="675">
        <v>0</v>
      </c>
      <c r="K404" s="675">
        <v>150000</v>
      </c>
      <c r="L404" s="675">
        <f t="shared" si="71"/>
        <v>0</v>
      </c>
      <c r="M404" s="675">
        <v>0</v>
      </c>
      <c r="N404" s="675">
        <v>0</v>
      </c>
    </row>
    <row r="405" spans="1:14" s="727" customFormat="1" ht="13.5" customHeight="1" hidden="1">
      <c r="A405" s="1260"/>
      <c r="B405" s="1261"/>
      <c r="C405" s="1262"/>
      <c r="D405" s="1263"/>
      <c r="E405" s="1248"/>
      <c r="F405" s="1249"/>
      <c r="G405" s="705" t="s">
        <v>21</v>
      </c>
      <c r="H405" s="674">
        <f t="shared" si="69"/>
        <v>0</v>
      </c>
      <c r="I405" s="675">
        <f t="shared" si="70"/>
        <v>0</v>
      </c>
      <c r="J405" s="675">
        <v>0</v>
      </c>
      <c r="K405" s="675">
        <v>0</v>
      </c>
      <c r="L405" s="675">
        <f t="shared" si="71"/>
        <v>0</v>
      </c>
      <c r="M405" s="675">
        <v>0</v>
      </c>
      <c r="N405" s="675">
        <v>0</v>
      </c>
    </row>
    <row r="406" spans="1:14" s="624" customFormat="1" ht="13.5" customHeight="1" hidden="1">
      <c r="A406" s="1256"/>
      <c r="B406" s="1257"/>
      <c r="C406" s="1258"/>
      <c r="D406" s="1259"/>
      <c r="E406" s="1250"/>
      <c r="F406" s="1251"/>
      <c r="G406" s="725" t="s">
        <v>22</v>
      </c>
      <c r="H406" s="674">
        <f t="shared" si="69"/>
        <v>150000</v>
      </c>
      <c r="I406" s="675">
        <f t="shared" si="70"/>
        <v>150000</v>
      </c>
      <c r="J406" s="675">
        <f>J405+J404</f>
        <v>0</v>
      </c>
      <c r="K406" s="675">
        <f>K405+K404</f>
        <v>150000</v>
      </c>
      <c r="L406" s="675">
        <f t="shared" si="71"/>
        <v>0</v>
      </c>
      <c r="M406" s="675">
        <f>M405+M404</f>
        <v>0</v>
      </c>
      <c r="N406" s="675">
        <f>N405+N404</f>
        <v>0</v>
      </c>
    </row>
    <row r="407" spans="1:14" s="727" customFormat="1" ht="13.5" customHeight="1" hidden="1">
      <c r="A407" s="1264"/>
      <c r="B407" s="1265"/>
      <c r="C407" s="1266"/>
      <c r="D407" s="1267"/>
      <c r="E407" s="1246" t="s">
        <v>837</v>
      </c>
      <c r="F407" s="1247"/>
      <c r="G407" s="705" t="s">
        <v>20</v>
      </c>
      <c r="H407" s="674">
        <f t="shared" si="69"/>
        <v>250000</v>
      </c>
      <c r="I407" s="675">
        <f t="shared" si="70"/>
        <v>250000</v>
      </c>
      <c r="J407" s="675">
        <v>0</v>
      </c>
      <c r="K407" s="675">
        <v>250000</v>
      </c>
      <c r="L407" s="675">
        <f t="shared" si="71"/>
        <v>0</v>
      </c>
      <c r="M407" s="675">
        <v>0</v>
      </c>
      <c r="N407" s="675">
        <v>0</v>
      </c>
    </row>
    <row r="408" spans="1:14" s="727" customFormat="1" ht="13.5" customHeight="1" hidden="1">
      <c r="A408" s="1260"/>
      <c r="B408" s="1261"/>
      <c r="C408" s="1262"/>
      <c r="D408" s="1263"/>
      <c r="E408" s="1248"/>
      <c r="F408" s="1249"/>
      <c r="G408" s="705" t="s">
        <v>21</v>
      </c>
      <c r="H408" s="674">
        <f t="shared" si="69"/>
        <v>0</v>
      </c>
      <c r="I408" s="675">
        <f t="shared" si="70"/>
        <v>0</v>
      </c>
      <c r="J408" s="675">
        <v>0</v>
      </c>
      <c r="K408" s="675">
        <v>0</v>
      </c>
      <c r="L408" s="675">
        <f t="shared" si="71"/>
        <v>0</v>
      </c>
      <c r="M408" s="675">
        <v>0</v>
      </c>
      <c r="N408" s="675">
        <v>0</v>
      </c>
    </row>
    <row r="409" spans="1:14" s="624" customFormat="1" ht="13.5" customHeight="1" hidden="1">
      <c r="A409" s="1252"/>
      <c r="B409" s="1253"/>
      <c r="C409" s="1254"/>
      <c r="D409" s="1255"/>
      <c r="E409" s="1250"/>
      <c r="F409" s="1251"/>
      <c r="G409" s="722" t="s">
        <v>22</v>
      </c>
      <c r="H409" s="703">
        <f aca="true" t="shared" si="72" ref="H409:H421">I409+L409</f>
        <v>250000</v>
      </c>
      <c r="I409" s="704">
        <f aca="true" t="shared" si="73" ref="I409:I421">J409+K409</f>
        <v>250000</v>
      </c>
      <c r="J409" s="704">
        <f>J408+J407</f>
        <v>0</v>
      </c>
      <c r="K409" s="704">
        <f>K408+K407</f>
        <v>250000</v>
      </c>
      <c r="L409" s="704">
        <f aca="true" t="shared" si="74" ref="L409:L421">M409+N409</f>
        <v>0</v>
      </c>
      <c r="M409" s="704">
        <f>M408+M407</f>
        <v>0</v>
      </c>
      <c r="N409" s="704">
        <f>N408+N407</f>
        <v>0</v>
      </c>
    </row>
    <row r="410" spans="1:14" s="727" customFormat="1" ht="13.5" customHeight="1" hidden="1">
      <c r="A410" s="1260"/>
      <c r="B410" s="1261"/>
      <c r="C410" s="1262"/>
      <c r="D410" s="1263"/>
      <c r="E410" s="1246" t="s">
        <v>838</v>
      </c>
      <c r="F410" s="1247"/>
      <c r="G410" s="705" t="s">
        <v>20</v>
      </c>
      <c r="H410" s="674">
        <f t="shared" si="72"/>
        <v>130000</v>
      </c>
      <c r="I410" s="675">
        <f t="shared" si="73"/>
        <v>130000</v>
      </c>
      <c r="J410" s="675">
        <v>0</v>
      </c>
      <c r="K410" s="675">
        <v>130000</v>
      </c>
      <c r="L410" s="675">
        <f t="shared" si="74"/>
        <v>0</v>
      </c>
      <c r="M410" s="675">
        <v>0</v>
      </c>
      <c r="N410" s="675">
        <v>0</v>
      </c>
    </row>
    <row r="411" spans="1:14" s="727" customFormat="1" ht="13.5" customHeight="1" hidden="1">
      <c r="A411" s="1260"/>
      <c r="B411" s="1261"/>
      <c r="C411" s="1262"/>
      <c r="D411" s="1263"/>
      <c r="E411" s="1248"/>
      <c r="F411" s="1249"/>
      <c r="G411" s="705" t="s">
        <v>21</v>
      </c>
      <c r="H411" s="674">
        <f t="shared" si="72"/>
        <v>0</v>
      </c>
      <c r="I411" s="675">
        <f t="shared" si="73"/>
        <v>0</v>
      </c>
      <c r="J411" s="675">
        <v>0</v>
      </c>
      <c r="K411" s="675">
        <v>0</v>
      </c>
      <c r="L411" s="675">
        <f t="shared" si="74"/>
        <v>0</v>
      </c>
      <c r="M411" s="675">
        <v>0</v>
      </c>
      <c r="N411" s="675">
        <v>0</v>
      </c>
    </row>
    <row r="412" spans="1:14" s="624" customFormat="1" ht="13.5" customHeight="1" hidden="1">
      <c r="A412" s="1252"/>
      <c r="B412" s="1253"/>
      <c r="C412" s="1254"/>
      <c r="D412" s="1255"/>
      <c r="E412" s="1250"/>
      <c r="F412" s="1251"/>
      <c r="G412" s="722" t="s">
        <v>22</v>
      </c>
      <c r="H412" s="703">
        <f t="shared" si="72"/>
        <v>130000</v>
      </c>
      <c r="I412" s="704">
        <f t="shared" si="73"/>
        <v>130000</v>
      </c>
      <c r="J412" s="704">
        <f>J411+J410</f>
        <v>0</v>
      </c>
      <c r="K412" s="704">
        <f>K411+K410</f>
        <v>130000</v>
      </c>
      <c r="L412" s="704">
        <f t="shared" si="74"/>
        <v>0</v>
      </c>
      <c r="M412" s="704">
        <f>M411+M410</f>
        <v>0</v>
      </c>
      <c r="N412" s="704">
        <f>N411+N410</f>
        <v>0</v>
      </c>
    </row>
    <row r="413" spans="1:14" s="624" customFormat="1" ht="13.5" customHeight="1" hidden="1">
      <c r="A413" s="1242" t="s">
        <v>261</v>
      </c>
      <c r="B413" s="1243"/>
      <c r="C413" s="1244" t="s">
        <v>839</v>
      </c>
      <c r="D413" s="1245"/>
      <c r="E413" s="1246" t="s">
        <v>840</v>
      </c>
      <c r="F413" s="1247"/>
      <c r="G413" s="702" t="s">
        <v>20</v>
      </c>
      <c r="H413" s="703">
        <f t="shared" si="72"/>
        <v>2000000</v>
      </c>
      <c r="I413" s="704">
        <f t="shared" si="73"/>
        <v>0</v>
      </c>
      <c r="J413" s="704">
        <v>0</v>
      </c>
      <c r="K413" s="704">
        <v>0</v>
      </c>
      <c r="L413" s="704">
        <f t="shared" si="74"/>
        <v>2000000</v>
      </c>
      <c r="M413" s="704">
        <v>0</v>
      </c>
      <c r="N413" s="704">
        <v>2000000</v>
      </c>
    </row>
    <row r="414" spans="1:14" s="624" customFormat="1" ht="13.5" customHeight="1" hidden="1">
      <c r="A414" s="1252"/>
      <c r="B414" s="1253"/>
      <c r="C414" s="1254"/>
      <c r="D414" s="1255"/>
      <c r="E414" s="1248"/>
      <c r="F414" s="1249"/>
      <c r="G414" s="702" t="s">
        <v>21</v>
      </c>
      <c r="H414" s="703">
        <f t="shared" si="72"/>
        <v>0</v>
      </c>
      <c r="I414" s="704">
        <f t="shared" si="73"/>
        <v>0</v>
      </c>
      <c r="J414" s="704">
        <v>0</v>
      </c>
      <c r="K414" s="704">
        <v>0</v>
      </c>
      <c r="L414" s="704">
        <f t="shared" si="74"/>
        <v>0</v>
      </c>
      <c r="M414" s="704">
        <v>0</v>
      </c>
      <c r="N414" s="704">
        <v>0</v>
      </c>
    </row>
    <row r="415" spans="1:14" s="624" customFormat="1" ht="13.5" customHeight="1" hidden="1">
      <c r="A415" s="1252"/>
      <c r="B415" s="1253"/>
      <c r="C415" s="1254"/>
      <c r="D415" s="1255"/>
      <c r="E415" s="1250"/>
      <c r="F415" s="1251"/>
      <c r="G415" s="722" t="s">
        <v>22</v>
      </c>
      <c r="H415" s="703">
        <f t="shared" si="72"/>
        <v>2000000</v>
      </c>
      <c r="I415" s="704">
        <f t="shared" si="73"/>
        <v>0</v>
      </c>
      <c r="J415" s="704">
        <f>J414+J413</f>
        <v>0</v>
      </c>
      <c r="K415" s="704">
        <f>K414+K413</f>
        <v>0</v>
      </c>
      <c r="L415" s="704">
        <f t="shared" si="74"/>
        <v>2000000</v>
      </c>
      <c r="M415" s="704">
        <f>M414+M413</f>
        <v>0</v>
      </c>
      <c r="N415" s="704">
        <f>N414+N413</f>
        <v>2000000</v>
      </c>
    </row>
    <row r="416" spans="1:14" s="624" customFormat="1" ht="13.5" customHeight="1" hidden="1">
      <c r="A416" s="1252"/>
      <c r="B416" s="1253"/>
      <c r="C416" s="1254"/>
      <c r="D416" s="1255"/>
      <c r="E416" s="1246" t="s">
        <v>841</v>
      </c>
      <c r="F416" s="1247"/>
      <c r="G416" s="702" t="s">
        <v>20</v>
      </c>
      <c r="H416" s="703">
        <f t="shared" si="72"/>
        <v>900000</v>
      </c>
      <c r="I416" s="704">
        <f t="shared" si="73"/>
        <v>0</v>
      </c>
      <c r="J416" s="704">
        <v>0</v>
      </c>
      <c r="K416" s="704">
        <v>0</v>
      </c>
      <c r="L416" s="704">
        <f t="shared" si="74"/>
        <v>900000</v>
      </c>
      <c r="M416" s="704">
        <v>0</v>
      </c>
      <c r="N416" s="704">
        <v>900000</v>
      </c>
    </row>
    <row r="417" spans="1:14" s="624" customFormat="1" ht="13.5" customHeight="1" hidden="1">
      <c r="A417" s="1252"/>
      <c r="B417" s="1253"/>
      <c r="C417" s="1254"/>
      <c r="D417" s="1255"/>
      <c r="E417" s="1248"/>
      <c r="F417" s="1249"/>
      <c r="G417" s="702" t="s">
        <v>21</v>
      </c>
      <c r="H417" s="703">
        <f t="shared" si="72"/>
        <v>0</v>
      </c>
      <c r="I417" s="704">
        <f t="shared" si="73"/>
        <v>0</v>
      </c>
      <c r="J417" s="704">
        <v>0</v>
      </c>
      <c r="K417" s="704">
        <v>0</v>
      </c>
      <c r="L417" s="704">
        <f t="shared" si="74"/>
        <v>0</v>
      </c>
      <c r="M417" s="704">
        <v>0</v>
      </c>
      <c r="N417" s="704">
        <v>0</v>
      </c>
    </row>
    <row r="418" spans="1:14" s="624" customFormat="1" ht="13.5" customHeight="1" hidden="1">
      <c r="A418" s="1256"/>
      <c r="B418" s="1257"/>
      <c r="C418" s="1258"/>
      <c r="D418" s="1259"/>
      <c r="E418" s="1250"/>
      <c r="F418" s="1251"/>
      <c r="G418" s="725" t="s">
        <v>22</v>
      </c>
      <c r="H418" s="674">
        <f t="shared" si="72"/>
        <v>900000</v>
      </c>
      <c r="I418" s="675">
        <f t="shared" si="73"/>
        <v>0</v>
      </c>
      <c r="J418" s="675">
        <f>J417+J416</f>
        <v>0</v>
      </c>
      <c r="K418" s="675">
        <f>K417+K416</f>
        <v>0</v>
      </c>
      <c r="L418" s="675">
        <f t="shared" si="74"/>
        <v>900000</v>
      </c>
      <c r="M418" s="675">
        <f>M417+M416</f>
        <v>0</v>
      </c>
      <c r="N418" s="675">
        <f>N417+N416</f>
        <v>900000</v>
      </c>
    </row>
    <row r="419" spans="1:14" s="624" customFormat="1" ht="13.5" customHeight="1">
      <c r="A419" s="1242" t="s">
        <v>261</v>
      </c>
      <c r="B419" s="1243"/>
      <c r="C419" s="1244" t="s">
        <v>263</v>
      </c>
      <c r="D419" s="1245"/>
      <c r="E419" s="1246" t="s">
        <v>786</v>
      </c>
      <c r="F419" s="1247"/>
      <c r="G419" s="702" t="s">
        <v>20</v>
      </c>
      <c r="H419" s="703">
        <f t="shared" si="72"/>
        <v>0</v>
      </c>
      <c r="I419" s="704">
        <f t="shared" si="73"/>
        <v>0</v>
      </c>
      <c r="J419" s="704">
        <v>0</v>
      </c>
      <c r="K419" s="704">
        <v>0</v>
      </c>
      <c r="L419" s="704">
        <f t="shared" si="74"/>
        <v>0</v>
      </c>
      <c r="M419" s="704">
        <v>0</v>
      </c>
      <c r="N419" s="704">
        <v>0</v>
      </c>
    </row>
    <row r="420" spans="1:14" s="624" customFormat="1" ht="13.5" customHeight="1">
      <c r="A420" s="1252"/>
      <c r="B420" s="1253"/>
      <c r="C420" s="1254"/>
      <c r="D420" s="1255"/>
      <c r="E420" s="1248"/>
      <c r="F420" s="1249"/>
      <c r="G420" s="702" t="s">
        <v>21</v>
      </c>
      <c r="H420" s="703">
        <f t="shared" si="72"/>
        <v>16843</v>
      </c>
      <c r="I420" s="704">
        <f t="shared" si="73"/>
        <v>16843</v>
      </c>
      <c r="J420" s="704">
        <v>16843</v>
      </c>
      <c r="K420" s="704">
        <v>0</v>
      </c>
      <c r="L420" s="704">
        <f t="shared" si="74"/>
        <v>0</v>
      </c>
      <c r="M420" s="704">
        <v>0</v>
      </c>
      <c r="N420" s="704">
        <v>0</v>
      </c>
    </row>
    <row r="421" spans="1:14" s="624" customFormat="1" ht="13.5" customHeight="1">
      <c r="A421" s="1256"/>
      <c r="B421" s="1257"/>
      <c r="C421" s="1258"/>
      <c r="D421" s="1259"/>
      <c r="E421" s="1250"/>
      <c r="F421" s="1251"/>
      <c r="G421" s="725" t="s">
        <v>22</v>
      </c>
      <c r="H421" s="674">
        <f t="shared" si="72"/>
        <v>16843</v>
      </c>
      <c r="I421" s="675">
        <f t="shared" si="73"/>
        <v>16843</v>
      </c>
      <c r="J421" s="675">
        <f>J420+J419</f>
        <v>16843</v>
      </c>
      <c r="K421" s="675">
        <f>K420+K419</f>
        <v>0</v>
      </c>
      <c r="L421" s="675">
        <f t="shared" si="74"/>
        <v>0</v>
      </c>
      <c r="M421" s="675">
        <f>M420+M419</f>
        <v>0</v>
      </c>
      <c r="N421" s="675">
        <f>N420+N419</f>
        <v>0</v>
      </c>
    </row>
    <row r="422" spans="1:14" s="698" customFormat="1" ht="3.75" customHeight="1" thickBot="1">
      <c r="A422" s="733"/>
      <c r="B422" s="734"/>
      <c r="C422" s="734"/>
      <c r="D422" s="734"/>
      <c r="E422" s="734"/>
      <c r="F422" s="734"/>
      <c r="G422" s="735"/>
      <c r="H422" s="736"/>
      <c r="I422" s="737"/>
      <c r="J422" s="737"/>
      <c r="K422" s="737"/>
      <c r="L422" s="737"/>
      <c r="M422" s="737"/>
      <c r="N422" s="738"/>
    </row>
    <row r="423" spans="1:14" s="740" customFormat="1" ht="18" customHeight="1" thickBot="1">
      <c r="A423" s="1233" t="s">
        <v>19</v>
      </c>
      <c r="B423" s="1234"/>
      <c r="C423" s="1234"/>
      <c r="D423" s="1234"/>
      <c r="E423" s="1234"/>
      <c r="F423" s="1235"/>
      <c r="G423" s="739" t="s">
        <v>20</v>
      </c>
      <c r="H423" s="651">
        <f aca="true" t="shared" si="75" ref="H423:N425">H11</f>
        <v>248865366</v>
      </c>
      <c r="I423" s="651">
        <f t="shared" si="75"/>
        <v>125989200</v>
      </c>
      <c r="J423" s="651">
        <f t="shared" si="75"/>
        <v>31664169</v>
      </c>
      <c r="K423" s="651">
        <f t="shared" si="75"/>
        <v>94325031</v>
      </c>
      <c r="L423" s="651">
        <f t="shared" si="75"/>
        <v>122876166</v>
      </c>
      <c r="M423" s="651">
        <f t="shared" si="75"/>
        <v>1925001</v>
      </c>
      <c r="N423" s="651">
        <f t="shared" si="75"/>
        <v>120951165</v>
      </c>
    </row>
    <row r="424" spans="1:14" s="740" customFormat="1" ht="18" customHeight="1" thickBot="1">
      <c r="A424" s="1236"/>
      <c r="B424" s="1237"/>
      <c r="C424" s="1237"/>
      <c r="D424" s="1237"/>
      <c r="E424" s="1237"/>
      <c r="F424" s="1238"/>
      <c r="G424" s="739" t="s">
        <v>21</v>
      </c>
      <c r="H424" s="651">
        <f t="shared" si="75"/>
        <v>2347208</v>
      </c>
      <c r="I424" s="651">
        <f t="shared" si="75"/>
        <v>79922</v>
      </c>
      <c r="J424" s="651">
        <f t="shared" si="75"/>
        <v>656730</v>
      </c>
      <c r="K424" s="651">
        <f t="shared" si="75"/>
        <v>-576808</v>
      </c>
      <c r="L424" s="651">
        <f t="shared" si="75"/>
        <v>2267286</v>
      </c>
      <c r="M424" s="651">
        <f t="shared" si="75"/>
        <v>200000</v>
      </c>
      <c r="N424" s="651">
        <f t="shared" si="75"/>
        <v>2067286</v>
      </c>
    </row>
    <row r="425" spans="1:14" s="740" customFormat="1" ht="18" customHeight="1" thickBot="1">
      <c r="A425" s="1239"/>
      <c r="B425" s="1240"/>
      <c r="C425" s="1240"/>
      <c r="D425" s="1240"/>
      <c r="E425" s="1240"/>
      <c r="F425" s="1241"/>
      <c r="G425" s="739" t="s">
        <v>22</v>
      </c>
      <c r="H425" s="651">
        <f t="shared" si="75"/>
        <v>251212574</v>
      </c>
      <c r="I425" s="651">
        <f t="shared" si="75"/>
        <v>126069122</v>
      </c>
      <c r="J425" s="651">
        <f t="shared" si="75"/>
        <v>32320899</v>
      </c>
      <c r="K425" s="651">
        <f t="shared" si="75"/>
        <v>93748223</v>
      </c>
      <c r="L425" s="651">
        <f t="shared" si="75"/>
        <v>125143452</v>
      </c>
      <c r="M425" s="651">
        <f t="shared" si="75"/>
        <v>2125001</v>
      </c>
      <c r="N425" s="651">
        <f t="shared" si="75"/>
        <v>123018451</v>
      </c>
    </row>
    <row r="426" spans="1:14" s="624" customFormat="1" ht="3.75" customHeight="1">
      <c r="A426" s="741"/>
      <c r="B426" s="741"/>
      <c r="C426" s="741"/>
      <c r="D426" s="741"/>
      <c r="E426" s="742"/>
      <c r="F426" s="743"/>
      <c r="G426" s="742"/>
      <c r="H426" s="744"/>
      <c r="I426" s="745"/>
      <c r="J426" s="745"/>
      <c r="K426" s="745"/>
      <c r="L426" s="745"/>
      <c r="M426" s="745"/>
      <c r="N426" s="745"/>
    </row>
    <row r="427" spans="1:14" s="751" customFormat="1" ht="15">
      <c r="A427" s="746" t="s">
        <v>842</v>
      </c>
      <c r="B427" s="747"/>
      <c r="C427" s="748"/>
      <c r="D427" s="747"/>
      <c r="E427" s="748"/>
      <c r="F427" s="749"/>
      <c r="G427" s="750"/>
      <c r="I427" s="752"/>
      <c r="J427" s="752"/>
      <c r="K427" s="752"/>
      <c r="L427" s="752"/>
      <c r="M427" s="752"/>
      <c r="N427" s="752"/>
    </row>
    <row r="428" spans="1:14" s="751" customFormat="1" ht="15" hidden="1">
      <c r="A428" s="753" t="s">
        <v>843</v>
      </c>
      <c r="B428" s="754"/>
      <c r="C428" s="755"/>
      <c r="D428" s="754"/>
      <c r="E428" s="755"/>
      <c r="F428" s="749"/>
      <c r="G428" s="750"/>
      <c r="I428" s="752"/>
      <c r="J428" s="752"/>
      <c r="K428" s="752"/>
      <c r="L428" s="752"/>
      <c r="M428" s="752"/>
      <c r="N428" s="752"/>
    </row>
    <row r="429" spans="1:14" s="751" customFormat="1" ht="14.25" customHeight="1">
      <c r="A429" s="756" t="s">
        <v>844</v>
      </c>
      <c r="B429" s="756" t="s">
        <v>845</v>
      </c>
      <c r="C429" s="757" t="s">
        <v>846</v>
      </c>
      <c r="D429" s="756"/>
      <c r="E429" s="750"/>
      <c r="F429" s="749"/>
      <c r="G429" s="632"/>
      <c r="I429" s="752"/>
      <c r="J429" s="752"/>
      <c r="K429" s="752"/>
      <c r="L429" s="752"/>
      <c r="M429" s="752"/>
      <c r="N429" s="752"/>
    </row>
    <row r="430" spans="1:14" s="751" customFormat="1" ht="14.25" customHeight="1">
      <c r="A430" s="756" t="s">
        <v>21</v>
      </c>
      <c r="B430" s="756" t="s">
        <v>845</v>
      </c>
      <c r="C430" s="757" t="s">
        <v>847</v>
      </c>
      <c r="D430" s="756"/>
      <c r="E430" s="750"/>
      <c r="F430" s="749"/>
      <c r="G430" s="632"/>
      <c r="I430" s="752"/>
      <c r="J430" s="752"/>
      <c r="K430" s="752"/>
      <c r="L430" s="752"/>
      <c r="M430" s="752"/>
      <c r="N430" s="752"/>
    </row>
    <row r="431" spans="1:14" s="751" customFormat="1" ht="14.25" customHeight="1">
      <c r="A431" s="756" t="s">
        <v>22</v>
      </c>
      <c r="B431" s="756" t="s">
        <v>845</v>
      </c>
      <c r="C431" s="757" t="s">
        <v>848</v>
      </c>
      <c r="D431" s="756"/>
      <c r="E431" s="750"/>
      <c r="F431" s="749"/>
      <c r="G431" s="632"/>
      <c r="I431" s="752"/>
      <c r="J431" s="752"/>
      <c r="K431" s="752"/>
      <c r="L431" s="752"/>
      <c r="M431" s="752"/>
      <c r="N431" s="752"/>
    </row>
  </sheetData>
  <sheetProtection password="C25B" sheet="1"/>
  <mergeCells count="802">
    <mergeCell ref="L1:N1"/>
    <mergeCell ref="L2:N2"/>
    <mergeCell ref="A4:N4"/>
    <mergeCell ref="A6:B8"/>
    <mergeCell ref="C6:D8"/>
    <mergeCell ref="E6:F7"/>
    <mergeCell ref="G6:G8"/>
    <mergeCell ref="H6:H8"/>
    <mergeCell ref="I6:K6"/>
    <mergeCell ref="L6:N6"/>
    <mergeCell ref="I7:I8"/>
    <mergeCell ref="L7:L8"/>
    <mergeCell ref="A9:B9"/>
    <mergeCell ref="C9:D9"/>
    <mergeCell ref="A11:F13"/>
    <mergeCell ref="A15:F17"/>
    <mergeCell ref="A19:B19"/>
    <mergeCell ref="C19:D19"/>
    <mergeCell ref="E19:F21"/>
    <mergeCell ref="A20:B20"/>
    <mergeCell ref="C20:D20"/>
    <mergeCell ref="A21:B21"/>
    <mergeCell ref="C21:D21"/>
    <mergeCell ref="A23:F25"/>
    <mergeCell ref="A27:F29"/>
    <mergeCell ref="A31:F33"/>
    <mergeCell ref="A34:B34"/>
    <mergeCell ref="C34:D34"/>
    <mergeCell ref="E34:F36"/>
    <mergeCell ref="A35:B35"/>
    <mergeCell ref="C35:D35"/>
    <mergeCell ref="A36:B36"/>
    <mergeCell ref="C36:D36"/>
    <mergeCell ref="A37:F39"/>
    <mergeCell ref="A40:B40"/>
    <mergeCell ref="C40:D40"/>
    <mergeCell ref="E40:F42"/>
    <mergeCell ref="A41:B41"/>
    <mergeCell ref="C41:D41"/>
    <mergeCell ref="A42:B42"/>
    <mergeCell ref="C42:D42"/>
    <mergeCell ref="A43:B43"/>
    <mergeCell ref="C43:D43"/>
    <mergeCell ref="E43:F45"/>
    <mergeCell ref="A44:B44"/>
    <mergeCell ref="C44:D44"/>
    <mergeCell ref="A45:B45"/>
    <mergeCell ref="C45:D45"/>
    <mergeCell ref="A46:F48"/>
    <mergeCell ref="A49:B49"/>
    <mergeCell ref="C49:D49"/>
    <mergeCell ref="E49:F51"/>
    <mergeCell ref="A50:B50"/>
    <mergeCell ref="C50:D50"/>
    <mergeCell ref="A51:B51"/>
    <mergeCell ref="C51:D51"/>
    <mergeCell ref="A52:F54"/>
    <mergeCell ref="A55:B55"/>
    <mergeCell ref="C55:D55"/>
    <mergeCell ref="E55:F57"/>
    <mergeCell ref="A56:B56"/>
    <mergeCell ref="C56:D56"/>
    <mergeCell ref="A57:B57"/>
    <mergeCell ref="C57:D57"/>
    <mergeCell ref="A58:F60"/>
    <mergeCell ref="A61:B61"/>
    <mergeCell ref="C61:D61"/>
    <mergeCell ref="E61:F63"/>
    <mergeCell ref="A62:B62"/>
    <mergeCell ref="C62:D62"/>
    <mergeCell ref="A63:B63"/>
    <mergeCell ref="C63:D63"/>
    <mergeCell ref="A64:B64"/>
    <mergeCell ref="C64:D64"/>
    <mergeCell ref="E64:F66"/>
    <mergeCell ref="A65:B65"/>
    <mergeCell ref="C65:D65"/>
    <mergeCell ref="A66:B66"/>
    <mergeCell ref="C66:D66"/>
    <mergeCell ref="A67:F69"/>
    <mergeCell ref="A70:B70"/>
    <mergeCell ref="C70:D70"/>
    <mergeCell ref="E70:F72"/>
    <mergeCell ref="A71:B71"/>
    <mergeCell ref="C71:D71"/>
    <mergeCell ref="A72:B72"/>
    <mergeCell ref="C72:D72"/>
    <mergeCell ref="A73:F75"/>
    <mergeCell ref="A76:B76"/>
    <mergeCell ref="C76:D76"/>
    <mergeCell ref="E76:F78"/>
    <mergeCell ref="A77:B77"/>
    <mergeCell ref="C77:D77"/>
    <mergeCell ref="A78:B78"/>
    <mergeCell ref="C78:D78"/>
    <mergeCell ref="A79:B79"/>
    <mergeCell ref="C79:D79"/>
    <mergeCell ref="E79:F81"/>
    <mergeCell ref="A80:B80"/>
    <mergeCell ref="C80:D80"/>
    <mergeCell ref="A81:B81"/>
    <mergeCell ref="C81:D81"/>
    <mergeCell ref="A82:B82"/>
    <mergeCell ref="C82:D82"/>
    <mergeCell ref="E82:F84"/>
    <mergeCell ref="A83:B83"/>
    <mergeCell ref="C83:D83"/>
    <mergeCell ref="A84:B84"/>
    <mergeCell ref="C84:D84"/>
    <mergeCell ref="A85:B85"/>
    <mergeCell ref="C85:D85"/>
    <mergeCell ref="E85:F87"/>
    <mergeCell ref="A86:B86"/>
    <mergeCell ref="C86:D86"/>
    <mergeCell ref="A87:B87"/>
    <mergeCell ref="C87:D87"/>
    <mergeCell ref="A88:F90"/>
    <mergeCell ref="A91:B91"/>
    <mergeCell ref="C91:D91"/>
    <mergeCell ref="E91:F93"/>
    <mergeCell ref="A92:B92"/>
    <mergeCell ref="C92:D92"/>
    <mergeCell ref="A93:B93"/>
    <mergeCell ref="C93:D93"/>
    <mergeCell ref="A94:F96"/>
    <mergeCell ref="A97:B97"/>
    <mergeCell ref="C97:D97"/>
    <mergeCell ref="E97:F99"/>
    <mergeCell ref="A98:B98"/>
    <mergeCell ref="C98:D98"/>
    <mergeCell ref="A99:B99"/>
    <mergeCell ref="C99:D99"/>
    <mergeCell ref="A100:F102"/>
    <mergeCell ref="A103:B103"/>
    <mergeCell ref="C103:D103"/>
    <mergeCell ref="E103:F105"/>
    <mergeCell ref="A104:B104"/>
    <mergeCell ref="C104:D104"/>
    <mergeCell ref="A105:B105"/>
    <mergeCell ref="C105:D105"/>
    <mergeCell ref="A106:F108"/>
    <mergeCell ref="A109:B109"/>
    <mergeCell ref="C109:D109"/>
    <mergeCell ref="E109:F111"/>
    <mergeCell ref="A110:B110"/>
    <mergeCell ref="C110:D110"/>
    <mergeCell ref="A111:B111"/>
    <mergeCell ref="C111:D111"/>
    <mergeCell ref="A112:F114"/>
    <mergeCell ref="A115:B115"/>
    <mergeCell ref="C115:D115"/>
    <mergeCell ref="E115:F117"/>
    <mergeCell ref="A116:B116"/>
    <mergeCell ref="C116:D116"/>
    <mergeCell ref="A117:B117"/>
    <mergeCell ref="C117:D117"/>
    <mergeCell ref="A118:B118"/>
    <mergeCell ref="C118:D118"/>
    <mergeCell ref="E118:F120"/>
    <mergeCell ref="A119:B119"/>
    <mergeCell ref="C119:D119"/>
    <mergeCell ref="A120:B120"/>
    <mergeCell ref="C120:D120"/>
    <mergeCell ref="A121:B121"/>
    <mergeCell ref="C121:D121"/>
    <mergeCell ref="E121:F123"/>
    <mergeCell ref="A122:B122"/>
    <mergeCell ref="C122:D122"/>
    <mergeCell ref="A123:B123"/>
    <mergeCell ref="C123:D123"/>
    <mergeCell ref="A124:F126"/>
    <mergeCell ref="A127:B127"/>
    <mergeCell ref="C127:D127"/>
    <mergeCell ref="E127:F129"/>
    <mergeCell ref="A128:B128"/>
    <mergeCell ref="C128:D128"/>
    <mergeCell ref="A129:B129"/>
    <mergeCell ref="C129:D129"/>
    <mergeCell ref="A130:B130"/>
    <mergeCell ref="C130:D130"/>
    <mergeCell ref="E130:F132"/>
    <mergeCell ref="A131:B131"/>
    <mergeCell ref="C131:D131"/>
    <mergeCell ref="A132:B132"/>
    <mergeCell ref="C132:D132"/>
    <mergeCell ref="A133:B133"/>
    <mergeCell ref="C133:D133"/>
    <mergeCell ref="E133:F135"/>
    <mergeCell ref="A134:B134"/>
    <mergeCell ref="C134:D134"/>
    <mergeCell ref="A135:B135"/>
    <mergeCell ref="C135:D135"/>
    <mergeCell ref="A136:F138"/>
    <mergeCell ref="A139:B139"/>
    <mergeCell ref="C139:D139"/>
    <mergeCell ref="E139:F141"/>
    <mergeCell ref="A140:B140"/>
    <mergeCell ref="C140:D140"/>
    <mergeCell ref="A141:B141"/>
    <mergeCell ref="C141:D141"/>
    <mergeCell ref="A142:B142"/>
    <mergeCell ref="C142:D142"/>
    <mergeCell ref="E142:F144"/>
    <mergeCell ref="A143:B143"/>
    <mergeCell ref="C143:D143"/>
    <mergeCell ref="A144:B144"/>
    <mergeCell ref="C144:D144"/>
    <mergeCell ref="A145:F147"/>
    <mergeCell ref="A148:B148"/>
    <mergeCell ref="C148:D148"/>
    <mergeCell ref="E148:F150"/>
    <mergeCell ref="A149:B149"/>
    <mergeCell ref="C149:D149"/>
    <mergeCell ref="A150:B150"/>
    <mergeCell ref="C150:D150"/>
    <mergeCell ref="A151:F153"/>
    <mergeCell ref="A154:B154"/>
    <mergeCell ref="C154:D154"/>
    <mergeCell ref="E154:F156"/>
    <mergeCell ref="A155:B155"/>
    <mergeCell ref="C155:D155"/>
    <mergeCell ref="A156:B156"/>
    <mergeCell ref="C156:D156"/>
    <mergeCell ref="A158:F160"/>
    <mergeCell ref="A162:F164"/>
    <mergeCell ref="A166:B166"/>
    <mergeCell ref="C166:D166"/>
    <mergeCell ref="F166:F168"/>
    <mergeCell ref="A167:B167"/>
    <mergeCell ref="C167:D167"/>
    <mergeCell ref="A168:B168"/>
    <mergeCell ref="C168:D168"/>
    <mergeCell ref="A169:B169"/>
    <mergeCell ref="C169:D169"/>
    <mergeCell ref="F169:F171"/>
    <mergeCell ref="A170:B170"/>
    <mergeCell ref="C170:D170"/>
    <mergeCell ref="A171:B171"/>
    <mergeCell ref="C171:D171"/>
    <mergeCell ref="A172:B172"/>
    <mergeCell ref="C172:D172"/>
    <mergeCell ref="F172:F174"/>
    <mergeCell ref="A173:B173"/>
    <mergeCell ref="C173:D173"/>
    <mergeCell ref="A174:B174"/>
    <mergeCell ref="C174:D174"/>
    <mergeCell ref="A175:B175"/>
    <mergeCell ref="C175:D175"/>
    <mergeCell ref="F175:F177"/>
    <mergeCell ref="A176:B176"/>
    <mergeCell ref="C176:D176"/>
    <mergeCell ref="A177:B177"/>
    <mergeCell ref="C177:D177"/>
    <mergeCell ref="A178:B178"/>
    <mergeCell ref="C178:D178"/>
    <mergeCell ref="F178:F180"/>
    <mergeCell ref="A179:B179"/>
    <mergeCell ref="C179:D179"/>
    <mergeCell ref="A180:B180"/>
    <mergeCell ref="C180:D180"/>
    <mergeCell ref="A181:B181"/>
    <mergeCell ref="C181:D181"/>
    <mergeCell ref="F181:F183"/>
    <mergeCell ref="A182:B182"/>
    <mergeCell ref="C182:D182"/>
    <mergeCell ref="A183:B183"/>
    <mergeCell ref="C183:D183"/>
    <mergeCell ref="A184:B184"/>
    <mergeCell ref="C184:D184"/>
    <mergeCell ref="F184:F186"/>
    <mergeCell ref="A185:B185"/>
    <mergeCell ref="C185:D185"/>
    <mergeCell ref="A186:B186"/>
    <mergeCell ref="C186:D186"/>
    <mergeCell ref="A187:B187"/>
    <mergeCell ref="C187:D187"/>
    <mergeCell ref="F187:F189"/>
    <mergeCell ref="A188:B188"/>
    <mergeCell ref="C188:D188"/>
    <mergeCell ref="A189:B189"/>
    <mergeCell ref="C189:D189"/>
    <mergeCell ref="A190:B190"/>
    <mergeCell ref="C190:D190"/>
    <mergeCell ref="F190:F192"/>
    <mergeCell ref="A191:B191"/>
    <mergeCell ref="C191:D191"/>
    <mergeCell ref="A192:B192"/>
    <mergeCell ref="C192:D192"/>
    <mergeCell ref="A193:B193"/>
    <mergeCell ref="C193:D193"/>
    <mergeCell ref="F193:F195"/>
    <mergeCell ref="A194:B194"/>
    <mergeCell ref="C194:D194"/>
    <mergeCell ref="A195:B195"/>
    <mergeCell ref="C195:D195"/>
    <mergeCell ref="A196:B196"/>
    <mergeCell ref="C196:D196"/>
    <mergeCell ref="F196:F198"/>
    <mergeCell ref="A197:B197"/>
    <mergeCell ref="C197:D197"/>
    <mergeCell ref="A198:B198"/>
    <mergeCell ref="C198:D198"/>
    <mergeCell ref="A199:B199"/>
    <mergeCell ref="C199:D199"/>
    <mergeCell ref="F199:F201"/>
    <mergeCell ref="A200:B200"/>
    <mergeCell ref="C200:D200"/>
    <mergeCell ref="A201:B201"/>
    <mergeCell ref="C201:D201"/>
    <mergeCell ref="A202:B202"/>
    <mergeCell ref="C202:D202"/>
    <mergeCell ref="F202:F204"/>
    <mergeCell ref="A203:B203"/>
    <mergeCell ref="C203:D203"/>
    <mergeCell ref="A204:B204"/>
    <mergeCell ref="C204:D204"/>
    <mergeCell ref="A205:B205"/>
    <mergeCell ref="C205:D205"/>
    <mergeCell ref="F205:F207"/>
    <mergeCell ref="A206:B206"/>
    <mergeCell ref="C206:D206"/>
    <mergeCell ref="A207:B207"/>
    <mergeCell ref="C207:D207"/>
    <mergeCell ref="A208:B208"/>
    <mergeCell ref="C208:D208"/>
    <mergeCell ref="F208:F210"/>
    <mergeCell ref="A209:B209"/>
    <mergeCell ref="C209:D209"/>
    <mergeCell ref="A210:B210"/>
    <mergeCell ref="C210:D210"/>
    <mergeCell ref="A211:B211"/>
    <mergeCell ref="C211:D211"/>
    <mergeCell ref="F211:F213"/>
    <mergeCell ref="A212:B212"/>
    <mergeCell ref="C212:D212"/>
    <mergeCell ref="A213:B213"/>
    <mergeCell ref="C213:D213"/>
    <mergeCell ref="A214:B214"/>
    <mergeCell ref="C214:D214"/>
    <mergeCell ref="F214:F216"/>
    <mergeCell ref="A215:B215"/>
    <mergeCell ref="C215:D215"/>
    <mergeCell ref="A216:B216"/>
    <mergeCell ref="C216:D216"/>
    <mergeCell ref="A217:B217"/>
    <mergeCell ref="C217:D217"/>
    <mergeCell ref="F217:F219"/>
    <mergeCell ref="A218:B218"/>
    <mergeCell ref="C218:D218"/>
    <mergeCell ref="A219:B219"/>
    <mergeCell ref="C219:D219"/>
    <mergeCell ref="A220:B220"/>
    <mergeCell ref="C220:D220"/>
    <mergeCell ref="F220:F222"/>
    <mergeCell ref="A221:B221"/>
    <mergeCell ref="C221:D221"/>
    <mergeCell ref="A222:B222"/>
    <mergeCell ref="C222:D222"/>
    <mergeCell ref="A223:B223"/>
    <mergeCell ref="C223:D223"/>
    <mergeCell ref="F223:F225"/>
    <mergeCell ref="A224:B224"/>
    <mergeCell ref="C224:D224"/>
    <mergeCell ref="A225:B225"/>
    <mergeCell ref="C225:D225"/>
    <mergeCell ref="A226:B226"/>
    <mergeCell ref="C226:D226"/>
    <mergeCell ref="F226:F228"/>
    <mergeCell ref="A227:B227"/>
    <mergeCell ref="C227:D227"/>
    <mergeCell ref="A228:B228"/>
    <mergeCell ref="C228:D228"/>
    <mergeCell ref="A229:B229"/>
    <mergeCell ref="C229:D229"/>
    <mergeCell ref="F229:F231"/>
    <mergeCell ref="A230:B230"/>
    <mergeCell ref="C230:D230"/>
    <mergeCell ref="A231:B231"/>
    <mergeCell ref="C231:D231"/>
    <mergeCell ref="A232:B232"/>
    <mergeCell ref="C232:D232"/>
    <mergeCell ref="F232:F234"/>
    <mergeCell ref="A233:B233"/>
    <mergeCell ref="C233:D233"/>
    <mergeCell ref="A234:B234"/>
    <mergeCell ref="C234:D234"/>
    <mergeCell ref="A235:B235"/>
    <mergeCell ref="C235:D235"/>
    <mergeCell ref="F235:F237"/>
    <mergeCell ref="A236:B236"/>
    <mergeCell ref="C236:D236"/>
    <mergeCell ref="A237:B237"/>
    <mergeCell ref="C237:D237"/>
    <mergeCell ref="A238:B238"/>
    <mergeCell ref="C238:D238"/>
    <mergeCell ref="F238:F240"/>
    <mergeCell ref="A239:B239"/>
    <mergeCell ref="C239:D239"/>
    <mergeCell ref="A240:B240"/>
    <mergeCell ref="C240:D240"/>
    <mergeCell ref="A241:B241"/>
    <mergeCell ref="C241:D241"/>
    <mergeCell ref="F241:F243"/>
    <mergeCell ref="A242:B242"/>
    <mergeCell ref="C242:D242"/>
    <mergeCell ref="A243:B243"/>
    <mergeCell ref="C243:D243"/>
    <mergeCell ref="A244:B244"/>
    <mergeCell ref="C244:D244"/>
    <mergeCell ref="F244:F246"/>
    <mergeCell ref="A245:B245"/>
    <mergeCell ref="C245:D245"/>
    <mergeCell ref="A246:B246"/>
    <mergeCell ref="C246:D246"/>
    <mergeCell ref="A248:F250"/>
    <mergeCell ref="A252:B252"/>
    <mergeCell ref="C252:D252"/>
    <mergeCell ref="F252:F254"/>
    <mergeCell ref="A253:B253"/>
    <mergeCell ref="C253:D253"/>
    <mergeCell ref="A254:B254"/>
    <mergeCell ref="C254:D254"/>
    <mergeCell ref="A256:F258"/>
    <mergeCell ref="A260:B260"/>
    <mergeCell ref="C260:D260"/>
    <mergeCell ref="E260:F262"/>
    <mergeCell ref="A261:B261"/>
    <mergeCell ref="C261:D261"/>
    <mergeCell ref="A262:B262"/>
    <mergeCell ref="C262:D262"/>
    <mergeCell ref="A263:B263"/>
    <mergeCell ref="C263:D263"/>
    <mergeCell ref="E263:F265"/>
    <mergeCell ref="A264:B264"/>
    <mergeCell ref="C264:D264"/>
    <mergeCell ref="A265:B265"/>
    <mergeCell ref="C265:D265"/>
    <mergeCell ref="A266:B266"/>
    <mergeCell ref="C266:D266"/>
    <mergeCell ref="E266:F268"/>
    <mergeCell ref="A267:B267"/>
    <mergeCell ref="C267:D267"/>
    <mergeCell ref="A268:B268"/>
    <mergeCell ref="C268:D268"/>
    <mergeCell ref="A269:B269"/>
    <mergeCell ref="C269:D269"/>
    <mergeCell ref="E269:F271"/>
    <mergeCell ref="A270:B270"/>
    <mergeCell ref="C270:D270"/>
    <mergeCell ref="A271:B271"/>
    <mergeCell ref="C271:D271"/>
    <mergeCell ref="A272:B272"/>
    <mergeCell ref="C272:D272"/>
    <mergeCell ref="E272:F274"/>
    <mergeCell ref="A273:B273"/>
    <mergeCell ref="C273:D273"/>
    <mergeCell ref="A274:B274"/>
    <mergeCell ref="C274:D274"/>
    <mergeCell ref="A275:B275"/>
    <mergeCell ref="C275:D275"/>
    <mergeCell ref="E275:F277"/>
    <mergeCell ref="A276:B276"/>
    <mergeCell ref="C276:D276"/>
    <mergeCell ref="A277:B277"/>
    <mergeCell ref="C277:D277"/>
    <mergeCell ref="A278:B278"/>
    <mergeCell ref="C278:D278"/>
    <mergeCell ref="E278:F280"/>
    <mergeCell ref="A279:B279"/>
    <mergeCell ref="C279:D279"/>
    <mergeCell ref="A280:B280"/>
    <mergeCell ref="C280:D280"/>
    <mergeCell ref="A281:B281"/>
    <mergeCell ref="C281:D281"/>
    <mergeCell ref="E281:F283"/>
    <mergeCell ref="A282:B282"/>
    <mergeCell ref="C282:D282"/>
    <mergeCell ref="A283:B283"/>
    <mergeCell ref="C283:D283"/>
    <mergeCell ref="A284:B284"/>
    <mergeCell ref="C284:D284"/>
    <mergeCell ref="E284:F286"/>
    <mergeCell ref="A285:B285"/>
    <mergeCell ref="C285:D285"/>
    <mergeCell ref="A286:B286"/>
    <mergeCell ref="C286:D286"/>
    <mergeCell ref="A287:B287"/>
    <mergeCell ref="C287:D287"/>
    <mergeCell ref="E287:F289"/>
    <mergeCell ref="A288:B288"/>
    <mergeCell ref="C288:D288"/>
    <mergeCell ref="A289:B289"/>
    <mergeCell ref="C289:D289"/>
    <mergeCell ref="A290:B290"/>
    <mergeCell ref="C290:D290"/>
    <mergeCell ref="E290:F292"/>
    <mergeCell ref="A291:B291"/>
    <mergeCell ref="C291:D291"/>
    <mergeCell ref="A292:B292"/>
    <mergeCell ref="C292:D292"/>
    <mergeCell ref="A293:B293"/>
    <mergeCell ref="C293:D293"/>
    <mergeCell ref="E293:F295"/>
    <mergeCell ref="A294:B294"/>
    <mergeCell ref="C294:D294"/>
    <mergeCell ref="A295:B295"/>
    <mergeCell ref="C295:D295"/>
    <mergeCell ref="A296:B296"/>
    <mergeCell ref="C296:D296"/>
    <mergeCell ref="E296:F298"/>
    <mergeCell ref="A297:B297"/>
    <mergeCell ref="C297:D297"/>
    <mergeCell ref="A298:B298"/>
    <mergeCell ref="C298:D298"/>
    <mergeCell ref="A299:B299"/>
    <mergeCell ref="C299:D299"/>
    <mergeCell ref="E299:F301"/>
    <mergeCell ref="A300:B300"/>
    <mergeCell ref="C300:D300"/>
    <mergeCell ref="A301:B301"/>
    <mergeCell ref="C301:D301"/>
    <mergeCell ref="A302:B302"/>
    <mergeCell ref="C302:D302"/>
    <mergeCell ref="E302:F304"/>
    <mergeCell ref="A303:B303"/>
    <mergeCell ref="C303:D303"/>
    <mergeCell ref="A304:B304"/>
    <mergeCell ref="C304:D304"/>
    <mergeCell ref="A305:B305"/>
    <mergeCell ref="C305:D305"/>
    <mergeCell ref="E305:F307"/>
    <mergeCell ref="A306:B306"/>
    <mergeCell ref="C306:D306"/>
    <mergeCell ref="A307:B307"/>
    <mergeCell ref="C307:D307"/>
    <mergeCell ref="A308:B308"/>
    <mergeCell ref="C308:D308"/>
    <mergeCell ref="E308:F310"/>
    <mergeCell ref="A309:B309"/>
    <mergeCell ref="C309:D309"/>
    <mergeCell ref="A310:B310"/>
    <mergeCell ref="C310:D310"/>
    <mergeCell ref="A311:B311"/>
    <mergeCell ref="C311:D311"/>
    <mergeCell ref="E311:F313"/>
    <mergeCell ref="A312:B312"/>
    <mergeCell ref="C312:D312"/>
    <mergeCell ref="A313:B313"/>
    <mergeCell ref="C313:D313"/>
    <mergeCell ref="A314:B314"/>
    <mergeCell ref="C314:D314"/>
    <mergeCell ref="E314:F316"/>
    <mergeCell ref="A315:B315"/>
    <mergeCell ref="C315:D315"/>
    <mergeCell ref="A316:B316"/>
    <mergeCell ref="C316:D316"/>
    <mergeCell ref="A317:B317"/>
    <mergeCell ref="C317:D317"/>
    <mergeCell ref="E317:F319"/>
    <mergeCell ref="A318:B318"/>
    <mergeCell ref="C318:D318"/>
    <mergeCell ref="A319:B319"/>
    <mergeCell ref="C319:D319"/>
    <mergeCell ref="A320:B320"/>
    <mergeCell ref="C320:D320"/>
    <mergeCell ref="E320:F322"/>
    <mergeCell ref="A321:B321"/>
    <mergeCell ref="C321:D321"/>
    <mergeCell ref="A322:B322"/>
    <mergeCell ref="C322:D322"/>
    <mergeCell ref="A323:B323"/>
    <mergeCell ref="C323:D323"/>
    <mergeCell ref="E323:F325"/>
    <mergeCell ref="A324:B324"/>
    <mergeCell ref="C324:D324"/>
    <mergeCell ref="A325:B325"/>
    <mergeCell ref="C325:D325"/>
    <mergeCell ref="A326:B326"/>
    <mergeCell ref="C326:D326"/>
    <mergeCell ref="E326:F328"/>
    <mergeCell ref="A327:B327"/>
    <mergeCell ref="C327:D327"/>
    <mergeCell ref="A328:B328"/>
    <mergeCell ref="C328:D328"/>
    <mergeCell ref="A329:B329"/>
    <mergeCell ref="C329:D329"/>
    <mergeCell ref="E329:F331"/>
    <mergeCell ref="A330:B330"/>
    <mergeCell ref="C330:D330"/>
    <mergeCell ref="A331:B331"/>
    <mergeCell ref="C331:D331"/>
    <mergeCell ref="A332:B332"/>
    <mergeCell ref="C332:D332"/>
    <mergeCell ref="E332:F334"/>
    <mergeCell ref="A333:B333"/>
    <mergeCell ref="C333:D333"/>
    <mergeCell ref="A334:B334"/>
    <mergeCell ref="C334:D334"/>
    <mergeCell ref="A335:B335"/>
    <mergeCell ref="C335:D335"/>
    <mergeCell ref="E335:F337"/>
    <mergeCell ref="A336:B336"/>
    <mergeCell ref="C336:D336"/>
    <mergeCell ref="A337:B337"/>
    <mergeCell ref="C337:D337"/>
    <mergeCell ref="A338:B338"/>
    <mergeCell ref="C338:D338"/>
    <mergeCell ref="E338:F340"/>
    <mergeCell ref="A339:B339"/>
    <mergeCell ref="C339:D339"/>
    <mergeCell ref="A340:B340"/>
    <mergeCell ref="C340:D340"/>
    <mergeCell ref="A341:B341"/>
    <mergeCell ref="C341:D341"/>
    <mergeCell ref="E341:F343"/>
    <mergeCell ref="A342:B342"/>
    <mergeCell ref="C342:D342"/>
    <mergeCell ref="A343:B343"/>
    <mergeCell ref="C343:D343"/>
    <mergeCell ref="A344:B344"/>
    <mergeCell ref="C344:D344"/>
    <mergeCell ref="E344:F346"/>
    <mergeCell ref="A345:B345"/>
    <mergeCell ref="C345:D345"/>
    <mergeCell ref="A346:B346"/>
    <mergeCell ref="C346:D346"/>
    <mergeCell ref="A347:B347"/>
    <mergeCell ref="C347:D347"/>
    <mergeCell ref="E347:F349"/>
    <mergeCell ref="A348:B348"/>
    <mergeCell ref="C348:D348"/>
    <mergeCell ref="A349:B349"/>
    <mergeCell ref="C349:D349"/>
    <mergeCell ref="A350:B350"/>
    <mergeCell ref="C350:D350"/>
    <mergeCell ref="E350:F352"/>
    <mergeCell ref="A351:B351"/>
    <mergeCell ref="C351:D351"/>
    <mergeCell ref="A352:B352"/>
    <mergeCell ref="C352:D352"/>
    <mergeCell ref="A353:B353"/>
    <mergeCell ref="C353:D353"/>
    <mergeCell ref="E353:F355"/>
    <mergeCell ref="A354:B354"/>
    <mergeCell ref="C354:D354"/>
    <mergeCell ref="A355:B355"/>
    <mergeCell ref="C355:D355"/>
    <mergeCell ref="A356:B356"/>
    <mergeCell ref="C356:D356"/>
    <mergeCell ref="E356:F358"/>
    <mergeCell ref="A357:B357"/>
    <mergeCell ref="C357:D357"/>
    <mergeCell ref="A358:B358"/>
    <mergeCell ref="C358:D358"/>
    <mergeCell ref="A359:B359"/>
    <mergeCell ref="C359:D359"/>
    <mergeCell ref="E359:F361"/>
    <mergeCell ref="A360:B360"/>
    <mergeCell ref="C360:D360"/>
    <mergeCell ref="A361:B361"/>
    <mergeCell ref="C361:D361"/>
    <mergeCell ref="A362:B362"/>
    <mergeCell ref="C362:D362"/>
    <mergeCell ref="E362:F364"/>
    <mergeCell ref="A363:B363"/>
    <mergeCell ref="C363:D363"/>
    <mergeCell ref="A364:B364"/>
    <mergeCell ref="C364:D364"/>
    <mergeCell ref="A365:B365"/>
    <mergeCell ref="C365:D365"/>
    <mergeCell ref="E365:F367"/>
    <mergeCell ref="A366:B366"/>
    <mergeCell ref="C366:D366"/>
    <mergeCell ref="A367:B367"/>
    <mergeCell ref="C367:D367"/>
    <mergeCell ref="A368:B368"/>
    <mergeCell ref="C368:D368"/>
    <mergeCell ref="E368:F370"/>
    <mergeCell ref="A369:B369"/>
    <mergeCell ref="C369:D369"/>
    <mergeCell ref="A370:B370"/>
    <mergeCell ref="C370:D370"/>
    <mergeCell ref="A371:B371"/>
    <mergeCell ref="C371:D371"/>
    <mergeCell ref="E371:F373"/>
    <mergeCell ref="A372:B372"/>
    <mergeCell ref="C372:D372"/>
    <mergeCell ref="A373:B373"/>
    <mergeCell ref="C373:D373"/>
    <mergeCell ref="A374:B374"/>
    <mergeCell ref="C374:D374"/>
    <mergeCell ref="E374:F376"/>
    <mergeCell ref="A375:B375"/>
    <mergeCell ref="C375:D375"/>
    <mergeCell ref="A376:B376"/>
    <mergeCell ref="C376:D376"/>
    <mergeCell ref="A377:B377"/>
    <mergeCell ref="C377:D377"/>
    <mergeCell ref="E377:F379"/>
    <mergeCell ref="A378:B378"/>
    <mergeCell ref="C378:D378"/>
    <mergeCell ref="A379:B379"/>
    <mergeCell ref="C379:D379"/>
    <mergeCell ref="A380:B380"/>
    <mergeCell ref="C380:D380"/>
    <mergeCell ref="E380:F382"/>
    <mergeCell ref="A381:B381"/>
    <mergeCell ref="C381:D381"/>
    <mergeCell ref="A382:B382"/>
    <mergeCell ref="C382:D382"/>
    <mergeCell ref="A383:B383"/>
    <mergeCell ref="C383:D383"/>
    <mergeCell ref="E383:F385"/>
    <mergeCell ref="A384:B384"/>
    <mergeCell ref="C384:D384"/>
    <mergeCell ref="A385:B385"/>
    <mergeCell ref="C385:D385"/>
    <mergeCell ref="A386:B386"/>
    <mergeCell ref="C386:D386"/>
    <mergeCell ref="E386:F388"/>
    <mergeCell ref="A387:B387"/>
    <mergeCell ref="C387:D387"/>
    <mergeCell ref="A388:B388"/>
    <mergeCell ref="C388:D388"/>
    <mergeCell ref="A389:B389"/>
    <mergeCell ref="C389:D389"/>
    <mergeCell ref="E389:F391"/>
    <mergeCell ref="A390:B390"/>
    <mergeCell ref="C390:D390"/>
    <mergeCell ref="A391:B391"/>
    <mergeCell ref="C391:D391"/>
    <mergeCell ref="A392:B392"/>
    <mergeCell ref="C392:D392"/>
    <mergeCell ref="E392:F394"/>
    <mergeCell ref="A393:B393"/>
    <mergeCell ref="C393:D393"/>
    <mergeCell ref="A394:B394"/>
    <mergeCell ref="C394:D394"/>
    <mergeCell ref="A395:B395"/>
    <mergeCell ref="C395:D395"/>
    <mergeCell ref="E395:F397"/>
    <mergeCell ref="A396:B396"/>
    <mergeCell ref="C396:D396"/>
    <mergeCell ref="A397:B397"/>
    <mergeCell ref="C397:D397"/>
    <mergeCell ref="A398:B398"/>
    <mergeCell ref="C398:D398"/>
    <mergeCell ref="E398:F400"/>
    <mergeCell ref="A399:B399"/>
    <mergeCell ref="C399:D399"/>
    <mergeCell ref="A400:B400"/>
    <mergeCell ref="C400:D400"/>
    <mergeCell ref="A401:B401"/>
    <mergeCell ref="C401:D401"/>
    <mergeCell ref="E401:F403"/>
    <mergeCell ref="A402:B402"/>
    <mergeCell ref="C402:D402"/>
    <mergeCell ref="A403:B403"/>
    <mergeCell ref="C403:D403"/>
    <mergeCell ref="A404:B404"/>
    <mergeCell ref="C404:D404"/>
    <mergeCell ref="E404:F406"/>
    <mergeCell ref="A405:B405"/>
    <mergeCell ref="C405:D405"/>
    <mergeCell ref="A406:B406"/>
    <mergeCell ref="C406:D406"/>
    <mergeCell ref="A407:B407"/>
    <mergeCell ref="C407:D407"/>
    <mergeCell ref="E407:F409"/>
    <mergeCell ref="A408:B408"/>
    <mergeCell ref="C408:D408"/>
    <mergeCell ref="A409:B409"/>
    <mergeCell ref="C409:D409"/>
    <mergeCell ref="A410:B410"/>
    <mergeCell ref="C410:D410"/>
    <mergeCell ref="E410:F412"/>
    <mergeCell ref="A411:B411"/>
    <mergeCell ref="C411:D411"/>
    <mergeCell ref="A412:B412"/>
    <mergeCell ref="C412:D412"/>
    <mergeCell ref="A413:B413"/>
    <mergeCell ref="C413:D413"/>
    <mergeCell ref="E413:F415"/>
    <mergeCell ref="A414:B414"/>
    <mergeCell ref="C414:D414"/>
    <mergeCell ref="A415:B415"/>
    <mergeCell ref="C415:D415"/>
    <mergeCell ref="A416:B416"/>
    <mergeCell ref="C416:D416"/>
    <mergeCell ref="E416:F418"/>
    <mergeCell ref="A417:B417"/>
    <mergeCell ref="C417:D417"/>
    <mergeCell ref="A418:B418"/>
    <mergeCell ref="C418:D418"/>
    <mergeCell ref="A423:F425"/>
    <mergeCell ref="A419:B419"/>
    <mergeCell ref="C419:D419"/>
    <mergeCell ref="E419:F421"/>
    <mergeCell ref="A420:B420"/>
    <mergeCell ref="C420:D420"/>
    <mergeCell ref="A421:B421"/>
    <mergeCell ref="C421:D421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54"/>
  <sheetViews>
    <sheetView view="pageBreakPreview" zoomScaleSheetLayoutView="100" zoomScalePageLayoutView="0" workbookViewId="0" topLeftCell="A278">
      <selection activeCell="N1" sqref="A1:N354"/>
    </sheetView>
  </sheetViews>
  <sheetFormatPr defaultColWidth="8.796875" defaultRowHeight="14.25"/>
  <cols>
    <col min="1" max="1" width="3.59765625" style="37" customWidth="1"/>
    <col min="2" max="2" width="6.69921875" style="3" customWidth="1"/>
    <col min="3" max="3" width="34.69921875" style="3" customWidth="1"/>
    <col min="4" max="4" width="2.19921875" style="37" customWidth="1"/>
    <col min="5" max="6" width="12.5" style="3" customWidth="1"/>
    <col min="7" max="7" width="11.3984375" style="3" customWidth="1"/>
    <col min="8" max="8" width="2.09765625" style="3" customWidth="1"/>
    <col min="9" max="9" width="39.8984375" style="3" customWidth="1"/>
    <col min="10" max="10" width="2.19921875" style="37" customWidth="1"/>
    <col min="11" max="11" width="13.09765625" style="3" customWidth="1"/>
    <col min="12" max="12" width="13" style="3" customWidth="1"/>
    <col min="13" max="14" width="11.19921875" style="3" customWidth="1"/>
    <col min="15" max="16384" width="9" style="3" customWidth="1"/>
  </cols>
  <sheetData>
    <row r="1" spans="1:37" s="430" customFormat="1" ht="17.25" customHeight="1">
      <c r="A1" s="428"/>
      <c r="D1" s="428"/>
      <c r="J1" s="431"/>
      <c r="K1" s="431" t="s">
        <v>443</v>
      </c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</row>
    <row r="2" spans="1:37" s="430" customFormat="1" ht="17.25" customHeight="1">
      <c r="A2" s="428"/>
      <c r="D2" s="428"/>
      <c r="J2" s="431"/>
      <c r="K2" s="431" t="s">
        <v>440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</row>
    <row r="3" spans="1:37" s="430" customFormat="1" ht="17.25" customHeight="1">
      <c r="A3" s="428"/>
      <c r="D3" s="428"/>
      <c r="J3" s="431"/>
      <c r="K3" s="431" t="s">
        <v>441</v>
      </c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</row>
    <row r="4" spans="1:37" s="32" customFormat="1" ht="12.75">
      <c r="A4" s="31"/>
      <c r="D4" s="31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16" s="34" customFormat="1" ht="40.5" customHeight="1">
      <c r="A5" s="1422" t="s">
        <v>67</v>
      </c>
      <c r="B5" s="1422"/>
      <c r="C5" s="1422"/>
      <c r="D5" s="1422"/>
      <c r="E5" s="1422"/>
      <c r="F5" s="1422"/>
      <c r="G5" s="1422"/>
      <c r="H5" s="1422"/>
      <c r="I5" s="1422"/>
      <c r="J5" s="1422"/>
      <c r="K5" s="1422"/>
      <c r="L5" s="1422"/>
      <c r="M5" s="1422"/>
      <c r="N5" s="1422"/>
      <c r="O5" s="35"/>
      <c r="P5" s="35"/>
    </row>
    <row r="6" ht="22.5" customHeight="1" thickBot="1">
      <c r="N6" s="429" t="s">
        <v>0</v>
      </c>
    </row>
    <row r="7" spans="1:14" s="119" customFormat="1" ht="12.75" customHeight="1">
      <c r="A7" s="1423" t="s">
        <v>54</v>
      </c>
      <c r="B7" s="1426" t="s">
        <v>182</v>
      </c>
      <c r="C7" s="1360" t="s">
        <v>183</v>
      </c>
      <c r="D7" s="1427" t="s">
        <v>18</v>
      </c>
      <c r="E7" s="1360" t="s">
        <v>184</v>
      </c>
      <c r="F7" s="1360"/>
      <c r="G7" s="1430"/>
      <c r="H7" s="118"/>
      <c r="I7" s="1360" t="s">
        <v>183</v>
      </c>
      <c r="J7" s="1431" t="s">
        <v>18</v>
      </c>
      <c r="K7" s="1434" t="s">
        <v>185</v>
      </c>
      <c r="L7" s="1434"/>
      <c r="M7" s="1434"/>
      <c r="N7" s="1435"/>
    </row>
    <row r="8" spans="1:14" s="119" customFormat="1" ht="14.25" customHeight="1">
      <c r="A8" s="1424"/>
      <c r="B8" s="1416"/>
      <c r="C8" s="1361"/>
      <c r="D8" s="1428"/>
      <c r="E8" s="1361" t="s">
        <v>186</v>
      </c>
      <c r="F8" s="1414" t="s">
        <v>187</v>
      </c>
      <c r="G8" s="1415"/>
      <c r="H8" s="121"/>
      <c r="I8" s="1361"/>
      <c r="J8" s="1432"/>
      <c r="K8" s="1416" t="s">
        <v>186</v>
      </c>
      <c r="L8" s="1414" t="s">
        <v>187</v>
      </c>
      <c r="M8" s="1415"/>
      <c r="N8" s="1418"/>
    </row>
    <row r="9" spans="1:14" s="119" customFormat="1" ht="26.25" thickBot="1">
      <c r="A9" s="1425"/>
      <c r="B9" s="1417"/>
      <c r="C9" s="1362"/>
      <c r="D9" s="1429"/>
      <c r="E9" s="1362"/>
      <c r="F9" s="122" t="s">
        <v>188</v>
      </c>
      <c r="G9" s="123" t="s">
        <v>189</v>
      </c>
      <c r="H9" s="124"/>
      <c r="I9" s="1362"/>
      <c r="J9" s="1433"/>
      <c r="K9" s="1417"/>
      <c r="L9" s="122" t="s">
        <v>188</v>
      </c>
      <c r="M9" s="122" t="s">
        <v>189</v>
      </c>
      <c r="N9" s="125" t="s">
        <v>190</v>
      </c>
    </row>
    <row r="10" spans="1:14" s="131" customFormat="1" ht="14.25" customHeight="1">
      <c r="A10" s="126">
        <v>1</v>
      </c>
      <c r="B10" s="127">
        <v>2</v>
      </c>
      <c r="C10" s="126">
        <v>3</v>
      </c>
      <c r="D10" s="128"/>
      <c r="E10" s="126">
        <v>4</v>
      </c>
      <c r="F10" s="126">
        <v>5</v>
      </c>
      <c r="G10" s="129">
        <v>6</v>
      </c>
      <c r="H10" s="121"/>
      <c r="I10" s="126">
        <v>7</v>
      </c>
      <c r="J10" s="130"/>
      <c r="K10" s="127">
        <v>8</v>
      </c>
      <c r="L10" s="126">
        <v>9</v>
      </c>
      <c r="M10" s="126">
        <v>10</v>
      </c>
      <c r="N10" s="126">
        <v>11</v>
      </c>
    </row>
    <row r="11" spans="1:14" ht="13.5" thickBot="1">
      <c r="A11" s="132"/>
      <c r="B11" s="133"/>
      <c r="C11" s="134"/>
      <c r="D11" s="135"/>
      <c r="E11" s="136"/>
      <c r="F11" s="136"/>
      <c r="G11" s="137"/>
      <c r="H11" s="121"/>
      <c r="I11" s="134"/>
      <c r="J11" s="138"/>
      <c r="K11" s="139"/>
      <c r="L11" s="136"/>
      <c r="M11" s="136"/>
      <c r="N11" s="136"/>
    </row>
    <row r="12" spans="1:14" s="144" customFormat="1" ht="19.5" customHeight="1">
      <c r="A12" s="1351"/>
      <c r="B12" s="1354"/>
      <c r="C12" s="1419" t="s">
        <v>19</v>
      </c>
      <c r="D12" s="141" t="s">
        <v>20</v>
      </c>
      <c r="E12" s="142">
        <f aca="true" t="shared" si="0" ref="E12:G13">E16+E88+E116+E144+E180+E196+E224+E244+E304</f>
        <v>50465000</v>
      </c>
      <c r="F12" s="142">
        <f t="shared" si="0"/>
        <v>49065000</v>
      </c>
      <c r="G12" s="142">
        <f t="shared" si="0"/>
        <v>1400000</v>
      </c>
      <c r="H12" s="1360"/>
      <c r="I12" s="1357" t="s">
        <v>19</v>
      </c>
      <c r="J12" s="140" t="s">
        <v>20</v>
      </c>
      <c r="K12" s="142">
        <f aca="true" t="shared" si="1" ref="K12:N13">K16+K88+K116+K144+K180+K196+K224+K244+K304</f>
        <v>50735531</v>
      </c>
      <c r="L12" s="142">
        <f t="shared" si="1"/>
        <v>49065000</v>
      </c>
      <c r="M12" s="142">
        <f t="shared" si="1"/>
        <v>1400000</v>
      </c>
      <c r="N12" s="143">
        <f t="shared" si="1"/>
        <v>270531</v>
      </c>
    </row>
    <row r="13" spans="1:14" s="144" customFormat="1" ht="19.5" customHeight="1">
      <c r="A13" s="1352"/>
      <c r="B13" s="1355"/>
      <c r="C13" s="1420"/>
      <c r="D13" s="146" t="s">
        <v>21</v>
      </c>
      <c r="E13" s="147">
        <f t="shared" si="0"/>
        <v>2101000</v>
      </c>
      <c r="F13" s="147">
        <f t="shared" si="0"/>
        <v>2101000</v>
      </c>
      <c r="G13" s="147">
        <f t="shared" si="0"/>
        <v>0</v>
      </c>
      <c r="H13" s="1361"/>
      <c r="I13" s="1358"/>
      <c r="J13" s="145" t="s">
        <v>21</v>
      </c>
      <c r="K13" s="147">
        <f t="shared" si="1"/>
        <v>2101000</v>
      </c>
      <c r="L13" s="147">
        <f t="shared" si="1"/>
        <v>2101000</v>
      </c>
      <c r="M13" s="147">
        <f t="shared" si="1"/>
        <v>0</v>
      </c>
      <c r="N13" s="148">
        <f t="shared" si="1"/>
        <v>0</v>
      </c>
    </row>
    <row r="14" spans="1:14" s="144" customFormat="1" ht="19.5" customHeight="1" thickBot="1">
      <c r="A14" s="1353"/>
      <c r="B14" s="1356"/>
      <c r="C14" s="1421"/>
      <c r="D14" s="150" t="s">
        <v>22</v>
      </c>
      <c r="E14" s="151">
        <f>E12+E13</f>
        <v>52566000</v>
      </c>
      <c r="F14" s="151">
        <f>F12+F13</f>
        <v>51166000</v>
      </c>
      <c r="G14" s="151">
        <f>G12+G13</f>
        <v>1400000</v>
      </c>
      <c r="H14" s="1362"/>
      <c r="I14" s="1359"/>
      <c r="J14" s="149" t="s">
        <v>22</v>
      </c>
      <c r="K14" s="151">
        <f>K12+K13</f>
        <v>52836531</v>
      </c>
      <c r="L14" s="151">
        <f>L12+L13</f>
        <v>51166000</v>
      </c>
      <c r="M14" s="151">
        <f>M12+M13</f>
        <v>1400000</v>
      </c>
      <c r="N14" s="152">
        <f>N12+N13</f>
        <v>270531</v>
      </c>
    </row>
    <row r="15" spans="1:14" ht="13.5" hidden="1" thickBot="1">
      <c r="A15" s="153"/>
      <c r="B15" s="154"/>
      <c r="C15" s="155"/>
      <c r="D15" s="156"/>
      <c r="E15" s="157"/>
      <c r="F15" s="157"/>
      <c r="G15" s="157"/>
      <c r="H15" s="121"/>
      <c r="I15" s="155"/>
      <c r="J15" s="158"/>
      <c r="K15" s="157"/>
      <c r="L15" s="157"/>
      <c r="M15" s="157"/>
      <c r="N15" s="157"/>
    </row>
    <row r="16" spans="1:14" s="163" customFormat="1" ht="14.25" hidden="1">
      <c r="A16" s="1396"/>
      <c r="B16" s="1399" t="s">
        <v>23</v>
      </c>
      <c r="C16" s="1402" t="s">
        <v>24</v>
      </c>
      <c r="D16" s="159" t="s">
        <v>20</v>
      </c>
      <c r="E16" s="160">
        <f aca="true" t="shared" si="2" ref="E16:G17">E20</f>
        <v>7232000</v>
      </c>
      <c r="F16" s="160">
        <f t="shared" si="2"/>
        <v>5832000</v>
      </c>
      <c r="G16" s="160">
        <f t="shared" si="2"/>
        <v>1400000</v>
      </c>
      <c r="H16" s="1360"/>
      <c r="I16" s="1402" t="s">
        <v>24</v>
      </c>
      <c r="J16" s="161" t="s">
        <v>20</v>
      </c>
      <c r="K16" s="160">
        <f aca="true" t="shared" si="3" ref="K16:N17">K20</f>
        <v>7502531</v>
      </c>
      <c r="L16" s="160">
        <f t="shared" si="3"/>
        <v>5832000</v>
      </c>
      <c r="M16" s="160">
        <f t="shared" si="3"/>
        <v>1400000</v>
      </c>
      <c r="N16" s="162">
        <f t="shared" si="3"/>
        <v>270531</v>
      </c>
    </row>
    <row r="17" spans="1:14" s="163" customFormat="1" ht="14.25" hidden="1">
      <c r="A17" s="1397"/>
      <c r="B17" s="1400"/>
      <c r="C17" s="1403"/>
      <c r="D17" s="164" t="s">
        <v>21</v>
      </c>
      <c r="E17" s="165">
        <f t="shared" si="2"/>
        <v>0</v>
      </c>
      <c r="F17" s="165">
        <f t="shared" si="2"/>
        <v>0</v>
      </c>
      <c r="G17" s="165">
        <f t="shared" si="2"/>
        <v>0</v>
      </c>
      <c r="H17" s="1361"/>
      <c r="I17" s="1403"/>
      <c r="J17" s="166" t="s">
        <v>21</v>
      </c>
      <c r="K17" s="165">
        <f t="shared" si="3"/>
        <v>0</v>
      </c>
      <c r="L17" s="165">
        <f t="shared" si="3"/>
        <v>0</v>
      </c>
      <c r="M17" s="165">
        <f t="shared" si="3"/>
        <v>0</v>
      </c>
      <c r="N17" s="167">
        <f t="shared" si="3"/>
        <v>0</v>
      </c>
    </row>
    <row r="18" spans="1:14" s="163" customFormat="1" ht="15" hidden="1" thickBot="1">
      <c r="A18" s="1398"/>
      <c r="B18" s="1401"/>
      <c r="C18" s="1404"/>
      <c r="D18" s="168" t="s">
        <v>22</v>
      </c>
      <c r="E18" s="169">
        <f>E16+E17</f>
        <v>7232000</v>
      </c>
      <c r="F18" s="169">
        <f>F16+F17</f>
        <v>5832000</v>
      </c>
      <c r="G18" s="169">
        <f>G16+G17</f>
        <v>1400000</v>
      </c>
      <c r="H18" s="1362"/>
      <c r="I18" s="1404"/>
      <c r="J18" s="170" t="s">
        <v>22</v>
      </c>
      <c r="K18" s="169">
        <f>K16+K17</f>
        <v>7502531</v>
      </c>
      <c r="L18" s="169">
        <f>L16+L17</f>
        <v>5832000</v>
      </c>
      <c r="M18" s="169">
        <f>M16+M17</f>
        <v>1400000</v>
      </c>
      <c r="N18" s="171">
        <f>N16+N17</f>
        <v>270531</v>
      </c>
    </row>
    <row r="19" spans="1:14" ht="12.75" hidden="1">
      <c r="A19" s="172"/>
      <c r="B19" s="173"/>
      <c r="C19" s="174"/>
      <c r="D19" s="175"/>
      <c r="E19" s="176"/>
      <c r="F19" s="176"/>
      <c r="G19" s="176"/>
      <c r="H19" s="121"/>
      <c r="I19" s="174"/>
      <c r="J19" s="177"/>
      <c r="K19" s="176"/>
      <c r="L19" s="176"/>
      <c r="M19" s="176"/>
      <c r="N19" s="176"/>
    </row>
    <row r="20" spans="1:14" s="181" customFormat="1" ht="12.75" hidden="1">
      <c r="A20" s="1381"/>
      <c r="B20" s="1384" t="s">
        <v>25</v>
      </c>
      <c r="C20" s="1387" t="s">
        <v>191</v>
      </c>
      <c r="D20" s="120" t="s">
        <v>20</v>
      </c>
      <c r="E20" s="179">
        <f aca="true" t="shared" si="4" ref="E20:G21">E24+E40+E52+E64+E72+E80</f>
        <v>7232000</v>
      </c>
      <c r="F20" s="179">
        <f t="shared" si="4"/>
        <v>5832000</v>
      </c>
      <c r="G20" s="179">
        <f t="shared" si="4"/>
        <v>1400000</v>
      </c>
      <c r="H20" s="121"/>
      <c r="I20" s="1387" t="s">
        <v>191</v>
      </c>
      <c r="J20" s="180" t="s">
        <v>20</v>
      </c>
      <c r="K20" s="179">
        <f aca="true" t="shared" si="5" ref="K20:N21">K24+K40+K52+K64+K72+K80</f>
        <v>7502531</v>
      </c>
      <c r="L20" s="179">
        <f t="shared" si="5"/>
        <v>5832000</v>
      </c>
      <c r="M20" s="179">
        <f t="shared" si="5"/>
        <v>1400000</v>
      </c>
      <c r="N20" s="179">
        <f t="shared" si="5"/>
        <v>270531</v>
      </c>
    </row>
    <row r="21" spans="1:14" s="181" customFormat="1" ht="12.75" hidden="1">
      <c r="A21" s="1382"/>
      <c r="B21" s="1385"/>
      <c r="C21" s="1388"/>
      <c r="D21" s="120" t="s">
        <v>21</v>
      </c>
      <c r="E21" s="179">
        <f t="shared" si="4"/>
        <v>0</v>
      </c>
      <c r="F21" s="179">
        <f t="shared" si="4"/>
        <v>0</v>
      </c>
      <c r="G21" s="179">
        <f t="shared" si="4"/>
        <v>0</v>
      </c>
      <c r="H21" s="121"/>
      <c r="I21" s="1388"/>
      <c r="J21" s="180" t="s">
        <v>21</v>
      </c>
      <c r="K21" s="179">
        <f t="shared" si="5"/>
        <v>0</v>
      </c>
      <c r="L21" s="179">
        <f t="shared" si="5"/>
        <v>0</v>
      </c>
      <c r="M21" s="179">
        <f t="shared" si="5"/>
        <v>0</v>
      </c>
      <c r="N21" s="179">
        <f t="shared" si="5"/>
        <v>0</v>
      </c>
    </row>
    <row r="22" spans="1:14" s="181" customFormat="1" ht="12.75" hidden="1">
      <c r="A22" s="1383"/>
      <c r="B22" s="1386"/>
      <c r="C22" s="1389"/>
      <c r="D22" s="120" t="s">
        <v>22</v>
      </c>
      <c r="E22" s="179">
        <f>E20+E21</f>
        <v>7232000</v>
      </c>
      <c r="F22" s="179">
        <f>F20+F21</f>
        <v>5832000</v>
      </c>
      <c r="G22" s="179">
        <f>G20+G21</f>
        <v>1400000</v>
      </c>
      <c r="H22" s="121"/>
      <c r="I22" s="1389"/>
      <c r="J22" s="180" t="s">
        <v>22</v>
      </c>
      <c r="K22" s="179">
        <f>K20+K21</f>
        <v>7502531</v>
      </c>
      <c r="L22" s="179">
        <f>L20+L21</f>
        <v>5832000</v>
      </c>
      <c r="M22" s="179">
        <f>M20+M21</f>
        <v>1400000</v>
      </c>
      <c r="N22" s="179">
        <f>N20+N21</f>
        <v>270531</v>
      </c>
    </row>
    <row r="23" spans="1:14" ht="12.75" hidden="1">
      <c r="A23" s="182"/>
      <c r="B23" s="183"/>
      <c r="C23" s="184"/>
      <c r="D23" s="185"/>
      <c r="E23" s="186"/>
      <c r="F23" s="186"/>
      <c r="G23" s="186"/>
      <c r="H23" s="121"/>
      <c r="I23" s="184"/>
      <c r="J23" s="187"/>
      <c r="K23" s="186"/>
      <c r="L23" s="186"/>
      <c r="M23" s="186"/>
      <c r="N23" s="186"/>
    </row>
    <row r="24" spans="1:14" s="191" customFormat="1" ht="13.5" hidden="1">
      <c r="A24" s="1366">
        <v>1</v>
      </c>
      <c r="B24" s="1369" t="s">
        <v>192</v>
      </c>
      <c r="C24" s="1370"/>
      <c r="D24" s="188" t="s">
        <v>20</v>
      </c>
      <c r="E24" s="189">
        <f aca="true" t="shared" si="6" ref="E24:G25">E28+E32</f>
        <v>4357000</v>
      </c>
      <c r="F24" s="189">
        <f t="shared" si="6"/>
        <v>4357000</v>
      </c>
      <c r="G24" s="189">
        <f t="shared" si="6"/>
        <v>0</v>
      </c>
      <c r="H24" s="121"/>
      <c r="I24" s="1375" t="s">
        <v>192</v>
      </c>
      <c r="J24" s="190" t="s">
        <v>20</v>
      </c>
      <c r="K24" s="189">
        <f aca="true" t="shared" si="7" ref="K24:N25">K28+K32+K36</f>
        <v>4357000</v>
      </c>
      <c r="L24" s="189">
        <f t="shared" si="7"/>
        <v>4357000</v>
      </c>
      <c r="M24" s="189">
        <f t="shared" si="7"/>
        <v>0</v>
      </c>
      <c r="N24" s="189">
        <f t="shared" si="7"/>
        <v>0</v>
      </c>
    </row>
    <row r="25" spans="1:14" s="191" customFormat="1" ht="13.5" hidden="1">
      <c r="A25" s="1367"/>
      <c r="B25" s="1371"/>
      <c r="C25" s="1372"/>
      <c r="D25" s="188" t="s">
        <v>21</v>
      </c>
      <c r="E25" s="189">
        <f t="shared" si="6"/>
        <v>0</v>
      </c>
      <c r="F25" s="189">
        <f t="shared" si="6"/>
        <v>0</v>
      </c>
      <c r="G25" s="189">
        <f t="shared" si="6"/>
        <v>0</v>
      </c>
      <c r="H25" s="121"/>
      <c r="I25" s="1376"/>
      <c r="J25" s="190" t="s">
        <v>21</v>
      </c>
      <c r="K25" s="189">
        <f t="shared" si="7"/>
        <v>0</v>
      </c>
      <c r="L25" s="189">
        <f t="shared" si="7"/>
        <v>0</v>
      </c>
      <c r="M25" s="189">
        <f t="shared" si="7"/>
        <v>0</v>
      </c>
      <c r="N25" s="189">
        <f t="shared" si="7"/>
        <v>0</v>
      </c>
    </row>
    <row r="26" spans="1:14" s="191" customFormat="1" ht="13.5" hidden="1">
      <c r="A26" s="1368"/>
      <c r="B26" s="1373"/>
      <c r="C26" s="1374"/>
      <c r="D26" s="188" t="s">
        <v>22</v>
      </c>
      <c r="E26" s="189">
        <f>E24+E25</f>
        <v>4357000</v>
      </c>
      <c r="F26" s="189">
        <f>F24+F25</f>
        <v>4357000</v>
      </c>
      <c r="G26" s="189">
        <f>G24+G25</f>
        <v>0</v>
      </c>
      <c r="H26" s="121"/>
      <c r="I26" s="1377"/>
      <c r="J26" s="190" t="s">
        <v>22</v>
      </c>
      <c r="K26" s="189">
        <f>K24+K25</f>
        <v>4357000</v>
      </c>
      <c r="L26" s="189">
        <f>L24+L25</f>
        <v>4357000</v>
      </c>
      <c r="M26" s="189">
        <f>M24+M25</f>
        <v>0</v>
      </c>
      <c r="N26" s="189">
        <f>N24+N25</f>
        <v>0</v>
      </c>
    </row>
    <row r="27" spans="1:14" s="195" customFormat="1" ht="13.5" hidden="1">
      <c r="A27" s="192"/>
      <c r="B27" s="193"/>
      <c r="C27" s="193"/>
      <c r="D27" s="188"/>
      <c r="E27" s="194"/>
      <c r="F27" s="194"/>
      <c r="G27" s="194"/>
      <c r="H27" s="121"/>
      <c r="I27" s="193"/>
      <c r="J27" s="190"/>
      <c r="K27" s="194"/>
      <c r="L27" s="194"/>
      <c r="M27" s="194"/>
      <c r="N27" s="194"/>
    </row>
    <row r="28" spans="1:14" ht="12.75" hidden="1">
      <c r="A28" s="1378"/>
      <c r="B28" s="1378"/>
      <c r="C28" s="1347" t="s">
        <v>193</v>
      </c>
      <c r="D28" s="185" t="s">
        <v>20</v>
      </c>
      <c r="E28" s="197">
        <f>F28+G28</f>
        <v>3557000</v>
      </c>
      <c r="F28" s="186">
        <v>3557000</v>
      </c>
      <c r="G28" s="186">
        <v>0</v>
      </c>
      <c r="H28" s="121"/>
      <c r="I28" s="1347" t="s">
        <v>194</v>
      </c>
      <c r="J28" s="187" t="s">
        <v>20</v>
      </c>
      <c r="K28" s="186">
        <f>L28+M28+N28</f>
        <v>1957000</v>
      </c>
      <c r="L28" s="186">
        <v>1957000</v>
      </c>
      <c r="M28" s="186">
        <v>0</v>
      </c>
      <c r="N28" s="186">
        <v>0</v>
      </c>
    </row>
    <row r="29" spans="1:14" ht="12.75" hidden="1">
      <c r="A29" s="1379"/>
      <c r="B29" s="1379"/>
      <c r="C29" s="1348"/>
      <c r="D29" s="185" t="s">
        <v>21</v>
      </c>
      <c r="E29" s="197">
        <f>F29+G29</f>
        <v>0</v>
      </c>
      <c r="F29" s="186"/>
      <c r="G29" s="186"/>
      <c r="H29" s="121"/>
      <c r="I29" s="1348"/>
      <c r="J29" s="187" t="s">
        <v>21</v>
      </c>
      <c r="K29" s="186">
        <f>L29+M29+N29</f>
        <v>0</v>
      </c>
      <c r="L29" s="186"/>
      <c r="M29" s="186"/>
      <c r="N29" s="186"/>
    </row>
    <row r="30" spans="1:14" ht="12.75" hidden="1">
      <c r="A30" s="1380"/>
      <c r="B30" s="1380"/>
      <c r="C30" s="1349"/>
      <c r="D30" s="185" t="s">
        <v>22</v>
      </c>
      <c r="E30" s="197">
        <f>E28+E29</f>
        <v>3557000</v>
      </c>
      <c r="F30" s="197">
        <f>F28+F29</f>
        <v>3557000</v>
      </c>
      <c r="G30" s="197">
        <f>G28+G29</f>
        <v>0</v>
      </c>
      <c r="H30" s="121"/>
      <c r="I30" s="1349"/>
      <c r="J30" s="187" t="s">
        <v>22</v>
      </c>
      <c r="K30" s="186">
        <f>K28+K29</f>
        <v>1957000</v>
      </c>
      <c r="L30" s="186">
        <f>L28+L29</f>
        <v>1957000</v>
      </c>
      <c r="M30" s="186">
        <f>M28+M29</f>
        <v>0</v>
      </c>
      <c r="N30" s="186">
        <f>N28+N29</f>
        <v>0</v>
      </c>
    </row>
    <row r="31" spans="1:14" s="181" customFormat="1" ht="12.75" hidden="1">
      <c r="A31" s="198"/>
      <c r="B31" s="198"/>
      <c r="C31" s="199"/>
      <c r="D31" s="120"/>
      <c r="E31" s="200"/>
      <c r="F31" s="179"/>
      <c r="G31" s="179"/>
      <c r="H31" s="121"/>
      <c r="I31" s="184"/>
      <c r="J31" s="187"/>
      <c r="K31" s="201"/>
      <c r="L31" s="201"/>
      <c r="M31" s="201"/>
      <c r="N31" s="201"/>
    </row>
    <row r="32" spans="1:14" ht="12.75" hidden="1">
      <c r="A32" s="1378"/>
      <c r="B32" s="1378"/>
      <c r="C32" s="1347" t="s">
        <v>195</v>
      </c>
      <c r="D32" s="185" t="s">
        <v>20</v>
      </c>
      <c r="E32" s="197">
        <f>F32+G32</f>
        <v>800000</v>
      </c>
      <c r="F32" s="186">
        <v>800000</v>
      </c>
      <c r="G32" s="186">
        <v>0</v>
      </c>
      <c r="H32" s="121"/>
      <c r="I32" s="1347" t="s">
        <v>196</v>
      </c>
      <c r="J32" s="187" t="s">
        <v>20</v>
      </c>
      <c r="K32" s="186">
        <f>L32+M32+N32</f>
        <v>1600000</v>
      </c>
      <c r="L32" s="186">
        <v>1600000</v>
      </c>
      <c r="M32" s="186">
        <v>0</v>
      </c>
      <c r="N32" s="186">
        <v>0</v>
      </c>
    </row>
    <row r="33" spans="1:14" ht="12.75" hidden="1">
      <c r="A33" s="1379"/>
      <c r="B33" s="1379"/>
      <c r="C33" s="1348"/>
      <c r="D33" s="185" t="s">
        <v>21</v>
      </c>
      <c r="E33" s="197">
        <f>F33+G33</f>
        <v>0</v>
      </c>
      <c r="F33" s="186"/>
      <c r="G33" s="186"/>
      <c r="H33" s="121"/>
      <c r="I33" s="1348"/>
      <c r="J33" s="187" t="s">
        <v>21</v>
      </c>
      <c r="K33" s="186">
        <f>L33+M33+N33</f>
        <v>0</v>
      </c>
      <c r="L33" s="186"/>
      <c r="M33" s="186"/>
      <c r="N33" s="186"/>
    </row>
    <row r="34" spans="1:14" ht="12.75" hidden="1">
      <c r="A34" s="1380"/>
      <c r="B34" s="1380"/>
      <c r="C34" s="1349"/>
      <c r="D34" s="185" t="s">
        <v>22</v>
      </c>
      <c r="E34" s="197">
        <f>E32+E33</f>
        <v>800000</v>
      </c>
      <c r="F34" s="197">
        <f>F32+F33</f>
        <v>800000</v>
      </c>
      <c r="G34" s="197">
        <f>G32+G33</f>
        <v>0</v>
      </c>
      <c r="H34" s="121"/>
      <c r="I34" s="1349"/>
      <c r="J34" s="187" t="s">
        <v>22</v>
      </c>
      <c r="K34" s="186">
        <f>K32+K33</f>
        <v>1600000</v>
      </c>
      <c r="L34" s="186">
        <f>L32+L33</f>
        <v>1600000</v>
      </c>
      <c r="M34" s="186">
        <f>M32+M33</f>
        <v>0</v>
      </c>
      <c r="N34" s="186">
        <f>N32+N33</f>
        <v>0</v>
      </c>
    </row>
    <row r="35" spans="1:14" ht="12.75" hidden="1">
      <c r="A35" s="182"/>
      <c r="B35" s="183"/>
      <c r="C35" s="184"/>
      <c r="D35" s="185"/>
      <c r="E35" s="197"/>
      <c r="F35" s="186"/>
      <c r="G35" s="186"/>
      <c r="H35" s="121"/>
      <c r="I35" s="184"/>
      <c r="J35" s="187"/>
      <c r="K35" s="186"/>
      <c r="L35" s="186"/>
      <c r="M35" s="186"/>
      <c r="N35" s="186"/>
    </row>
    <row r="36" spans="1:14" ht="12.75" hidden="1">
      <c r="A36" s="1378"/>
      <c r="B36" s="1378"/>
      <c r="C36" s="1411" t="s">
        <v>55</v>
      </c>
      <c r="D36" s="1411"/>
      <c r="E36" s="1411" t="s">
        <v>55</v>
      </c>
      <c r="F36" s="1411" t="s">
        <v>55</v>
      </c>
      <c r="G36" s="1411" t="s">
        <v>55</v>
      </c>
      <c r="H36" s="121"/>
      <c r="I36" s="1347" t="s">
        <v>197</v>
      </c>
      <c r="J36" s="187" t="s">
        <v>20</v>
      </c>
      <c r="K36" s="186">
        <f>L36+M36+N36</f>
        <v>800000</v>
      </c>
      <c r="L36" s="186">
        <v>800000</v>
      </c>
      <c r="M36" s="186">
        <v>0</v>
      </c>
      <c r="N36" s="186">
        <v>0</v>
      </c>
    </row>
    <row r="37" spans="1:14" ht="12.75" hidden="1">
      <c r="A37" s="1379"/>
      <c r="B37" s="1379"/>
      <c r="C37" s="1412"/>
      <c r="D37" s="1412"/>
      <c r="E37" s="1412"/>
      <c r="F37" s="1412"/>
      <c r="G37" s="1412"/>
      <c r="H37" s="121"/>
      <c r="I37" s="1348"/>
      <c r="J37" s="187" t="s">
        <v>21</v>
      </c>
      <c r="K37" s="186">
        <f>L37+M37+N37</f>
        <v>0</v>
      </c>
      <c r="L37" s="186"/>
      <c r="M37" s="186"/>
      <c r="N37" s="186"/>
    </row>
    <row r="38" spans="1:14" ht="12.75" hidden="1">
      <c r="A38" s="1380"/>
      <c r="B38" s="1380"/>
      <c r="C38" s="1413"/>
      <c r="D38" s="1413"/>
      <c r="E38" s="1413"/>
      <c r="F38" s="1413"/>
      <c r="G38" s="1413"/>
      <c r="H38" s="121"/>
      <c r="I38" s="1349"/>
      <c r="J38" s="187" t="s">
        <v>22</v>
      </c>
      <c r="K38" s="186">
        <f>K36+K37</f>
        <v>800000</v>
      </c>
      <c r="L38" s="186">
        <f>L36+L37</f>
        <v>800000</v>
      </c>
      <c r="M38" s="186">
        <f>M36+M37</f>
        <v>0</v>
      </c>
      <c r="N38" s="186">
        <f>N36+N37</f>
        <v>0</v>
      </c>
    </row>
    <row r="39" spans="1:14" ht="12.75" hidden="1">
      <c r="A39" s="182"/>
      <c r="B39" s="183"/>
      <c r="C39" s="200"/>
      <c r="D39" s="202"/>
      <c r="E39" s="200"/>
      <c r="F39" s="200"/>
      <c r="G39" s="200"/>
      <c r="H39" s="121"/>
      <c r="I39" s="184"/>
      <c r="J39" s="187"/>
      <c r="K39" s="186"/>
      <c r="L39" s="186"/>
      <c r="M39" s="186"/>
      <c r="N39" s="186"/>
    </row>
    <row r="40" spans="1:14" s="191" customFormat="1" ht="13.5" hidden="1">
      <c r="A40" s="1366">
        <v>2</v>
      </c>
      <c r="B40" s="1369" t="s">
        <v>198</v>
      </c>
      <c r="C40" s="1370"/>
      <c r="D40" s="188" t="s">
        <v>20</v>
      </c>
      <c r="E40" s="189">
        <f aca="true" t="shared" si="8" ref="E40:G41">E44</f>
        <v>370000</v>
      </c>
      <c r="F40" s="189">
        <f t="shared" si="8"/>
        <v>370000</v>
      </c>
      <c r="G40" s="189">
        <f t="shared" si="8"/>
        <v>0</v>
      </c>
      <c r="H40" s="121"/>
      <c r="I40" s="1375" t="s">
        <v>198</v>
      </c>
      <c r="J40" s="190" t="s">
        <v>20</v>
      </c>
      <c r="K40" s="189">
        <f aca="true" t="shared" si="9" ref="K40:N41">K44+K48</f>
        <v>499077</v>
      </c>
      <c r="L40" s="189">
        <f t="shared" si="9"/>
        <v>370000</v>
      </c>
      <c r="M40" s="189">
        <f t="shared" si="9"/>
        <v>0</v>
      </c>
      <c r="N40" s="189">
        <f t="shared" si="9"/>
        <v>129077</v>
      </c>
    </row>
    <row r="41" spans="1:14" s="191" customFormat="1" ht="13.5" hidden="1">
      <c r="A41" s="1367"/>
      <c r="B41" s="1371"/>
      <c r="C41" s="1372"/>
      <c r="D41" s="188" t="s">
        <v>21</v>
      </c>
      <c r="E41" s="189">
        <f t="shared" si="8"/>
        <v>0</v>
      </c>
      <c r="F41" s="189">
        <f t="shared" si="8"/>
        <v>0</v>
      </c>
      <c r="G41" s="189">
        <f t="shared" si="8"/>
        <v>0</v>
      </c>
      <c r="H41" s="121"/>
      <c r="I41" s="1376"/>
      <c r="J41" s="190" t="s">
        <v>21</v>
      </c>
      <c r="K41" s="189">
        <f t="shared" si="9"/>
        <v>0</v>
      </c>
      <c r="L41" s="189">
        <f t="shared" si="9"/>
        <v>0</v>
      </c>
      <c r="M41" s="189">
        <f t="shared" si="9"/>
        <v>0</v>
      </c>
      <c r="N41" s="189">
        <f t="shared" si="9"/>
        <v>0</v>
      </c>
    </row>
    <row r="42" spans="1:14" s="191" customFormat="1" ht="13.5" hidden="1">
      <c r="A42" s="1368"/>
      <c r="B42" s="1373"/>
      <c r="C42" s="1374"/>
      <c r="D42" s="188" t="s">
        <v>22</v>
      </c>
      <c r="E42" s="189">
        <f>E40+E41</f>
        <v>370000</v>
      </c>
      <c r="F42" s="189">
        <f>F40+F41</f>
        <v>370000</v>
      </c>
      <c r="G42" s="189">
        <f>G40+G41</f>
        <v>0</v>
      </c>
      <c r="H42" s="121"/>
      <c r="I42" s="1377"/>
      <c r="J42" s="190" t="s">
        <v>22</v>
      </c>
      <c r="K42" s="189">
        <f>K40+K41</f>
        <v>499077</v>
      </c>
      <c r="L42" s="189">
        <f>L40+L41</f>
        <v>370000</v>
      </c>
      <c r="M42" s="189">
        <f>M40+M41</f>
        <v>0</v>
      </c>
      <c r="N42" s="189">
        <f>N40+N41</f>
        <v>129077</v>
      </c>
    </row>
    <row r="43" spans="1:14" s="181" customFormat="1" ht="12.75" hidden="1">
      <c r="A43" s="198"/>
      <c r="B43" s="203"/>
      <c r="C43" s="204"/>
      <c r="D43" s="120"/>
      <c r="E43" s="200"/>
      <c r="F43" s="179"/>
      <c r="G43" s="179"/>
      <c r="H43" s="121"/>
      <c r="I43" s="204"/>
      <c r="J43" s="180"/>
      <c r="K43" s="201"/>
      <c r="L43" s="201"/>
      <c r="M43" s="201"/>
      <c r="N43" s="201"/>
    </row>
    <row r="44" spans="1:14" ht="12.75" hidden="1">
      <c r="A44" s="1378"/>
      <c r="B44" s="1378"/>
      <c r="C44" s="1347" t="s">
        <v>193</v>
      </c>
      <c r="D44" s="185" t="s">
        <v>20</v>
      </c>
      <c r="E44" s="197">
        <f>F44+G44</f>
        <v>370000</v>
      </c>
      <c r="F44" s="186">
        <v>370000</v>
      </c>
      <c r="G44" s="186">
        <v>0</v>
      </c>
      <c r="H44" s="121"/>
      <c r="I44" s="1347" t="s">
        <v>199</v>
      </c>
      <c r="J44" s="187" t="s">
        <v>20</v>
      </c>
      <c r="K44" s="186">
        <f>L44+M44+N44</f>
        <v>359045</v>
      </c>
      <c r="L44" s="186">
        <v>237206</v>
      </c>
      <c r="M44" s="186">
        <v>0</v>
      </c>
      <c r="N44" s="186">
        <v>121839</v>
      </c>
    </row>
    <row r="45" spans="1:14" ht="12.75" hidden="1">
      <c r="A45" s="1379"/>
      <c r="B45" s="1379"/>
      <c r="C45" s="1348"/>
      <c r="D45" s="185" t="s">
        <v>21</v>
      </c>
      <c r="E45" s="197">
        <f>F45+G45</f>
        <v>0</v>
      </c>
      <c r="F45" s="186"/>
      <c r="G45" s="186"/>
      <c r="H45" s="121"/>
      <c r="I45" s="1348"/>
      <c r="J45" s="187" t="s">
        <v>21</v>
      </c>
      <c r="K45" s="186">
        <f>L45+M45+N45</f>
        <v>0</v>
      </c>
      <c r="L45" s="186"/>
      <c r="M45" s="186"/>
      <c r="N45" s="186"/>
    </row>
    <row r="46" spans="1:14" ht="12.75" hidden="1">
      <c r="A46" s="1380"/>
      <c r="B46" s="1380"/>
      <c r="C46" s="1349"/>
      <c r="D46" s="185" t="s">
        <v>22</v>
      </c>
      <c r="E46" s="197">
        <f>E44+E45</f>
        <v>370000</v>
      </c>
      <c r="F46" s="197">
        <f>F44+F45</f>
        <v>370000</v>
      </c>
      <c r="G46" s="197">
        <f>G44+G45</f>
        <v>0</v>
      </c>
      <c r="H46" s="121"/>
      <c r="I46" s="1349"/>
      <c r="J46" s="187" t="s">
        <v>22</v>
      </c>
      <c r="K46" s="186">
        <f>K44+K45</f>
        <v>359045</v>
      </c>
      <c r="L46" s="186">
        <f>L44+L45</f>
        <v>237206</v>
      </c>
      <c r="M46" s="186">
        <f>M44+M45</f>
        <v>0</v>
      </c>
      <c r="N46" s="186">
        <f>N44+N45</f>
        <v>121839</v>
      </c>
    </row>
    <row r="47" spans="1:14" ht="12.75" hidden="1">
      <c r="A47" s="182"/>
      <c r="B47" s="183"/>
      <c r="C47" s="184"/>
      <c r="D47" s="185"/>
      <c r="E47" s="197"/>
      <c r="F47" s="186"/>
      <c r="G47" s="186"/>
      <c r="H47" s="121"/>
      <c r="I47" s="184"/>
      <c r="J47" s="187"/>
      <c r="K47" s="186"/>
      <c r="L47" s="186"/>
      <c r="M47" s="186"/>
      <c r="N47" s="186"/>
    </row>
    <row r="48" spans="1:14" s="181" customFormat="1" ht="12.75" hidden="1">
      <c r="A48" s="1378"/>
      <c r="B48" s="1378"/>
      <c r="C48" s="1405" t="s">
        <v>55</v>
      </c>
      <c r="D48" s="1405"/>
      <c r="E48" s="1405" t="s">
        <v>55</v>
      </c>
      <c r="F48" s="1405" t="s">
        <v>55</v>
      </c>
      <c r="G48" s="1405" t="s">
        <v>55</v>
      </c>
      <c r="H48" s="121"/>
      <c r="I48" s="1347" t="s">
        <v>200</v>
      </c>
      <c r="J48" s="187" t="s">
        <v>20</v>
      </c>
      <c r="K48" s="186">
        <f>L48+M48+N48</f>
        <v>140032</v>
      </c>
      <c r="L48" s="186">
        <v>132794</v>
      </c>
      <c r="M48" s="186">
        <v>0</v>
      </c>
      <c r="N48" s="186">
        <v>7238</v>
      </c>
    </row>
    <row r="49" spans="1:14" s="181" customFormat="1" ht="12.75" hidden="1">
      <c r="A49" s="1379"/>
      <c r="B49" s="1379"/>
      <c r="C49" s="1406"/>
      <c r="D49" s="1406"/>
      <c r="E49" s="1406"/>
      <c r="F49" s="1406"/>
      <c r="G49" s="1406"/>
      <c r="H49" s="121"/>
      <c r="I49" s="1348"/>
      <c r="J49" s="187" t="s">
        <v>21</v>
      </c>
      <c r="K49" s="186">
        <f>L49+M49+N49</f>
        <v>0</v>
      </c>
      <c r="L49" s="186"/>
      <c r="M49" s="186"/>
      <c r="N49" s="186"/>
    </row>
    <row r="50" spans="1:14" s="181" customFormat="1" ht="12.75" hidden="1">
      <c r="A50" s="1380"/>
      <c r="B50" s="1380"/>
      <c r="C50" s="1407"/>
      <c r="D50" s="1407"/>
      <c r="E50" s="1407"/>
      <c r="F50" s="1407"/>
      <c r="G50" s="1407"/>
      <c r="H50" s="121"/>
      <c r="I50" s="1349"/>
      <c r="J50" s="187" t="s">
        <v>22</v>
      </c>
      <c r="K50" s="186">
        <f>K48+K49</f>
        <v>140032</v>
      </c>
      <c r="L50" s="186">
        <f>L48+L49</f>
        <v>132794</v>
      </c>
      <c r="M50" s="186">
        <f>M48+M49</f>
        <v>0</v>
      </c>
      <c r="N50" s="186">
        <f>N48+N49</f>
        <v>7238</v>
      </c>
    </row>
    <row r="51" spans="1:14" ht="12.75" hidden="1">
      <c r="A51" s="182"/>
      <c r="B51" s="183"/>
      <c r="C51" s="184"/>
      <c r="D51" s="185"/>
      <c r="E51" s="206"/>
      <c r="F51" s="206"/>
      <c r="G51" s="206"/>
      <c r="H51" s="121"/>
      <c r="I51" s="184"/>
      <c r="J51" s="187"/>
      <c r="K51" s="186"/>
      <c r="L51" s="186"/>
      <c r="M51" s="186"/>
      <c r="N51" s="186"/>
    </row>
    <row r="52" spans="1:14" s="191" customFormat="1" ht="13.5" hidden="1">
      <c r="A52" s="1366">
        <v>3</v>
      </c>
      <c r="B52" s="1369" t="s">
        <v>201</v>
      </c>
      <c r="C52" s="1370"/>
      <c r="D52" s="188" t="s">
        <v>20</v>
      </c>
      <c r="E52" s="189">
        <f aca="true" t="shared" si="10" ref="E52:G53">E56</f>
        <v>600000</v>
      </c>
      <c r="F52" s="189">
        <f t="shared" si="10"/>
        <v>600000</v>
      </c>
      <c r="G52" s="189">
        <f t="shared" si="10"/>
        <v>0</v>
      </c>
      <c r="H52" s="121"/>
      <c r="I52" s="1375" t="s">
        <v>201</v>
      </c>
      <c r="J52" s="190" t="s">
        <v>20</v>
      </c>
      <c r="K52" s="189">
        <f aca="true" t="shared" si="11" ref="K52:N53">K56+K60</f>
        <v>741454</v>
      </c>
      <c r="L52" s="189">
        <f t="shared" si="11"/>
        <v>600000</v>
      </c>
      <c r="M52" s="189">
        <f t="shared" si="11"/>
        <v>0</v>
      </c>
      <c r="N52" s="189">
        <f t="shared" si="11"/>
        <v>141454</v>
      </c>
    </row>
    <row r="53" spans="1:14" s="191" customFormat="1" ht="13.5" hidden="1">
      <c r="A53" s="1367"/>
      <c r="B53" s="1371"/>
      <c r="C53" s="1372"/>
      <c r="D53" s="188" t="s">
        <v>21</v>
      </c>
      <c r="E53" s="189">
        <f t="shared" si="10"/>
        <v>0</v>
      </c>
      <c r="F53" s="189">
        <f t="shared" si="10"/>
        <v>0</v>
      </c>
      <c r="G53" s="189">
        <f t="shared" si="10"/>
        <v>0</v>
      </c>
      <c r="H53" s="121"/>
      <c r="I53" s="1376"/>
      <c r="J53" s="190" t="s">
        <v>21</v>
      </c>
      <c r="K53" s="189">
        <f t="shared" si="11"/>
        <v>0</v>
      </c>
      <c r="L53" s="189">
        <f t="shared" si="11"/>
        <v>0</v>
      </c>
      <c r="M53" s="189">
        <f t="shared" si="11"/>
        <v>0</v>
      </c>
      <c r="N53" s="189">
        <f t="shared" si="11"/>
        <v>0</v>
      </c>
    </row>
    <row r="54" spans="1:14" s="191" customFormat="1" ht="13.5" hidden="1">
      <c r="A54" s="1368"/>
      <c r="B54" s="1373"/>
      <c r="C54" s="1374"/>
      <c r="D54" s="188" t="s">
        <v>22</v>
      </c>
      <c r="E54" s="189">
        <f>E52+E53</f>
        <v>600000</v>
      </c>
      <c r="F54" s="189">
        <f>F52+F53</f>
        <v>600000</v>
      </c>
      <c r="G54" s="189">
        <f>G52+G53</f>
        <v>0</v>
      </c>
      <c r="H54" s="121"/>
      <c r="I54" s="1377"/>
      <c r="J54" s="190" t="s">
        <v>22</v>
      </c>
      <c r="K54" s="189">
        <f>K52+K53</f>
        <v>741454</v>
      </c>
      <c r="L54" s="189">
        <f>L52+L53</f>
        <v>600000</v>
      </c>
      <c r="M54" s="189">
        <f>M52+M53</f>
        <v>0</v>
      </c>
      <c r="N54" s="189">
        <f>N52+N53</f>
        <v>141454</v>
      </c>
    </row>
    <row r="55" spans="1:14" s="210" customFormat="1" ht="12.75" hidden="1">
      <c r="A55" s="207"/>
      <c r="B55" s="208"/>
      <c r="C55" s="180"/>
      <c r="D55" s="120"/>
      <c r="E55" s="209"/>
      <c r="F55" s="209"/>
      <c r="G55" s="209"/>
      <c r="H55" s="121"/>
      <c r="I55" s="180"/>
      <c r="J55" s="180"/>
      <c r="K55" s="202"/>
      <c r="L55" s="202"/>
      <c r="M55" s="202"/>
      <c r="N55" s="202"/>
    </row>
    <row r="56" spans="1:14" ht="12.75" hidden="1">
      <c r="A56" s="1378"/>
      <c r="B56" s="1378"/>
      <c r="C56" s="1347" t="s">
        <v>193</v>
      </c>
      <c r="D56" s="185" t="s">
        <v>20</v>
      </c>
      <c r="E56" s="197">
        <f>F56+G56</f>
        <v>600000</v>
      </c>
      <c r="F56" s="186">
        <v>600000</v>
      </c>
      <c r="G56" s="186">
        <v>0</v>
      </c>
      <c r="H56" s="121"/>
      <c r="I56" s="1347" t="s">
        <v>199</v>
      </c>
      <c r="J56" s="187" t="s">
        <v>20</v>
      </c>
      <c r="K56" s="186">
        <f>L56+M56+N56</f>
        <v>556881</v>
      </c>
      <c r="L56" s="186">
        <v>430354</v>
      </c>
      <c r="M56" s="186">
        <v>0</v>
      </c>
      <c r="N56" s="186">
        <v>126527</v>
      </c>
    </row>
    <row r="57" spans="1:14" ht="12.75" hidden="1">
      <c r="A57" s="1379"/>
      <c r="B57" s="1379"/>
      <c r="C57" s="1348"/>
      <c r="D57" s="185" t="s">
        <v>21</v>
      </c>
      <c r="E57" s="197">
        <f>F57+G57</f>
        <v>0</v>
      </c>
      <c r="F57" s="186"/>
      <c r="G57" s="186"/>
      <c r="H57" s="121"/>
      <c r="I57" s="1348"/>
      <c r="J57" s="187" t="s">
        <v>21</v>
      </c>
      <c r="K57" s="186">
        <f>L57+M57+N57</f>
        <v>0</v>
      </c>
      <c r="L57" s="186"/>
      <c r="M57" s="186"/>
      <c r="N57" s="186"/>
    </row>
    <row r="58" spans="1:14" ht="12.75" hidden="1">
      <c r="A58" s="1380"/>
      <c r="B58" s="1380"/>
      <c r="C58" s="1349"/>
      <c r="D58" s="185" t="s">
        <v>22</v>
      </c>
      <c r="E58" s="197">
        <f>E56+E57</f>
        <v>600000</v>
      </c>
      <c r="F58" s="197">
        <f>F56+F57</f>
        <v>600000</v>
      </c>
      <c r="G58" s="197">
        <f>G56+G57</f>
        <v>0</v>
      </c>
      <c r="H58" s="121"/>
      <c r="I58" s="1349"/>
      <c r="J58" s="187" t="s">
        <v>22</v>
      </c>
      <c r="K58" s="186">
        <f>K56+K57</f>
        <v>556881</v>
      </c>
      <c r="L58" s="186">
        <f>L56+L57</f>
        <v>430354</v>
      </c>
      <c r="M58" s="186">
        <f>M56+M57</f>
        <v>0</v>
      </c>
      <c r="N58" s="186">
        <f>N56+N57</f>
        <v>126527</v>
      </c>
    </row>
    <row r="59" spans="1:14" ht="12.75" hidden="1">
      <c r="A59" s="182"/>
      <c r="B59" s="183"/>
      <c r="C59" s="184"/>
      <c r="D59" s="185"/>
      <c r="E59" s="197"/>
      <c r="F59" s="186"/>
      <c r="G59" s="186"/>
      <c r="H59" s="121"/>
      <c r="I59" s="184"/>
      <c r="J59" s="187"/>
      <c r="K59" s="186"/>
      <c r="L59" s="186"/>
      <c r="M59" s="186"/>
      <c r="N59" s="186"/>
    </row>
    <row r="60" spans="1:14" s="181" customFormat="1" ht="12.75" hidden="1">
      <c r="A60" s="1381"/>
      <c r="B60" s="1381"/>
      <c r="C60" s="1405" t="s">
        <v>55</v>
      </c>
      <c r="D60" s="1405"/>
      <c r="E60" s="1405" t="s">
        <v>55</v>
      </c>
      <c r="F60" s="1405" t="s">
        <v>55</v>
      </c>
      <c r="G60" s="1405" t="s">
        <v>55</v>
      </c>
      <c r="H60" s="121"/>
      <c r="I60" s="1347" t="s">
        <v>200</v>
      </c>
      <c r="J60" s="187" t="s">
        <v>20</v>
      </c>
      <c r="K60" s="186">
        <f>L60+M60+N60</f>
        <v>184573</v>
      </c>
      <c r="L60" s="186">
        <v>169646</v>
      </c>
      <c r="M60" s="186">
        <v>0</v>
      </c>
      <c r="N60" s="186">
        <v>14927</v>
      </c>
    </row>
    <row r="61" spans="1:14" s="181" customFormat="1" ht="12.75" hidden="1">
      <c r="A61" s="1382"/>
      <c r="B61" s="1382"/>
      <c r="C61" s="1406"/>
      <c r="D61" s="1406"/>
      <c r="E61" s="1406"/>
      <c r="F61" s="1406"/>
      <c r="G61" s="1406"/>
      <c r="H61" s="121"/>
      <c r="I61" s="1348"/>
      <c r="J61" s="187" t="s">
        <v>21</v>
      </c>
      <c r="K61" s="186">
        <f>L61+M61+N61</f>
        <v>0</v>
      </c>
      <c r="L61" s="186"/>
      <c r="M61" s="186"/>
      <c r="N61" s="186"/>
    </row>
    <row r="62" spans="1:14" s="181" customFormat="1" ht="12.75" hidden="1">
      <c r="A62" s="1383"/>
      <c r="B62" s="1383"/>
      <c r="C62" s="1407"/>
      <c r="D62" s="1407"/>
      <c r="E62" s="1407"/>
      <c r="F62" s="1407"/>
      <c r="G62" s="1407"/>
      <c r="H62" s="121"/>
      <c r="I62" s="1349"/>
      <c r="J62" s="187" t="s">
        <v>22</v>
      </c>
      <c r="K62" s="186">
        <f>K60+K61</f>
        <v>184573</v>
      </c>
      <c r="L62" s="186">
        <f>L60+L61</f>
        <v>169646</v>
      </c>
      <c r="M62" s="186">
        <f>M60+M61</f>
        <v>0</v>
      </c>
      <c r="N62" s="186">
        <f>N60+N61</f>
        <v>14927</v>
      </c>
    </row>
    <row r="63" spans="1:14" ht="12.75" hidden="1">
      <c r="A63" s="182"/>
      <c r="B63" s="183"/>
      <c r="C63" s="184"/>
      <c r="D63" s="185"/>
      <c r="E63" s="206"/>
      <c r="F63" s="206"/>
      <c r="G63" s="206"/>
      <c r="H63" s="121"/>
      <c r="I63" s="184"/>
      <c r="J63" s="187"/>
      <c r="K63" s="186"/>
      <c r="L63" s="186"/>
      <c r="M63" s="186"/>
      <c r="N63" s="186"/>
    </row>
    <row r="64" spans="1:14" s="191" customFormat="1" ht="21" customHeight="1" hidden="1">
      <c r="A64" s="1366">
        <v>4</v>
      </c>
      <c r="B64" s="1369" t="s">
        <v>202</v>
      </c>
      <c r="C64" s="1370"/>
      <c r="D64" s="188" t="s">
        <v>20</v>
      </c>
      <c r="E64" s="189">
        <f aca="true" t="shared" si="12" ref="E64:G65">E68</f>
        <v>40000</v>
      </c>
      <c r="F64" s="189">
        <f t="shared" si="12"/>
        <v>40000</v>
      </c>
      <c r="G64" s="189">
        <f t="shared" si="12"/>
        <v>0</v>
      </c>
      <c r="H64" s="121"/>
      <c r="I64" s="1375" t="s">
        <v>202</v>
      </c>
      <c r="J64" s="190" t="s">
        <v>20</v>
      </c>
      <c r="K64" s="189">
        <f aca="true" t="shared" si="13" ref="K64:N65">K68</f>
        <v>40000</v>
      </c>
      <c r="L64" s="189">
        <f t="shared" si="13"/>
        <v>40000</v>
      </c>
      <c r="M64" s="189">
        <f t="shared" si="13"/>
        <v>0</v>
      </c>
      <c r="N64" s="189">
        <f t="shared" si="13"/>
        <v>0</v>
      </c>
    </row>
    <row r="65" spans="1:14" s="191" customFormat="1" ht="21" customHeight="1" hidden="1">
      <c r="A65" s="1367"/>
      <c r="B65" s="1371"/>
      <c r="C65" s="1372"/>
      <c r="D65" s="188" t="s">
        <v>21</v>
      </c>
      <c r="E65" s="189">
        <f t="shared" si="12"/>
        <v>0</v>
      </c>
      <c r="F65" s="189">
        <f t="shared" si="12"/>
        <v>0</v>
      </c>
      <c r="G65" s="189">
        <f t="shared" si="12"/>
        <v>0</v>
      </c>
      <c r="H65" s="121"/>
      <c r="I65" s="1376"/>
      <c r="J65" s="190" t="s">
        <v>21</v>
      </c>
      <c r="K65" s="189">
        <f t="shared" si="13"/>
        <v>0</v>
      </c>
      <c r="L65" s="189">
        <f t="shared" si="13"/>
        <v>0</v>
      </c>
      <c r="M65" s="189">
        <f t="shared" si="13"/>
        <v>0</v>
      </c>
      <c r="N65" s="189">
        <f t="shared" si="13"/>
        <v>0</v>
      </c>
    </row>
    <row r="66" spans="1:14" s="191" customFormat="1" ht="21" customHeight="1" hidden="1">
      <c r="A66" s="1368"/>
      <c r="B66" s="1373"/>
      <c r="C66" s="1374"/>
      <c r="D66" s="188" t="s">
        <v>22</v>
      </c>
      <c r="E66" s="189">
        <f>E64+E65</f>
        <v>40000</v>
      </c>
      <c r="F66" s="189">
        <f>F64+F65</f>
        <v>40000</v>
      </c>
      <c r="G66" s="189">
        <f>G64+G65</f>
        <v>0</v>
      </c>
      <c r="H66" s="121"/>
      <c r="I66" s="1377"/>
      <c r="J66" s="190" t="s">
        <v>22</v>
      </c>
      <c r="K66" s="189">
        <f>K64+K65</f>
        <v>40000</v>
      </c>
      <c r="L66" s="189">
        <f>L64+L65</f>
        <v>40000</v>
      </c>
      <c r="M66" s="189">
        <f>M64+M65</f>
        <v>0</v>
      </c>
      <c r="N66" s="189">
        <f>N64+N65</f>
        <v>0</v>
      </c>
    </row>
    <row r="67" spans="1:14" s="181" customFormat="1" ht="12.75" hidden="1">
      <c r="A67" s="198"/>
      <c r="B67" s="203"/>
      <c r="C67" s="204"/>
      <c r="D67" s="120"/>
      <c r="E67" s="200"/>
      <c r="F67" s="179"/>
      <c r="G67" s="179"/>
      <c r="H67" s="121"/>
      <c r="I67" s="204"/>
      <c r="J67" s="180"/>
      <c r="K67" s="201"/>
      <c r="L67" s="201"/>
      <c r="M67" s="201"/>
      <c r="N67" s="201"/>
    </row>
    <row r="68" spans="1:14" ht="12.75" hidden="1">
      <c r="A68" s="1378"/>
      <c r="B68" s="1378"/>
      <c r="C68" s="1347" t="s">
        <v>193</v>
      </c>
      <c r="D68" s="185" t="s">
        <v>20</v>
      </c>
      <c r="E68" s="197">
        <f>F68+G68</f>
        <v>40000</v>
      </c>
      <c r="F68" s="186">
        <v>40000</v>
      </c>
      <c r="G68" s="186">
        <v>0</v>
      </c>
      <c r="H68" s="121"/>
      <c r="I68" s="1347" t="s">
        <v>203</v>
      </c>
      <c r="J68" s="187" t="s">
        <v>20</v>
      </c>
      <c r="K68" s="186">
        <f>L68+M68+N68</f>
        <v>40000</v>
      </c>
      <c r="L68" s="186">
        <v>40000</v>
      </c>
      <c r="M68" s="186">
        <v>0</v>
      </c>
      <c r="N68" s="186">
        <v>0</v>
      </c>
    </row>
    <row r="69" spans="1:14" ht="12.75" hidden="1">
      <c r="A69" s="1379"/>
      <c r="B69" s="1379"/>
      <c r="C69" s="1348"/>
      <c r="D69" s="185" t="s">
        <v>21</v>
      </c>
      <c r="E69" s="197">
        <f>F69+G69</f>
        <v>0</v>
      </c>
      <c r="F69" s="186"/>
      <c r="G69" s="186"/>
      <c r="H69" s="121"/>
      <c r="I69" s="1348"/>
      <c r="J69" s="187" t="s">
        <v>21</v>
      </c>
      <c r="K69" s="186">
        <f>L69+M69+N69</f>
        <v>0</v>
      </c>
      <c r="L69" s="186"/>
      <c r="M69" s="186"/>
      <c r="N69" s="186"/>
    </row>
    <row r="70" spans="1:14" ht="12.75" hidden="1">
      <c r="A70" s="1380"/>
      <c r="B70" s="1380"/>
      <c r="C70" s="1349"/>
      <c r="D70" s="185" t="s">
        <v>22</v>
      </c>
      <c r="E70" s="197">
        <f>E68+E69</f>
        <v>40000</v>
      </c>
      <c r="F70" s="197">
        <f>F68+F69</f>
        <v>40000</v>
      </c>
      <c r="G70" s="197">
        <f>G68+G69</f>
        <v>0</v>
      </c>
      <c r="H70" s="121"/>
      <c r="I70" s="1349"/>
      <c r="J70" s="187" t="s">
        <v>22</v>
      </c>
      <c r="K70" s="186">
        <f>K68+K69</f>
        <v>40000</v>
      </c>
      <c r="L70" s="186">
        <f>L68+L69</f>
        <v>40000</v>
      </c>
      <c r="M70" s="186">
        <f>M68+M69</f>
        <v>0</v>
      </c>
      <c r="N70" s="186">
        <f>N68+N69</f>
        <v>0</v>
      </c>
    </row>
    <row r="71" spans="1:14" ht="12.75" hidden="1">
      <c r="A71" s="182"/>
      <c r="B71" s="183"/>
      <c r="C71" s="184"/>
      <c r="D71" s="185"/>
      <c r="E71" s="206"/>
      <c r="F71" s="206"/>
      <c r="G71" s="206"/>
      <c r="H71" s="211"/>
      <c r="I71" s="184"/>
      <c r="J71" s="187"/>
      <c r="K71" s="186"/>
      <c r="L71" s="186"/>
      <c r="M71" s="186"/>
      <c r="N71" s="186"/>
    </row>
    <row r="72" spans="1:14" s="191" customFormat="1" ht="15" customHeight="1" hidden="1">
      <c r="A72" s="1366">
        <v>5</v>
      </c>
      <c r="B72" s="1369" t="s">
        <v>204</v>
      </c>
      <c r="C72" s="1370"/>
      <c r="D72" s="212" t="s">
        <v>20</v>
      </c>
      <c r="E72" s="213">
        <f aca="true" t="shared" si="14" ref="E72:G73">E76</f>
        <v>1750000</v>
      </c>
      <c r="F72" s="213">
        <f t="shared" si="14"/>
        <v>350000</v>
      </c>
      <c r="G72" s="213">
        <f t="shared" si="14"/>
        <v>1400000</v>
      </c>
      <c r="H72" s="121"/>
      <c r="I72" s="1375" t="s">
        <v>204</v>
      </c>
      <c r="J72" s="214" t="s">
        <v>20</v>
      </c>
      <c r="K72" s="213">
        <f aca="true" t="shared" si="15" ref="K72:N73">K76</f>
        <v>1750000</v>
      </c>
      <c r="L72" s="213">
        <f t="shared" si="15"/>
        <v>350000</v>
      </c>
      <c r="M72" s="213">
        <f t="shared" si="15"/>
        <v>1400000</v>
      </c>
      <c r="N72" s="213">
        <f t="shared" si="15"/>
        <v>0</v>
      </c>
    </row>
    <row r="73" spans="1:14" s="191" customFormat="1" ht="15" customHeight="1" hidden="1">
      <c r="A73" s="1367"/>
      <c r="B73" s="1371"/>
      <c r="C73" s="1372"/>
      <c r="D73" s="212" t="s">
        <v>21</v>
      </c>
      <c r="E73" s="213">
        <f t="shared" si="14"/>
        <v>0</v>
      </c>
      <c r="F73" s="213">
        <f t="shared" si="14"/>
        <v>0</v>
      </c>
      <c r="G73" s="213">
        <f t="shared" si="14"/>
        <v>0</v>
      </c>
      <c r="H73" s="121"/>
      <c r="I73" s="1376"/>
      <c r="J73" s="214" t="s">
        <v>21</v>
      </c>
      <c r="K73" s="213">
        <f t="shared" si="15"/>
        <v>0</v>
      </c>
      <c r="L73" s="213">
        <f t="shared" si="15"/>
        <v>0</v>
      </c>
      <c r="M73" s="213">
        <f t="shared" si="15"/>
        <v>0</v>
      </c>
      <c r="N73" s="213">
        <f t="shared" si="15"/>
        <v>0</v>
      </c>
    </row>
    <row r="74" spans="1:14" s="191" customFormat="1" ht="15" customHeight="1" hidden="1">
      <c r="A74" s="1368"/>
      <c r="B74" s="1373"/>
      <c r="C74" s="1374"/>
      <c r="D74" s="212" t="s">
        <v>22</v>
      </c>
      <c r="E74" s="213">
        <f>E72+E73</f>
        <v>1750000</v>
      </c>
      <c r="F74" s="213">
        <f>F72+F73</f>
        <v>350000</v>
      </c>
      <c r="G74" s="213">
        <f>G72+G73</f>
        <v>1400000</v>
      </c>
      <c r="H74" s="121"/>
      <c r="I74" s="1377"/>
      <c r="J74" s="214" t="s">
        <v>22</v>
      </c>
      <c r="K74" s="213">
        <f>K72+K73</f>
        <v>1750000</v>
      </c>
      <c r="L74" s="213">
        <f>L72+L73</f>
        <v>350000</v>
      </c>
      <c r="M74" s="213">
        <f>M72+M73</f>
        <v>1400000</v>
      </c>
      <c r="N74" s="213">
        <f>N72+N73</f>
        <v>0</v>
      </c>
    </row>
    <row r="75" spans="1:14" s="181" customFormat="1" ht="12.75" hidden="1">
      <c r="A75" s="198"/>
      <c r="B75" s="203"/>
      <c r="C75" s="204"/>
      <c r="D75" s="120"/>
      <c r="E75" s="200"/>
      <c r="F75" s="179"/>
      <c r="G75" s="179"/>
      <c r="H75" s="121"/>
      <c r="I75" s="204"/>
      <c r="J75" s="180"/>
      <c r="K75" s="201"/>
      <c r="L75" s="201"/>
      <c r="M75" s="201"/>
      <c r="N75" s="201"/>
    </row>
    <row r="76" spans="1:14" ht="12.75" hidden="1">
      <c r="A76" s="1378"/>
      <c r="B76" s="1378"/>
      <c r="C76" s="1347" t="s">
        <v>193</v>
      </c>
      <c r="D76" s="185" t="s">
        <v>20</v>
      </c>
      <c r="E76" s="197">
        <f>F76+G76</f>
        <v>1750000</v>
      </c>
      <c r="F76" s="186">
        <v>350000</v>
      </c>
      <c r="G76" s="186">
        <v>1400000</v>
      </c>
      <c r="H76" s="121"/>
      <c r="I76" s="1347" t="s">
        <v>196</v>
      </c>
      <c r="J76" s="187" t="s">
        <v>20</v>
      </c>
      <c r="K76" s="186">
        <f>L76+M76+N76</f>
        <v>1750000</v>
      </c>
      <c r="L76" s="186">
        <v>350000</v>
      </c>
      <c r="M76" s="186">
        <v>1400000</v>
      </c>
      <c r="N76" s="186">
        <v>0</v>
      </c>
    </row>
    <row r="77" spans="1:14" ht="12.75" hidden="1">
      <c r="A77" s="1379"/>
      <c r="B77" s="1379"/>
      <c r="C77" s="1348"/>
      <c r="D77" s="185" t="s">
        <v>21</v>
      </c>
      <c r="E77" s="197">
        <f>F77+G77</f>
        <v>0</v>
      </c>
      <c r="F77" s="186"/>
      <c r="G77" s="186"/>
      <c r="H77" s="121"/>
      <c r="I77" s="1348"/>
      <c r="J77" s="187" t="s">
        <v>21</v>
      </c>
      <c r="K77" s="186">
        <f>L77+M77+N77</f>
        <v>0</v>
      </c>
      <c r="L77" s="186"/>
      <c r="M77" s="186"/>
      <c r="N77" s="186"/>
    </row>
    <row r="78" spans="1:14" ht="12.75" hidden="1">
      <c r="A78" s="1380"/>
      <c r="B78" s="1380"/>
      <c r="C78" s="1349"/>
      <c r="D78" s="185" t="s">
        <v>22</v>
      </c>
      <c r="E78" s="197">
        <f>E76+E77</f>
        <v>1750000</v>
      </c>
      <c r="F78" s="197">
        <f>F76+F77</f>
        <v>350000</v>
      </c>
      <c r="G78" s="197">
        <f>G76+G77</f>
        <v>1400000</v>
      </c>
      <c r="H78" s="121"/>
      <c r="I78" s="1349"/>
      <c r="J78" s="187" t="s">
        <v>22</v>
      </c>
      <c r="K78" s="186">
        <f>K76+K77</f>
        <v>1750000</v>
      </c>
      <c r="L78" s="186">
        <f>L76+L77</f>
        <v>350000</v>
      </c>
      <c r="M78" s="186">
        <f>M76+M77</f>
        <v>1400000</v>
      </c>
      <c r="N78" s="186">
        <f>N76+N77</f>
        <v>0</v>
      </c>
    </row>
    <row r="79" spans="1:14" ht="12.75" hidden="1">
      <c r="A79" s="182"/>
      <c r="B79" s="183"/>
      <c r="C79" s="184"/>
      <c r="D79" s="185"/>
      <c r="E79" s="206"/>
      <c r="F79" s="206"/>
      <c r="G79" s="206"/>
      <c r="H79" s="121"/>
      <c r="I79" s="184"/>
      <c r="J79" s="187"/>
      <c r="K79" s="186"/>
      <c r="L79" s="186"/>
      <c r="M79" s="186"/>
      <c r="N79" s="186"/>
    </row>
    <row r="80" spans="1:14" s="191" customFormat="1" ht="13.5" hidden="1">
      <c r="A80" s="1366">
        <v>6</v>
      </c>
      <c r="B80" s="1369" t="s">
        <v>205</v>
      </c>
      <c r="C80" s="1370"/>
      <c r="D80" s="188" t="s">
        <v>20</v>
      </c>
      <c r="E80" s="189">
        <f aca="true" t="shared" si="16" ref="E80:G81">E84</f>
        <v>115000</v>
      </c>
      <c r="F80" s="189">
        <f t="shared" si="16"/>
        <v>115000</v>
      </c>
      <c r="G80" s="189">
        <f t="shared" si="16"/>
        <v>0</v>
      </c>
      <c r="H80" s="121"/>
      <c r="I80" s="1375" t="s">
        <v>205</v>
      </c>
      <c r="J80" s="190" t="s">
        <v>20</v>
      </c>
      <c r="K80" s="189">
        <f aca="true" t="shared" si="17" ref="K80:N81">K84</f>
        <v>115000</v>
      </c>
      <c r="L80" s="189">
        <f t="shared" si="17"/>
        <v>115000</v>
      </c>
      <c r="M80" s="189">
        <f t="shared" si="17"/>
        <v>0</v>
      </c>
      <c r="N80" s="189">
        <f t="shared" si="17"/>
        <v>0</v>
      </c>
    </row>
    <row r="81" spans="1:14" s="191" customFormat="1" ht="13.5" hidden="1">
      <c r="A81" s="1367"/>
      <c r="B81" s="1371"/>
      <c r="C81" s="1372"/>
      <c r="D81" s="188" t="s">
        <v>21</v>
      </c>
      <c r="E81" s="189">
        <f t="shared" si="16"/>
        <v>0</v>
      </c>
      <c r="F81" s="189">
        <f t="shared" si="16"/>
        <v>0</v>
      </c>
      <c r="G81" s="189">
        <f t="shared" si="16"/>
        <v>0</v>
      </c>
      <c r="H81" s="121"/>
      <c r="I81" s="1376"/>
      <c r="J81" s="190" t="s">
        <v>21</v>
      </c>
      <c r="K81" s="189">
        <f t="shared" si="17"/>
        <v>0</v>
      </c>
      <c r="L81" s="189">
        <f t="shared" si="17"/>
        <v>0</v>
      </c>
      <c r="M81" s="189">
        <f t="shared" si="17"/>
        <v>0</v>
      </c>
      <c r="N81" s="189">
        <f t="shared" si="17"/>
        <v>0</v>
      </c>
    </row>
    <row r="82" spans="1:14" s="191" customFormat="1" ht="13.5" hidden="1">
      <c r="A82" s="1368"/>
      <c r="B82" s="1373"/>
      <c r="C82" s="1374"/>
      <c r="D82" s="188" t="s">
        <v>22</v>
      </c>
      <c r="E82" s="189">
        <f>E80+E81</f>
        <v>115000</v>
      </c>
      <c r="F82" s="189">
        <f>F80+F81</f>
        <v>115000</v>
      </c>
      <c r="G82" s="189">
        <f>G80+G81</f>
        <v>0</v>
      </c>
      <c r="H82" s="121"/>
      <c r="I82" s="1377"/>
      <c r="J82" s="190" t="s">
        <v>22</v>
      </c>
      <c r="K82" s="189">
        <f>K80+K81</f>
        <v>115000</v>
      </c>
      <c r="L82" s="189">
        <f>L80+L81</f>
        <v>115000</v>
      </c>
      <c r="M82" s="189">
        <f>M80+M81</f>
        <v>0</v>
      </c>
      <c r="N82" s="189">
        <f>N80+N81</f>
        <v>0</v>
      </c>
    </row>
    <row r="83" spans="1:14" s="181" customFormat="1" ht="12.75" hidden="1">
      <c r="A83" s="198"/>
      <c r="B83" s="203"/>
      <c r="C83" s="204"/>
      <c r="D83" s="120"/>
      <c r="E83" s="200"/>
      <c r="F83" s="179"/>
      <c r="G83" s="179"/>
      <c r="H83" s="121"/>
      <c r="I83" s="204"/>
      <c r="J83" s="180"/>
      <c r="K83" s="201"/>
      <c r="L83" s="201"/>
      <c r="M83" s="201"/>
      <c r="N83" s="201"/>
    </row>
    <row r="84" spans="1:14" ht="12.75" hidden="1">
      <c r="A84" s="1378"/>
      <c r="B84" s="1378"/>
      <c r="C84" s="1347" t="s">
        <v>193</v>
      </c>
      <c r="D84" s="185" t="s">
        <v>20</v>
      </c>
      <c r="E84" s="197">
        <f>F84+G84</f>
        <v>115000</v>
      </c>
      <c r="F84" s="186">
        <v>115000</v>
      </c>
      <c r="G84" s="186">
        <v>0</v>
      </c>
      <c r="H84" s="121"/>
      <c r="I84" s="1347" t="s">
        <v>203</v>
      </c>
      <c r="J84" s="187" t="s">
        <v>20</v>
      </c>
      <c r="K84" s="186">
        <f>L84+M84+N84</f>
        <v>115000</v>
      </c>
      <c r="L84" s="186">
        <v>115000</v>
      </c>
      <c r="M84" s="186">
        <v>0</v>
      </c>
      <c r="N84" s="186">
        <v>0</v>
      </c>
    </row>
    <row r="85" spans="1:14" ht="12.75" hidden="1">
      <c r="A85" s="1379"/>
      <c r="B85" s="1379"/>
      <c r="C85" s="1348"/>
      <c r="D85" s="135" t="s">
        <v>21</v>
      </c>
      <c r="E85" s="197">
        <f>F85+G85</f>
        <v>0</v>
      </c>
      <c r="F85" s="136"/>
      <c r="G85" s="136"/>
      <c r="H85" s="121"/>
      <c r="I85" s="1348"/>
      <c r="J85" s="215" t="s">
        <v>21</v>
      </c>
      <c r="K85" s="186">
        <f>L85+M85+N85</f>
        <v>0</v>
      </c>
      <c r="L85" s="136"/>
      <c r="M85" s="136"/>
      <c r="N85" s="136"/>
    </row>
    <row r="86" spans="1:14" ht="12.75" hidden="1">
      <c r="A86" s="1380"/>
      <c r="B86" s="1380"/>
      <c r="C86" s="1349"/>
      <c r="D86" s="135" t="s">
        <v>22</v>
      </c>
      <c r="E86" s="216">
        <f>E84+E85</f>
        <v>115000</v>
      </c>
      <c r="F86" s="216">
        <f>F84+F85</f>
        <v>115000</v>
      </c>
      <c r="G86" s="216">
        <f>G84+G85</f>
        <v>0</v>
      </c>
      <c r="H86" s="121"/>
      <c r="I86" s="1349"/>
      <c r="J86" s="215" t="s">
        <v>22</v>
      </c>
      <c r="K86" s="136">
        <f>K84+K85</f>
        <v>115000</v>
      </c>
      <c r="L86" s="136">
        <f>L84+L85</f>
        <v>115000</v>
      </c>
      <c r="M86" s="136">
        <f>M84+M85</f>
        <v>0</v>
      </c>
      <c r="N86" s="136">
        <f>N84+N85</f>
        <v>0</v>
      </c>
    </row>
    <row r="87" spans="1:14" ht="13.5" hidden="1" thickBot="1">
      <c r="A87" s="132"/>
      <c r="B87" s="132"/>
      <c r="C87" s="196"/>
      <c r="D87" s="135"/>
      <c r="E87" s="216"/>
      <c r="F87" s="216"/>
      <c r="G87" s="216"/>
      <c r="H87" s="121"/>
      <c r="I87" s="196"/>
      <c r="J87" s="215"/>
      <c r="K87" s="136"/>
      <c r="L87" s="136"/>
      <c r="M87" s="136"/>
      <c r="N87" s="136"/>
    </row>
    <row r="88" spans="1:14" s="163" customFormat="1" ht="14.25" hidden="1">
      <c r="A88" s="1396"/>
      <c r="B88" s="1399" t="s">
        <v>27</v>
      </c>
      <c r="C88" s="1402" t="s">
        <v>28</v>
      </c>
      <c r="D88" s="159" t="s">
        <v>20</v>
      </c>
      <c r="E88" s="160">
        <f aca="true" t="shared" si="18" ref="E88:G89">E92+E104</f>
        <v>40570000</v>
      </c>
      <c r="F88" s="160">
        <f t="shared" si="18"/>
        <v>40570000</v>
      </c>
      <c r="G88" s="160">
        <f t="shared" si="18"/>
        <v>0</v>
      </c>
      <c r="H88" s="1360"/>
      <c r="I88" s="1402" t="s">
        <v>28</v>
      </c>
      <c r="J88" s="161" t="s">
        <v>20</v>
      </c>
      <c r="K88" s="160">
        <f aca="true" t="shared" si="19" ref="K88:N89">K92+K104</f>
        <v>40570000</v>
      </c>
      <c r="L88" s="160">
        <f t="shared" si="19"/>
        <v>40570000</v>
      </c>
      <c r="M88" s="160">
        <f t="shared" si="19"/>
        <v>0</v>
      </c>
      <c r="N88" s="162">
        <f t="shared" si="19"/>
        <v>0</v>
      </c>
    </row>
    <row r="89" spans="1:14" s="163" customFormat="1" ht="14.25" hidden="1">
      <c r="A89" s="1397"/>
      <c r="B89" s="1400"/>
      <c r="C89" s="1403"/>
      <c r="D89" s="164" t="s">
        <v>21</v>
      </c>
      <c r="E89" s="165">
        <f t="shared" si="18"/>
        <v>0</v>
      </c>
      <c r="F89" s="165">
        <f t="shared" si="18"/>
        <v>0</v>
      </c>
      <c r="G89" s="165">
        <f t="shared" si="18"/>
        <v>0</v>
      </c>
      <c r="H89" s="1361"/>
      <c r="I89" s="1403"/>
      <c r="J89" s="166" t="s">
        <v>21</v>
      </c>
      <c r="K89" s="165">
        <f t="shared" si="19"/>
        <v>0</v>
      </c>
      <c r="L89" s="165">
        <f t="shared" si="19"/>
        <v>0</v>
      </c>
      <c r="M89" s="165">
        <f t="shared" si="19"/>
        <v>0</v>
      </c>
      <c r="N89" s="167">
        <f t="shared" si="19"/>
        <v>0</v>
      </c>
    </row>
    <row r="90" spans="1:14" s="163" customFormat="1" ht="15" hidden="1" thickBot="1">
      <c r="A90" s="1398"/>
      <c r="B90" s="1401"/>
      <c r="C90" s="1404"/>
      <c r="D90" s="168" t="s">
        <v>22</v>
      </c>
      <c r="E90" s="169">
        <f>E88+E89</f>
        <v>40570000</v>
      </c>
      <c r="F90" s="169">
        <f>F88+F89</f>
        <v>40570000</v>
      </c>
      <c r="G90" s="169">
        <f>G88+G89</f>
        <v>0</v>
      </c>
      <c r="H90" s="1362"/>
      <c r="I90" s="1404"/>
      <c r="J90" s="170" t="s">
        <v>22</v>
      </c>
      <c r="K90" s="169">
        <f>K88+K89</f>
        <v>40570000</v>
      </c>
      <c r="L90" s="169">
        <f>L88+L89</f>
        <v>40570000</v>
      </c>
      <c r="M90" s="169">
        <f>M88+M89</f>
        <v>0</v>
      </c>
      <c r="N90" s="171">
        <f>N88+N89</f>
        <v>0</v>
      </c>
    </row>
    <row r="91" spans="1:14" ht="12.75" hidden="1">
      <c r="A91" s="172"/>
      <c r="B91" s="173"/>
      <c r="C91" s="174"/>
      <c r="D91" s="175"/>
      <c r="E91" s="217"/>
      <c r="F91" s="217"/>
      <c r="G91" s="217"/>
      <c r="H91" s="121"/>
      <c r="I91" s="174"/>
      <c r="J91" s="177"/>
      <c r="K91" s="176"/>
      <c r="L91" s="176"/>
      <c r="M91" s="176"/>
      <c r="N91" s="176"/>
    </row>
    <row r="92" spans="1:14" s="181" customFormat="1" ht="12.75" hidden="1">
      <c r="A92" s="1381"/>
      <c r="B92" s="1384" t="s">
        <v>206</v>
      </c>
      <c r="C92" s="1387" t="s">
        <v>207</v>
      </c>
      <c r="D92" s="120" t="s">
        <v>20</v>
      </c>
      <c r="E92" s="179">
        <f aca="true" t="shared" si="20" ref="E92:G93">E96</f>
        <v>40500000</v>
      </c>
      <c r="F92" s="179">
        <f t="shared" si="20"/>
        <v>40500000</v>
      </c>
      <c r="G92" s="179">
        <f t="shared" si="20"/>
        <v>0</v>
      </c>
      <c r="H92" s="121"/>
      <c r="I92" s="1387" t="s">
        <v>207</v>
      </c>
      <c r="J92" s="180" t="s">
        <v>20</v>
      </c>
      <c r="K92" s="179">
        <f aca="true" t="shared" si="21" ref="K92:N93">K96</f>
        <v>40500000</v>
      </c>
      <c r="L92" s="179">
        <f t="shared" si="21"/>
        <v>40500000</v>
      </c>
      <c r="M92" s="179">
        <f t="shared" si="21"/>
        <v>0</v>
      </c>
      <c r="N92" s="179">
        <f t="shared" si="21"/>
        <v>0</v>
      </c>
    </row>
    <row r="93" spans="1:14" s="181" customFormat="1" ht="12.75" hidden="1">
      <c r="A93" s="1382"/>
      <c r="B93" s="1385"/>
      <c r="C93" s="1388"/>
      <c r="D93" s="120" t="s">
        <v>21</v>
      </c>
      <c r="E93" s="179">
        <f t="shared" si="20"/>
        <v>0</v>
      </c>
      <c r="F93" s="179">
        <f t="shared" si="20"/>
        <v>0</v>
      </c>
      <c r="G93" s="179">
        <f t="shared" si="20"/>
        <v>0</v>
      </c>
      <c r="H93" s="121"/>
      <c r="I93" s="1388"/>
      <c r="J93" s="180" t="s">
        <v>21</v>
      </c>
      <c r="K93" s="179">
        <f t="shared" si="21"/>
        <v>0</v>
      </c>
      <c r="L93" s="179">
        <f t="shared" si="21"/>
        <v>0</v>
      </c>
      <c r="M93" s="179">
        <f t="shared" si="21"/>
        <v>0</v>
      </c>
      <c r="N93" s="179">
        <f t="shared" si="21"/>
        <v>0</v>
      </c>
    </row>
    <row r="94" spans="1:14" s="181" customFormat="1" ht="12.75" hidden="1">
      <c r="A94" s="1383"/>
      <c r="B94" s="1386"/>
      <c r="C94" s="1389"/>
      <c r="D94" s="120" t="s">
        <v>22</v>
      </c>
      <c r="E94" s="179">
        <f>E92+E93</f>
        <v>40500000</v>
      </c>
      <c r="F94" s="179">
        <f>F92+F93</f>
        <v>40500000</v>
      </c>
      <c r="G94" s="179">
        <f>G92+G93</f>
        <v>0</v>
      </c>
      <c r="H94" s="121"/>
      <c r="I94" s="1389"/>
      <c r="J94" s="180" t="s">
        <v>22</v>
      </c>
      <c r="K94" s="179">
        <f>K92+K93</f>
        <v>40500000</v>
      </c>
      <c r="L94" s="179">
        <f>L92+L93</f>
        <v>40500000</v>
      </c>
      <c r="M94" s="179">
        <f>M92+M93</f>
        <v>0</v>
      </c>
      <c r="N94" s="179">
        <f>N92+N93</f>
        <v>0</v>
      </c>
    </row>
    <row r="95" spans="1:14" ht="12.75" hidden="1">
      <c r="A95" s="182"/>
      <c r="B95" s="183"/>
      <c r="C95" s="184"/>
      <c r="D95" s="185"/>
      <c r="E95" s="206"/>
      <c r="F95" s="206"/>
      <c r="G95" s="206"/>
      <c r="H95" s="121"/>
      <c r="I95" s="184"/>
      <c r="J95" s="187"/>
      <c r="K95" s="186"/>
      <c r="L95" s="186"/>
      <c r="M95" s="186"/>
      <c r="N95" s="186"/>
    </row>
    <row r="96" spans="1:14" s="191" customFormat="1" ht="13.5" hidden="1">
      <c r="A96" s="1366">
        <v>7</v>
      </c>
      <c r="B96" s="1369" t="s">
        <v>208</v>
      </c>
      <c r="C96" s="1370"/>
      <c r="D96" s="188" t="s">
        <v>20</v>
      </c>
      <c r="E96" s="189">
        <f aca="true" t="shared" si="22" ref="E96:G97">E100</f>
        <v>40500000</v>
      </c>
      <c r="F96" s="189">
        <f t="shared" si="22"/>
        <v>40500000</v>
      </c>
      <c r="G96" s="189">
        <f t="shared" si="22"/>
        <v>0</v>
      </c>
      <c r="H96" s="121"/>
      <c r="I96" s="1408" t="s">
        <v>208</v>
      </c>
      <c r="J96" s="190" t="s">
        <v>20</v>
      </c>
      <c r="K96" s="189">
        <f aca="true" t="shared" si="23" ref="K96:N97">K100</f>
        <v>40500000</v>
      </c>
      <c r="L96" s="189">
        <f t="shared" si="23"/>
        <v>40500000</v>
      </c>
      <c r="M96" s="189">
        <f t="shared" si="23"/>
        <v>0</v>
      </c>
      <c r="N96" s="189">
        <f t="shared" si="23"/>
        <v>0</v>
      </c>
    </row>
    <row r="97" spans="1:14" s="191" customFormat="1" ht="13.5" hidden="1">
      <c r="A97" s="1367"/>
      <c r="B97" s="1371"/>
      <c r="C97" s="1372"/>
      <c r="D97" s="188" t="s">
        <v>21</v>
      </c>
      <c r="E97" s="189">
        <f t="shared" si="22"/>
        <v>0</v>
      </c>
      <c r="F97" s="189">
        <f t="shared" si="22"/>
        <v>0</v>
      </c>
      <c r="G97" s="189">
        <f t="shared" si="22"/>
        <v>0</v>
      </c>
      <c r="H97" s="121"/>
      <c r="I97" s="1409"/>
      <c r="J97" s="190" t="s">
        <v>21</v>
      </c>
      <c r="K97" s="189">
        <f t="shared" si="23"/>
        <v>0</v>
      </c>
      <c r="L97" s="189">
        <f t="shared" si="23"/>
        <v>0</v>
      </c>
      <c r="M97" s="189">
        <f t="shared" si="23"/>
        <v>0</v>
      </c>
      <c r="N97" s="189">
        <f t="shared" si="23"/>
        <v>0</v>
      </c>
    </row>
    <row r="98" spans="1:14" s="191" customFormat="1" ht="13.5" hidden="1">
      <c r="A98" s="1368"/>
      <c r="B98" s="1373"/>
      <c r="C98" s="1374"/>
      <c r="D98" s="188" t="s">
        <v>22</v>
      </c>
      <c r="E98" s="189">
        <f>E96+E97</f>
        <v>40500000</v>
      </c>
      <c r="F98" s="189">
        <f>F96+F97</f>
        <v>40500000</v>
      </c>
      <c r="G98" s="189">
        <f>G96+G97</f>
        <v>0</v>
      </c>
      <c r="H98" s="121"/>
      <c r="I98" s="1410"/>
      <c r="J98" s="190" t="s">
        <v>22</v>
      </c>
      <c r="K98" s="189">
        <f>K96+K97</f>
        <v>40500000</v>
      </c>
      <c r="L98" s="189">
        <f>L96+L97</f>
        <v>40500000</v>
      </c>
      <c r="M98" s="189">
        <f>M96+M97</f>
        <v>0</v>
      </c>
      <c r="N98" s="189">
        <f>N96+N97</f>
        <v>0</v>
      </c>
    </row>
    <row r="99" spans="1:14" s="181" customFormat="1" ht="12.75" hidden="1">
      <c r="A99" s="198"/>
      <c r="B99" s="203"/>
      <c r="C99" s="204"/>
      <c r="D99" s="120"/>
      <c r="E99" s="200"/>
      <c r="F99" s="179"/>
      <c r="G99" s="179"/>
      <c r="H99" s="121"/>
      <c r="I99" s="204"/>
      <c r="J99" s="180"/>
      <c r="K99" s="201"/>
      <c r="L99" s="201"/>
      <c r="M99" s="201"/>
      <c r="N99" s="201"/>
    </row>
    <row r="100" spans="1:14" ht="12.75" hidden="1">
      <c r="A100" s="1378"/>
      <c r="B100" s="1378"/>
      <c r="C100" s="1347" t="s">
        <v>193</v>
      </c>
      <c r="D100" s="185" t="s">
        <v>20</v>
      </c>
      <c r="E100" s="197">
        <f>F100+G100</f>
        <v>40500000</v>
      </c>
      <c r="F100" s="186">
        <v>40500000</v>
      </c>
      <c r="G100" s="186">
        <v>0</v>
      </c>
      <c r="H100" s="121"/>
      <c r="I100" s="1347" t="s">
        <v>203</v>
      </c>
      <c r="J100" s="187" t="s">
        <v>20</v>
      </c>
      <c r="K100" s="186">
        <f>L100+M100+N100</f>
        <v>40500000</v>
      </c>
      <c r="L100" s="186">
        <v>40500000</v>
      </c>
      <c r="M100" s="186">
        <v>0</v>
      </c>
      <c r="N100" s="186">
        <v>0</v>
      </c>
    </row>
    <row r="101" spans="1:14" ht="12.75" hidden="1">
      <c r="A101" s="1379"/>
      <c r="B101" s="1379"/>
      <c r="C101" s="1348"/>
      <c r="D101" s="185" t="s">
        <v>21</v>
      </c>
      <c r="E101" s="197">
        <f>F101+G101</f>
        <v>0</v>
      </c>
      <c r="F101" s="186"/>
      <c r="G101" s="186"/>
      <c r="H101" s="121"/>
      <c r="I101" s="1348"/>
      <c r="J101" s="187" t="s">
        <v>21</v>
      </c>
      <c r="K101" s="186">
        <f>L101+M101+N101</f>
        <v>0</v>
      </c>
      <c r="L101" s="186"/>
      <c r="M101" s="186"/>
      <c r="N101" s="186"/>
    </row>
    <row r="102" spans="1:14" ht="12.75" hidden="1">
      <c r="A102" s="1380"/>
      <c r="B102" s="1380"/>
      <c r="C102" s="1349"/>
      <c r="D102" s="185" t="s">
        <v>22</v>
      </c>
      <c r="E102" s="197">
        <f>E100+E101</f>
        <v>40500000</v>
      </c>
      <c r="F102" s="197">
        <f>F100+F101</f>
        <v>40500000</v>
      </c>
      <c r="G102" s="197">
        <f>G100+G101</f>
        <v>0</v>
      </c>
      <c r="H102" s="121"/>
      <c r="I102" s="1349"/>
      <c r="J102" s="187" t="s">
        <v>22</v>
      </c>
      <c r="K102" s="186">
        <f>K100+K101</f>
        <v>40500000</v>
      </c>
      <c r="L102" s="186">
        <f>L100+L101</f>
        <v>40500000</v>
      </c>
      <c r="M102" s="186">
        <f>M100+M101</f>
        <v>0</v>
      </c>
      <c r="N102" s="186">
        <f>N100+N101</f>
        <v>0</v>
      </c>
    </row>
    <row r="103" spans="1:14" ht="12.75" hidden="1">
      <c r="A103" s="182"/>
      <c r="B103" s="183"/>
      <c r="C103" s="184"/>
      <c r="D103" s="185"/>
      <c r="E103" s="206"/>
      <c r="F103" s="206"/>
      <c r="G103" s="206"/>
      <c r="H103" s="121"/>
      <c r="I103" s="184"/>
      <c r="J103" s="187"/>
      <c r="K103" s="186"/>
      <c r="L103" s="186"/>
      <c r="M103" s="186"/>
      <c r="N103" s="186"/>
    </row>
    <row r="104" spans="1:14" s="181" customFormat="1" ht="12.75" hidden="1">
      <c r="A104" s="1381"/>
      <c r="B104" s="1384" t="s">
        <v>209</v>
      </c>
      <c r="C104" s="1387" t="s">
        <v>210</v>
      </c>
      <c r="D104" s="120" t="s">
        <v>20</v>
      </c>
      <c r="E104" s="179">
        <f aca="true" t="shared" si="24" ref="E104:G105">E108</f>
        <v>70000</v>
      </c>
      <c r="F104" s="179">
        <f t="shared" si="24"/>
        <v>70000</v>
      </c>
      <c r="G104" s="179">
        <f t="shared" si="24"/>
        <v>0</v>
      </c>
      <c r="H104" s="121"/>
      <c r="I104" s="1387" t="s">
        <v>210</v>
      </c>
      <c r="J104" s="180" t="s">
        <v>20</v>
      </c>
      <c r="K104" s="179">
        <f aca="true" t="shared" si="25" ref="K104:N105">K108</f>
        <v>70000</v>
      </c>
      <c r="L104" s="179">
        <f t="shared" si="25"/>
        <v>70000</v>
      </c>
      <c r="M104" s="179">
        <f t="shared" si="25"/>
        <v>0</v>
      </c>
      <c r="N104" s="179">
        <f t="shared" si="25"/>
        <v>0</v>
      </c>
    </row>
    <row r="105" spans="1:14" s="181" customFormat="1" ht="12.75" hidden="1">
      <c r="A105" s="1382"/>
      <c r="B105" s="1385"/>
      <c r="C105" s="1388"/>
      <c r="D105" s="120" t="s">
        <v>21</v>
      </c>
      <c r="E105" s="179">
        <f t="shared" si="24"/>
        <v>0</v>
      </c>
      <c r="F105" s="179">
        <f t="shared" si="24"/>
        <v>0</v>
      </c>
      <c r="G105" s="179">
        <f t="shared" si="24"/>
        <v>0</v>
      </c>
      <c r="H105" s="121"/>
      <c r="I105" s="1388"/>
      <c r="J105" s="180" t="s">
        <v>21</v>
      </c>
      <c r="K105" s="179">
        <f t="shared" si="25"/>
        <v>0</v>
      </c>
      <c r="L105" s="179">
        <f t="shared" si="25"/>
        <v>0</v>
      </c>
      <c r="M105" s="179">
        <f t="shared" si="25"/>
        <v>0</v>
      </c>
      <c r="N105" s="179">
        <f t="shared" si="25"/>
        <v>0</v>
      </c>
    </row>
    <row r="106" spans="1:14" s="181" customFormat="1" ht="12.75" hidden="1">
      <c r="A106" s="1383"/>
      <c r="B106" s="1386"/>
      <c r="C106" s="1389"/>
      <c r="D106" s="120" t="s">
        <v>22</v>
      </c>
      <c r="E106" s="179">
        <f>E104+E105</f>
        <v>70000</v>
      </c>
      <c r="F106" s="179">
        <f>F104+F105</f>
        <v>70000</v>
      </c>
      <c r="G106" s="179">
        <f>G104+G105</f>
        <v>0</v>
      </c>
      <c r="H106" s="121"/>
      <c r="I106" s="1389"/>
      <c r="J106" s="180" t="s">
        <v>22</v>
      </c>
      <c r="K106" s="179">
        <f>K104+K105</f>
        <v>70000</v>
      </c>
      <c r="L106" s="179">
        <f>L104+L105</f>
        <v>70000</v>
      </c>
      <c r="M106" s="179">
        <f>M104+M105</f>
        <v>0</v>
      </c>
      <c r="N106" s="179">
        <f>N104+N105</f>
        <v>0</v>
      </c>
    </row>
    <row r="107" spans="1:14" ht="13.5" hidden="1">
      <c r="A107" s="182"/>
      <c r="B107" s="218"/>
      <c r="C107" s="218"/>
      <c r="D107" s="188"/>
      <c r="E107" s="206"/>
      <c r="F107" s="206"/>
      <c r="G107" s="206"/>
      <c r="H107" s="121"/>
      <c r="I107" s="184"/>
      <c r="J107" s="187"/>
      <c r="K107" s="186"/>
      <c r="L107" s="186"/>
      <c r="M107" s="186"/>
      <c r="N107" s="186"/>
    </row>
    <row r="108" spans="1:14" s="195" customFormat="1" ht="13.5" hidden="1">
      <c r="A108" s="1366">
        <v>8</v>
      </c>
      <c r="B108" s="1369" t="s">
        <v>211</v>
      </c>
      <c r="C108" s="1370"/>
      <c r="D108" s="188" t="s">
        <v>20</v>
      </c>
      <c r="E108" s="189">
        <f aca="true" t="shared" si="26" ref="E108:G109">E112</f>
        <v>70000</v>
      </c>
      <c r="F108" s="189">
        <f t="shared" si="26"/>
        <v>70000</v>
      </c>
      <c r="G108" s="189">
        <f t="shared" si="26"/>
        <v>0</v>
      </c>
      <c r="H108" s="121"/>
      <c r="I108" s="1375" t="s">
        <v>211</v>
      </c>
      <c r="J108" s="190" t="s">
        <v>20</v>
      </c>
      <c r="K108" s="189">
        <f aca="true" t="shared" si="27" ref="K108:N109">K112</f>
        <v>70000</v>
      </c>
      <c r="L108" s="189">
        <f t="shared" si="27"/>
        <v>70000</v>
      </c>
      <c r="M108" s="189">
        <f t="shared" si="27"/>
        <v>0</v>
      </c>
      <c r="N108" s="189">
        <f t="shared" si="27"/>
        <v>0</v>
      </c>
    </row>
    <row r="109" spans="1:14" s="195" customFormat="1" ht="13.5" hidden="1">
      <c r="A109" s="1367"/>
      <c r="B109" s="1371"/>
      <c r="C109" s="1372"/>
      <c r="D109" s="188" t="s">
        <v>21</v>
      </c>
      <c r="E109" s="189">
        <f t="shared" si="26"/>
        <v>0</v>
      </c>
      <c r="F109" s="189">
        <f t="shared" si="26"/>
        <v>0</v>
      </c>
      <c r="G109" s="189">
        <f t="shared" si="26"/>
        <v>0</v>
      </c>
      <c r="H109" s="121"/>
      <c r="I109" s="1376"/>
      <c r="J109" s="190" t="s">
        <v>21</v>
      </c>
      <c r="K109" s="189">
        <f t="shared" si="27"/>
        <v>0</v>
      </c>
      <c r="L109" s="189">
        <f t="shared" si="27"/>
        <v>0</v>
      </c>
      <c r="M109" s="189">
        <f t="shared" si="27"/>
        <v>0</v>
      </c>
      <c r="N109" s="189">
        <f t="shared" si="27"/>
        <v>0</v>
      </c>
    </row>
    <row r="110" spans="1:14" s="195" customFormat="1" ht="13.5" hidden="1">
      <c r="A110" s="1368"/>
      <c r="B110" s="1373"/>
      <c r="C110" s="1374"/>
      <c r="D110" s="188" t="s">
        <v>22</v>
      </c>
      <c r="E110" s="189">
        <f>E108+E109</f>
        <v>70000</v>
      </c>
      <c r="F110" s="189">
        <f>F108+F109</f>
        <v>70000</v>
      </c>
      <c r="G110" s="189">
        <f>G108+G109</f>
        <v>0</v>
      </c>
      <c r="H110" s="121"/>
      <c r="I110" s="1377"/>
      <c r="J110" s="190" t="s">
        <v>22</v>
      </c>
      <c r="K110" s="189">
        <f>K108+K109</f>
        <v>70000</v>
      </c>
      <c r="L110" s="189">
        <f>L108+L109</f>
        <v>70000</v>
      </c>
      <c r="M110" s="189">
        <f>M108+M109</f>
        <v>0</v>
      </c>
      <c r="N110" s="189">
        <f>N108+N109</f>
        <v>0</v>
      </c>
    </row>
    <row r="111" spans="1:14" s="181" customFormat="1" ht="12.75" hidden="1">
      <c r="A111" s="198"/>
      <c r="B111" s="203"/>
      <c r="C111" s="204"/>
      <c r="D111" s="120"/>
      <c r="E111" s="200"/>
      <c r="F111" s="179"/>
      <c r="G111" s="179"/>
      <c r="H111" s="121"/>
      <c r="I111" s="204"/>
      <c r="J111" s="180"/>
      <c r="K111" s="201"/>
      <c r="L111" s="201"/>
      <c r="M111" s="201"/>
      <c r="N111" s="201"/>
    </row>
    <row r="112" spans="1:14" ht="12.75" hidden="1">
      <c r="A112" s="1378"/>
      <c r="B112" s="1378"/>
      <c r="C112" s="1347" t="s">
        <v>193</v>
      </c>
      <c r="D112" s="185" t="s">
        <v>20</v>
      </c>
      <c r="E112" s="197">
        <f>F112+G112</f>
        <v>70000</v>
      </c>
      <c r="F112" s="186">
        <v>70000</v>
      </c>
      <c r="G112" s="186">
        <v>0</v>
      </c>
      <c r="H112" s="121"/>
      <c r="I112" s="1347" t="s">
        <v>203</v>
      </c>
      <c r="J112" s="187" t="s">
        <v>20</v>
      </c>
      <c r="K112" s="186">
        <f>L112+M112+N112</f>
        <v>70000</v>
      </c>
      <c r="L112" s="186">
        <v>70000</v>
      </c>
      <c r="M112" s="186">
        <v>0</v>
      </c>
      <c r="N112" s="186">
        <v>0</v>
      </c>
    </row>
    <row r="113" spans="1:14" ht="12.75" hidden="1">
      <c r="A113" s="1379"/>
      <c r="B113" s="1379"/>
      <c r="C113" s="1348"/>
      <c r="D113" s="135" t="s">
        <v>21</v>
      </c>
      <c r="E113" s="197">
        <f>F113+G113</f>
        <v>0</v>
      </c>
      <c r="F113" s="136"/>
      <c r="G113" s="136"/>
      <c r="H113" s="121"/>
      <c r="I113" s="1348"/>
      <c r="J113" s="215" t="s">
        <v>21</v>
      </c>
      <c r="K113" s="186">
        <f>L113+M113+N113</f>
        <v>0</v>
      </c>
      <c r="L113" s="136"/>
      <c r="M113" s="136"/>
      <c r="N113" s="136"/>
    </row>
    <row r="114" spans="1:14" ht="12.75" hidden="1">
      <c r="A114" s="1380"/>
      <c r="B114" s="1380"/>
      <c r="C114" s="1349"/>
      <c r="D114" s="135" t="s">
        <v>22</v>
      </c>
      <c r="E114" s="216">
        <f>E112+E113</f>
        <v>70000</v>
      </c>
      <c r="F114" s="216">
        <f>F112+F113</f>
        <v>70000</v>
      </c>
      <c r="G114" s="216">
        <f>G112+G113</f>
        <v>0</v>
      </c>
      <c r="H114" s="121"/>
      <c r="I114" s="1349"/>
      <c r="J114" s="215" t="s">
        <v>22</v>
      </c>
      <c r="K114" s="136">
        <f>K112+K113</f>
        <v>70000</v>
      </c>
      <c r="L114" s="136">
        <f>L112+L113</f>
        <v>70000</v>
      </c>
      <c r="M114" s="136">
        <f>M112+M113</f>
        <v>0</v>
      </c>
      <c r="N114" s="136">
        <f>N112+N113</f>
        <v>0</v>
      </c>
    </row>
    <row r="115" spans="1:14" ht="13.5" hidden="1" thickBot="1">
      <c r="A115" s="132"/>
      <c r="B115" s="219"/>
      <c r="C115" s="134"/>
      <c r="D115" s="135"/>
      <c r="E115" s="220"/>
      <c r="F115" s="220"/>
      <c r="G115" s="220"/>
      <c r="H115" s="121"/>
      <c r="I115" s="134"/>
      <c r="J115" s="215"/>
      <c r="K115" s="136"/>
      <c r="L115" s="136"/>
      <c r="M115" s="136"/>
      <c r="N115" s="136"/>
    </row>
    <row r="116" spans="1:14" s="163" customFormat="1" ht="14.25" hidden="1">
      <c r="A116" s="1396"/>
      <c r="B116" s="1399" t="s">
        <v>35</v>
      </c>
      <c r="C116" s="1402" t="s">
        <v>36</v>
      </c>
      <c r="D116" s="159" t="s">
        <v>20</v>
      </c>
      <c r="E116" s="160">
        <f aca="true" t="shared" si="28" ref="E116:G117">E120+E132</f>
        <v>130000</v>
      </c>
      <c r="F116" s="160">
        <f t="shared" si="28"/>
        <v>130000</v>
      </c>
      <c r="G116" s="160">
        <f t="shared" si="28"/>
        <v>0</v>
      </c>
      <c r="H116" s="1360"/>
      <c r="I116" s="1402" t="s">
        <v>36</v>
      </c>
      <c r="J116" s="161" t="s">
        <v>20</v>
      </c>
      <c r="K116" s="160">
        <f aca="true" t="shared" si="29" ref="K116:N117">K120+K132</f>
        <v>130000</v>
      </c>
      <c r="L116" s="160">
        <f t="shared" si="29"/>
        <v>130000</v>
      </c>
      <c r="M116" s="160">
        <f t="shared" si="29"/>
        <v>0</v>
      </c>
      <c r="N116" s="162">
        <f t="shared" si="29"/>
        <v>0</v>
      </c>
    </row>
    <row r="117" spans="1:14" s="163" customFormat="1" ht="14.25" hidden="1">
      <c r="A117" s="1397"/>
      <c r="B117" s="1400"/>
      <c r="C117" s="1403"/>
      <c r="D117" s="164" t="s">
        <v>21</v>
      </c>
      <c r="E117" s="165">
        <f t="shared" si="28"/>
        <v>0</v>
      </c>
      <c r="F117" s="165">
        <f t="shared" si="28"/>
        <v>0</v>
      </c>
      <c r="G117" s="165">
        <f t="shared" si="28"/>
        <v>0</v>
      </c>
      <c r="H117" s="1361"/>
      <c r="I117" s="1403"/>
      <c r="J117" s="166" t="s">
        <v>21</v>
      </c>
      <c r="K117" s="165">
        <f t="shared" si="29"/>
        <v>0</v>
      </c>
      <c r="L117" s="165">
        <f t="shared" si="29"/>
        <v>0</v>
      </c>
      <c r="M117" s="165">
        <f t="shared" si="29"/>
        <v>0</v>
      </c>
      <c r="N117" s="167">
        <f t="shared" si="29"/>
        <v>0</v>
      </c>
    </row>
    <row r="118" spans="1:14" s="163" customFormat="1" ht="15" hidden="1" thickBot="1">
      <c r="A118" s="1398"/>
      <c r="B118" s="1401"/>
      <c r="C118" s="1404"/>
      <c r="D118" s="168" t="s">
        <v>22</v>
      </c>
      <c r="E118" s="169">
        <f>E116+E117</f>
        <v>130000</v>
      </c>
      <c r="F118" s="169">
        <f>F116+F117</f>
        <v>130000</v>
      </c>
      <c r="G118" s="169">
        <f>G116+G117</f>
        <v>0</v>
      </c>
      <c r="H118" s="1362"/>
      <c r="I118" s="1404"/>
      <c r="J118" s="170" t="s">
        <v>22</v>
      </c>
      <c r="K118" s="169">
        <f>K116+K117</f>
        <v>130000</v>
      </c>
      <c r="L118" s="169">
        <f>L116+L117</f>
        <v>130000</v>
      </c>
      <c r="M118" s="169">
        <f>M116+M117</f>
        <v>0</v>
      </c>
      <c r="N118" s="171">
        <f>N116+N117</f>
        <v>0</v>
      </c>
    </row>
    <row r="119" spans="1:14" ht="12.75" hidden="1">
      <c r="A119" s="172"/>
      <c r="B119" s="173"/>
      <c r="C119" s="174"/>
      <c r="D119" s="175"/>
      <c r="E119" s="217"/>
      <c r="F119" s="217"/>
      <c r="G119" s="217"/>
      <c r="H119" s="121"/>
      <c r="I119" s="174"/>
      <c r="J119" s="177"/>
      <c r="K119" s="176"/>
      <c r="L119" s="176"/>
      <c r="M119" s="176"/>
      <c r="N119" s="176"/>
    </row>
    <row r="120" spans="1:14" s="181" customFormat="1" ht="12.75" hidden="1">
      <c r="A120" s="1381"/>
      <c r="B120" s="1384" t="s">
        <v>212</v>
      </c>
      <c r="C120" s="1387" t="s">
        <v>213</v>
      </c>
      <c r="D120" s="120" t="s">
        <v>20</v>
      </c>
      <c r="E120" s="179">
        <f aca="true" t="shared" si="30" ref="E120:G121">E124</f>
        <v>30000</v>
      </c>
      <c r="F120" s="179">
        <f t="shared" si="30"/>
        <v>30000</v>
      </c>
      <c r="G120" s="179">
        <f t="shared" si="30"/>
        <v>0</v>
      </c>
      <c r="H120" s="121"/>
      <c r="I120" s="1387" t="s">
        <v>213</v>
      </c>
      <c r="J120" s="180" t="s">
        <v>20</v>
      </c>
      <c r="K120" s="179">
        <f aca="true" t="shared" si="31" ref="K120:N121">K124</f>
        <v>30000</v>
      </c>
      <c r="L120" s="179">
        <f t="shared" si="31"/>
        <v>30000</v>
      </c>
      <c r="M120" s="179">
        <f t="shared" si="31"/>
        <v>0</v>
      </c>
      <c r="N120" s="179">
        <f t="shared" si="31"/>
        <v>0</v>
      </c>
    </row>
    <row r="121" spans="1:14" s="181" customFormat="1" ht="12.75" hidden="1">
      <c r="A121" s="1382"/>
      <c r="B121" s="1385"/>
      <c r="C121" s="1388"/>
      <c r="D121" s="120" t="s">
        <v>21</v>
      </c>
      <c r="E121" s="179">
        <f t="shared" si="30"/>
        <v>0</v>
      </c>
      <c r="F121" s="179">
        <f t="shared" si="30"/>
        <v>0</v>
      </c>
      <c r="G121" s="179">
        <f t="shared" si="30"/>
        <v>0</v>
      </c>
      <c r="H121" s="121"/>
      <c r="I121" s="1388"/>
      <c r="J121" s="180" t="s">
        <v>21</v>
      </c>
      <c r="K121" s="179">
        <f t="shared" si="31"/>
        <v>0</v>
      </c>
      <c r="L121" s="179">
        <f t="shared" si="31"/>
        <v>0</v>
      </c>
      <c r="M121" s="179">
        <f t="shared" si="31"/>
        <v>0</v>
      </c>
      <c r="N121" s="179">
        <f t="shared" si="31"/>
        <v>0</v>
      </c>
    </row>
    <row r="122" spans="1:14" s="181" customFormat="1" ht="12.75" hidden="1">
      <c r="A122" s="1383"/>
      <c r="B122" s="1386"/>
      <c r="C122" s="1389"/>
      <c r="D122" s="120" t="s">
        <v>22</v>
      </c>
      <c r="E122" s="179">
        <f>E120+E121</f>
        <v>30000</v>
      </c>
      <c r="F122" s="179">
        <f>F120+F121</f>
        <v>30000</v>
      </c>
      <c r="G122" s="179">
        <f>G120+G121</f>
        <v>0</v>
      </c>
      <c r="H122" s="121"/>
      <c r="I122" s="1389"/>
      <c r="J122" s="180" t="s">
        <v>22</v>
      </c>
      <c r="K122" s="179"/>
      <c r="L122" s="179"/>
      <c r="M122" s="179"/>
      <c r="N122" s="179"/>
    </row>
    <row r="123" spans="1:14" ht="12.75" hidden="1">
      <c r="A123" s="182"/>
      <c r="B123" s="183"/>
      <c r="C123" s="184"/>
      <c r="D123" s="185"/>
      <c r="E123" s="206"/>
      <c r="F123" s="206"/>
      <c r="G123" s="206"/>
      <c r="H123" s="121"/>
      <c r="I123" s="184"/>
      <c r="J123" s="187"/>
      <c r="K123" s="186"/>
      <c r="L123" s="186"/>
      <c r="M123" s="186"/>
      <c r="N123" s="186"/>
    </row>
    <row r="124" spans="1:14" s="191" customFormat="1" ht="13.5" customHeight="1" hidden="1">
      <c r="A124" s="1366">
        <v>9</v>
      </c>
      <c r="B124" s="1369" t="s">
        <v>214</v>
      </c>
      <c r="C124" s="1370"/>
      <c r="D124" s="188" t="s">
        <v>20</v>
      </c>
      <c r="E124" s="189">
        <f aca="true" t="shared" si="32" ref="E124:G125">E128</f>
        <v>30000</v>
      </c>
      <c r="F124" s="189">
        <f t="shared" si="32"/>
        <v>30000</v>
      </c>
      <c r="G124" s="189">
        <f t="shared" si="32"/>
        <v>0</v>
      </c>
      <c r="H124" s="121"/>
      <c r="I124" s="1375" t="s">
        <v>214</v>
      </c>
      <c r="J124" s="190" t="s">
        <v>20</v>
      </c>
      <c r="K124" s="189">
        <f aca="true" t="shared" si="33" ref="K124:N125">K128</f>
        <v>30000</v>
      </c>
      <c r="L124" s="189">
        <f t="shared" si="33"/>
        <v>30000</v>
      </c>
      <c r="M124" s="189">
        <f t="shared" si="33"/>
        <v>0</v>
      </c>
      <c r="N124" s="189">
        <f t="shared" si="33"/>
        <v>0</v>
      </c>
    </row>
    <row r="125" spans="1:14" s="191" customFormat="1" ht="13.5" hidden="1">
      <c r="A125" s="1367"/>
      <c r="B125" s="1371"/>
      <c r="C125" s="1372"/>
      <c r="D125" s="188" t="s">
        <v>21</v>
      </c>
      <c r="E125" s="189">
        <f t="shared" si="32"/>
        <v>0</v>
      </c>
      <c r="F125" s="189">
        <f t="shared" si="32"/>
        <v>0</v>
      </c>
      <c r="G125" s="189">
        <f t="shared" si="32"/>
        <v>0</v>
      </c>
      <c r="H125" s="121"/>
      <c r="I125" s="1376"/>
      <c r="J125" s="190" t="s">
        <v>21</v>
      </c>
      <c r="K125" s="189">
        <f t="shared" si="33"/>
        <v>0</v>
      </c>
      <c r="L125" s="189">
        <f t="shared" si="33"/>
        <v>0</v>
      </c>
      <c r="M125" s="189">
        <f t="shared" si="33"/>
        <v>0</v>
      </c>
      <c r="N125" s="189">
        <f t="shared" si="33"/>
        <v>0</v>
      </c>
    </row>
    <row r="126" spans="1:14" s="191" customFormat="1" ht="13.5" hidden="1">
      <c r="A126" s="1368"/>
      <c r="B126" s="1373"/>
      <c r="C126" s="1374"/>
      <c r="D126" s="188" t="s">
        <v>22</v>
      </c>
      <c r="E126" s="189">
        <f>E124+E125</f>
        <v>30000</v>
      </c>
      <c r="F126" s="189">
        <f>F124+F125</f>
        <v>30000</v>
      </c>
      <c r="G126" s="189">
        <f>G124+G125</f>
        <v>0</v>
      </c>
      <c r="H126" s="121"/>
      <c r="I126" s="1377"/>
      <c r="J126" s="190" t="s">
        <v>22</v>
      </c>
      <c r="K126" s="189">
        <f>K124+K125</f>
        <v>30000</v>
      </c>
      <c r="L126" s="189">
        <f>L124+L125</f>
        <v>30000</v>
      </c>
      <c r="M126" s="189">
        <f>M124+M125</f>
        <v>0</v>
      </c>
      <c r="N126" s="189">
        <f>N124+N125</f>
        <v>0</v>
      </c>
    </row>
    <row r="127" spans="1:14" s="181" customFormat="1" ht="12.75" hidden="1">
      <c r="A127" s="198"/>
      <c r="B127" s="203"/>
      <c r="C127" s="204"/>
      <c r="D127" s="120"/>
      <c r="E127" s="200"/>
      <c r="F127" s="179"/>
      <c r="G127" s="179"/>
      <c r="H127" s="121"/>
      <c r="I127" s="204"/>
      <c r="J127" s="180"/>
      <c r="K127" s="201"/>
      <c r="L127" s="201"/>
      <c r="M127" s="201"/>
      <c r="N127" s="201"/>
    </row>
    <row r="128" spans="1:14" ht="12.75" hidden="1">
      <c r="A128" s="1378"/>
      <c r="B128" s="1378"/>
      <c r="C128" s="1347" t="s">
        <v>193</v>
      </c>
      <c r="D128" s="185" t="s">
        <v>20</v>
      </c>
      <c r="E128" s="197">
        <f>F128+G128</f>
        <v>30000</v>
      </c>
      <c r="F128" s="186">
        <v>30000</v>
      </c>
      <c r="G128" s="186">
        <v>0</v>
      </c>
      <c r="H128" s="121"/>
      <c r="I128" s="1347" t="s">
        <v>203</v>
      </c>
      <c r="J128" s="187" t="s">
        <v>20</v>
      </c>
      <c r="K128" s="186">
        <f>L128+M128+N128</f>
        <v>30000</v>
      </c>
      <c r="L128" s="186">
        <v>30000</v>
      </c>
      <c r="M128" s="186">
        <v>0</v>
      </c>
      <c r="N128" s="186">
        <v>0</v>
      </c>
    </row>
    <row r="129" spans="1:14" ht="12.75" hidden="1">
      <c r="A129" s="1379"/>
      <c r="B129" s="1379"/>
      <c r="C129" s="1348"/>
      <c r="D129" s="185" t="s">
        <v>21</v>
      </c>
      <c r="E129" s="197">
        <f>F129+G129</f>
        <v>0</v>
      </c>
      <c r="F129" s="186"/>
      <c r="G129" s="221"/>
      <c r="H129" s="121"/>
      <c r="I129" s="1348"/>
      <c r="J129" s="222" t="s">
        <v>21</v>
      </c>
      <c r="K129" s="186">
        <f>L129+M129+N129</f>
        <v>0</v>
      </c>
      <c r="L129" s="186"/>
      <c r="M129" s="186"/>
      <c r="N129" s="186"/>
    </row>
    <row r="130" spans="1:14" ht="12.75" hidden="1">
      <c r="A130" s="1380"/>
      <c r="B130" s="1380"/>
      <c r="C130" s="1349"/>
      <c r="D130" s="185" t="s">
        <v>22</v>
      </c>
      <c r="E130" s="197">
        <f>E128+E129</f>
        <v>30000</v>
      </c>
      <c r="F130" s="197">
        <f>F128+F129</f>
        <v>30000</v>
      </c>
      <c r="G130" s="197">
        <f>G128+G129</f>
        <v>0</v>
      </c>
      <c r="H130" s="121"/>
      <c r="I130" s="1349"/>
      <c r="J130" s="222" t="s">
        <v>22</v>
      </c>
      <c r="K130" s="186">
        <f>K128+K129</f>
        <v>30000</v>
      </c>
      <c r="L130" s="186">
        <f>L128+L129</f>
        <v>30000</v>
      </c>
      <c r="M130" s="186">
        <f>M128+M129</f>
        <v>0</v>
      </c>
      <c r="N130" s="186">
        <f>N128+N129</f>
        <v>0</v>
      </c>
    </row>
    <row r="131" spans="1:14" ht="12.75" hidden="1">
      <c r="A131" s="182"/>
      <c r="B131" s="183"/>
      <c r="C131" s="184"/>
      <c r="D131" s="185"/>
      <c r="E131" s="206"/>
      <c r="F131" s="206"/>
      <c r="G131" s="223"/>
      <c r="H131" s="121"/>
      <c r="I131" s="224"/>
      <c r="J131" s="222"/>
      <c r="K131" s="186"/>
      <c r="L131" s="186"/>
      <c r="M131" s="186"/>
      <c r="N131" s="186"/>
    </row>
    <row r="132" spans="1:14" s="181" customFormat="1" ht="12.75" hidden="1">
      <c r="A132" s="1381"/>
      <c r="B132" s="1384" t="s">
        <v>59</v>
      </c>
      <c r="C132" s="1387" t="s">
        <v>215</v>
      </c>
      <c r="D132" s="120" t="s">
        <v>20</v>
      </c>
      <c r="E132" s="179">
        <f aca="true" t="shared" si="34" ref="E132:G133">E136</f>
        <v>100000</v>
      </c>
      <c r="F132" s="179">
        <f t="shared" si="34"/>
        <v>100000</v>
      </c>
      <c r="G132" s="225">
        <f t="shared" si="34"/>
        <v>0</v>
      </c>
      <c r="H132" s="121"/>
      <c r="I132" s="1387" t="s">
        <v>215</v>
      </c>
      <c r="J132" s="226" t="s">
        <v>20</v>
      </c>
      <c r="K132" s="179">
        <f aca="true" t="shared" si="35" ref="K132:N133">K136</f>
        <v>100000</v>
      </c>
      <c r="L132" s="179">
        <f t="shared" si="35"/>
        <v>100000</v>
      </c>
      <c r="M132" s="179">
        <f t="shared" si="35"/>
        <v>0</v>
      </c>
      <c r="N132" s="179">
        <f t="shared" si="35"/>
        <v>0</v>
      </c>
    </row>
    <row r="133" spans="1:14" s="181" customFormat="1" ht="12.75" hidden="1">
      <c r="A133" s="1382"/>
      <c r="B133" s="1385"/>
      <c r="C133" s="1388"/>
      <c r="D133" s="120" t="s">
        <v>21</v>
      </c>
      <c r="E133" s="179">
        <f t="shared" si="34"/>
        <v>0</v>
      </c>
      <c r="F133" s="179">
        <f t="shared" si="34"/>
        <v>0</v>
      </c>
      <c r="G133" s="225">
        <f t="shared" si="34"/>
        <v>0</v>
      </c>
      <c r="H133" s="121"/>
      <c r="I133" s="1388"/>
      <c r="J133" s="226" t="s">
        <v>21</v>
      </c>
      <c r="K133" s="179">
        <f t="shared" si="35"/>
        <v>0</v>
      </c>
      <c r="L133" s="179">
        <f t="shared" si="35"/>
        <v>0</v>
      </c>
      <c r="M133" s="179">
        <f t="shared" si="35"/>
        <v>0</v>
      </c>
      <c r="N133" s="179">
        <f t="shared" si="35"/>
        <v>0</v>
      </c>
    </row>
    <row r="134" spans="1:14" s="181" customFormat="1" ht="12.75" hidden="1">
      <c r="A134" s="1383"/>
      <c r="B134" s="1386"/>
      <c r="C134" s="1389"/>
      <c r="D134" s="120" t="s">
        <v>22</v>
      </c>
      <c r="E134" s="179">
        <f>E132+E133</f>
        <v>100000</v>
      </c>
      <c r="F134" s="179">
        <f>F132+F133</f>
        <v>100000</v>
      </c>
      <c r="G134" s="179">
        <f>G132+G133</f>
        <v>0</v>
      </c>
      <c r="H134" s="121"/>
      <c r="I134" s="1389"/>
      <c r="J134" s="226" t="s">
        <v>22</v>
      </c>
      <c r="K134" s="179">
        <f>K132+K133</f>
        <v>100000</v>
      </c>
      <c r="L134" s="179">
        <f>L132+L133</f>
        <v>100000</v>
      </c>
      <c r="M134" s="179">
        <f>M132+M133</f>
        <v>0</v>
      </c>
      <c r="N134" s="179">
        <f>N132+N133</f>
        <v>0</v>
      </c>
    </row>
    <row r="135" spans="1:14" ht="13.5" hidden="1">
      <c r="A135" s="182"/>
      <c r="B135" s="218"/>
      <c r="C135" s="218"/>
      <c r="D135" s="188"/>
      <c r="E135" s="206"/>
      <c r="F135" s="206"/>
      <c r="G135" s="206"/>
      <c r="H135" s="121"/>
      <c r="I135" s="184"/>
      <c r="J135" s="187"/>
      <c r="K135" s="186"/>
      <c r="L135" s="186"/>
      <c r="M135" s="186"/>
      <c r="N135" s="186"/>
    </row>
    <row r="136" spans="1:14" s="191" customFormat="1" ht="13.5" hidden="1">
      <c r="A136" s="1366">
        <v>10</v>
      </c>
      <c r="B136" s="1369" t="s">
        <v>216</v>
      </c>
      <c r="C136" s="1370"/>
      <c r="D136" s="188" t="s">
        <v>20</v>
      </c>
      <c r="E136" s="189">
        <f aca="true" t="shared" si="36" ref="E136:G137">E140</f>
        <v>100000</v>
      </c>
      <c r="F136" s="189">
        <f t="shared" si="36"/>
        <v>100000</v>
      </c>
      <c r="G136" s="189">
        <f t="shared" si="36"/>
        <v>0</v>
      </c>
      <c r="H136" s="121"/>
      <c r="I136" s="1375" t="s">
        <v>216</v>
      </c>
      <c r="J136" s="190" t="s">
        <v>20</v>
      </c>
      <c r="K136" s="189">
        <f aca="true" t="shared" si="37" ref="K136:N137">K140</f>
        <v>100000</v>
      </c>
      <c r="L136" s="189">
        <f t="shared" si="37"/>
        <v>100000</v>
      </c>
      <c r="M136" s="189">
        <f t="shared" si="37"/>
        <v>0</v>
      </c>
      <c r="N136" s="189">
        <f t="shared" si="37"/>
        <v>0</v>
      </c>
    </row>
    <row r="137" spans="1:14" s="191" customFormat="1" ht="13.5" hidden="1">
      <c r="A137" s="1367"/>
      <c r="B137" s="1371"/>
      <c r="C137" s="1372"/>
      <c r="D137" s="188" t="s">
        <v>21</v>
      </c>
      <c r="E137" s="189">
        <f t="shared" si="36"/>
        <v>0</v>
      </c>
      <c r="F137" s="189">
        <f t="shared" si="36"/>
        <v>0</v>
      </c>
      <c r="G137" s="189">
        <f t="shared" si="36"/>
        <v>0</v>
      </c>
      <c r="H137" s="121"/>
      <c r="I137" s="1376"/>
      <c r="J137" s="190" t="s">
        <v>21</v>
      </c>
      <c r="K137" s="189">
        <f t="shared" si="37"/>
        <v>0</v>
      </c>
      <c r="L137" s="189">
        <f t="shared" si="37"/>
        <v>0</v>
      </c>
      <c r="M137" s="189">
        <f t="shared" si="37"/>
        <v>0</v>
      </c>
      <c r="N137" s="189">
        <f t="shared" si="37"/>
        <v>0</v>
      </c>
    </row>
    <row r="138" spans="1:14" s="191" customFormat="1" ht="13.5" hidden="1">
      <c r="A138" s="1368"/>
      <c r="B138" s="1373"/>
      <c r="C138" s="1374"/>
      <c r="D138" s="188" t="s">
        <v>22</v>
      </c>
      <c r="E138" s="189">
        <f>E136+E137</f>
        <v>100000</v>
      </c>
      <c r="F138" s="189">
        <f>F136+F137</f>
        <v>100000</v>
      </c>
      <c r="G138" s="189">
        <f>G136+G137</f>
        <v>0</v>
      </c>
      <c r="H138" s="121"/>
      <c r="I138" s="1377"/>
      <c r="J138" s="190" t="s">
        <v>22</v>
      </c>
      <c r="K138" s="189">
        <f>K136+K137</f>
        <v>100000</v>
      </c>
      <c r="L138" s="189">
        <f>L136+L137</f>
        <v>100000</v>
      </c>
      <c r="M138" s="189">
        <f>M136+M137</f>
        <v>0</v>
      </c>
      <c r="N138" s="189">
        <f>N136+N137</f>
        <v>0</v>
      </c>
    </row>
    <row r="139" spans="1:14" s="181" customFormat="1" ht="12.75" hidden="1">
      <c r="A139" s="198"/>
      <c r="B139" s="203"/>
      <c r="C139" s="204"/>
      <c r="D139" s="120"/>
      <c r="E139" s="200"/>
      <c r="F139" s="179"/>
      <c r="G139" s="179"/>
      <c r="H139" s="121"/>
      <c r="I139" s="204"/>
      <c r="J139" s="180"/>
      <c r="K139" s="201"/>
      <c r="L139" s="201"/>
      <c r="M139" s="201"/>
      <c r="N139" s="201"/>
    </row>
    <row r="140" spans="1:14" ht="12.75" hidden="1">
      <c r="A140" s="1378"/>
      <c r="B140" s="1378"/>
      <c r="C140" s="1347" t="s">
        <v>193</v>
      </c>
      <c r="D140" s="185" t="s">
        <v>20</v>
      </c>
      <c r="E140" s="197">
        <f>F140+G140</f>
        <v>100000</v>
      </c>
      <c r="F140" s="186">
        <v>100000</v>
      </c>
      <c r="G140" s="186">
        <v>0</v>
      </c>
      <c r="H140" s="121"/>
      <c r="I140" s="1347" t="s">
        <v>203</v>
      </c>
      <c r="J140" s="187" t="s">
        <v>20</v>
      </c>
      <c r="K140" s="186">
        <f>L140+M140+N140</f>
        <v>100000</v>
      </c>
      <c r="L140" s="186">
        <v>100000</v>
      </c>
      <c r="M140" s="186">
        <v>0</v>
      </c>
      <c r="N140" s="186">
        <v>0</v>
      </c>
    </row>
    <row r="141" spans="1:14" ht="12.75" hidden="1">
      <c r="A141" s="1379"/>
      <c r="B141" s="1379"/>
      <c r="C141" s="1348"/>
      <c r="D141" s="135" t="s">
        <v>21</v>
      </c>
      <c r="E141" s="197">
        <f>F141+G141</f>
        <v>0</v>
      </c>
      <c r="F141" s="136"/>
      <c r="G141" s="136"/>
      <c r="H141" s="121"/>
      <c r="I141" s="1348"/>
      <c r="J141" s="215" t="s">
        <v>21</v>
      </c>
      <c r="K141" s="186">
        <f>L141+M141+N141</f>
        <v>0</v>
      </c>
      <c r="L141" s="136"/>
      <c r="M141" s="136"/>
      <c r="N141" s="136"/>
    </row>
    <row r="142" spans="1:14" ht="12.75" hidden="1">
      <c r="A142" s="1380"/>
      <c r="B142" s="1380"/>
      <c r="C142" s="1349"/>
      <c r="D142" s="135" t="s">
        <v>22</v>
      </c>
      <c r="E142" s="216">
        <f>E140+E141</f>
        <v>100000</v>
      </c>
      <c r="F142" s="216">
        <f>F140+F141</f>
        <v>100000</v>
      </c>
      <c r="G142" s="216">
        <f>G140+G141</f>
        <v>0</v>
      </c>
      <c r="H142" s="121"/>
      <c r="I142" s="1349"/>
      <c r="J142" s="215" t="s">
        <v>22</v>
      </c>
      <c r="K142" s="136">
        <f>K140+K141</f>
        <v>100000</v>
      </c>
      <c r="L142" s="136">
        <f>L140+L141</f>
        <v>100000</v>
      </c>
      <c r="M142" s="136">
        <f>M140+M141</f>
        <v>0</v>
      </c>
      <c r="N142" s="136">
        <f>N140+N141</f>
        <v>0</v>
      </c>
    </row>
    <row r="143" spans="1:14" ht="13.5" hidden="1" thickBot="1">
      <c r="A143" s="132"/>
      <c r="B143" s="219"/>
      <c r="C143" s="134"/>
      <c r="D143" s="135"/>
      <c r="E143" s="220"/>
      <c r="F143" s="220"/>
      <c r="G143" s="220"/>
      <c r="H143" s="121"/>
      <c r="I143" s="134"/>
      <c r="J143" s="215"/>
      <c r="K143" s="136"/>
      <c r="L143" s="136"/>
      <c r="M143" s="136"/>
      <c r="N143" s="136"/>
    </row>
    <row r="144" spans="1:14" s="163" customFormat="1" ht="14.25" hidden="1">
      <c r="A144" s="1396"/>
      <c r="B144" s="1399" t="s">
        <v>38</v>
      </c>
      <c r="C144" s="1402" t="s">
        <v>39</v>
      </c>
      <c r="D144" s="159" t="s">
        <v>20</v>
      </c>
      <c r="E144" s="160">
        <f aca="true" t="shared" si="38" ref="E144:G145">+E164+E148</f>
        <v>1076000</v>
      </c>
      <c r="F144" s="160">
        <f t="shared" si="38"/>
        <v>1076000</v>
      </c>
      <c r="G144" s="160">
        <f t="shared" si="38"/>
        <v>0</v>
      </c>
      <c r="H144" s="1360"/>
      <c r="I144" s="1402" t="s">
        <v>39</v>
      </c>
      <c r="J144" s="161" t="s">
        <v>20</v>
      </c>
      <c r="K144" s="160">
        <f aca="true" t="shared" si="39" ref="K144:N145">K148+K164</f>
        <v>1076000</v>
      </c>
      <c r="L144" s="160">
        <f t="shared" si="39"/>
        <v>1076000</v>
      </c>
      <c r="M144" s="160">
        <f t="shared" si="39"/>
        <v>0</v>
      </c>
      <c r="N144" s="162">
        <f t="shared" si="39"/>
        <v>0</v>
      </c>
    </row>
    <row r="145" spans="1:14" s="163" customFormat="1" ht="14.25" hidden="1">
      <c r="A145" s="1397"/>
      <c r="B145" s="1400"/>
      <c r="C145" s="1403"/>
      <c r="D145" s="164" t="s">
        <v>21</v>
      </c>
      <c r="E145" s="165">
        <f t="shared" si="38"/>
        <v>0</v>
      </c>
      <c r="F145" s="165">
        <f t="shared" si="38"/>
        <v>0</v>
      </c>
      <c r="G145" s="165">
        <f t="shared" si="38"/>
        <v>0</v>
      </c>
      <c r="H145" s="1361"/>
      <c r="I145" s="1403"/>
      <c r="J145" s="166" t="s">
        <v>21</v>
      </c>
      <c r="K145" s="165">
        <f t="shared" si="39"/>
        <v>0</v>
      </c>
      <c r="L145" s="165">
        <f t="shared" si="39"/>
        <v>0</v>
      </c>
      <c r="M145" s="165">
        <f t="shared" si="39"/>
        <v>0</v>
      </c>
      <c r="N145" s="167">
        <f t="shared" si="39"/>
        <v>0</v>
      </c>
    </row>
    <row r="146" spans="1:14" s="163" customFormat="1" ht="15" hidden="1" thickBot="1">
      <c r="A146" s="1398"/>
      <c r="B146" s="1401"/>
      <c r="C146" s="1404"/>
      <c r="D146" s="168" t="s">
        <v>22</v>
      </c>
      <c r="E146" s="169">
        <f>E144+E145</f>
        <v>1076000</v>
      </c>
      <c r="F146" s="169">
        <f>F144+F145</f>
        <v>1076000</v>
      </c>
      <c r="G146" s="169">
        <f>G144+G145</f>
        <v>0</v>
      </c>
      <c r="H146" s="1362"/>
      <c r="I146" s="1404"/>
      <c r="J146" s="170" t="s">
        <v>22</v>
      </c>
      <c r="K146" s="169">
        <f>K144+K145</f>
        <v>1076000</v>
      </c>
      <c r="L146" s="169">
        <f>L144+L145</f>
        <v>1076000</v>
      </c>
      <c r="M146" s="169">
        <f>M144+M145</f>
        <v>0</v>
      </c>
      <c r="N146" s="171">
        <f>N144+N145</f>
        <v>0</v>
      </c>
    </row>
    <row r="147" spans="1:14" ht="12.75" hidden="1">
      <c r="A147" s="172"/>
      <c r="B147" s="173"/>
      <c r="C147" s="174"/>
      <c r="D147" s="175"/>
      <c r="E147" s="217"/>
      <c r="F147" s="217"/>
      <c r="G147" s="217"/>
      <c r="H147" s="121"/>
      <c r="I147" s="174"/>
      <c r="J147" s="177"/>
      <c r="K147" s="176"/>
      <c r="L147" s="176"/>
      <c r="M147" s="176"/>
      <c r="N147" s="176"/>
    </row>
    <row r="148" spans="1:14" s="181" customFormat="1" ht="12.75" hidden="1">
      <c r="A148" s="1381"/>
      <c r="B148" s="1384" t="s">
        <v>217</v>
      </c>
      <c r="C148" s="1387" t="s">
        <v>218</v>
      </c>
      <c r="D148" s="120" t="s">
        <v>20</v>
      </c>
      <c r="E148" s="179">
        <f aca="true" t="shared" si="40" ref="E148:G149">E152</f>
        <v>1053000</v>
      </c>
      <c r="F148" s="179">
        <f t="shared" si="40"/>
        <v>1053000</v>
      </c>
      <c r="G148" s="179">
        <f t="shared" si="40"/>
        <v>0</v>
      </c>
      <c r="H148" s="121"/>
      <c r="I148" s="1387" t="s">
        <v>218</v>
      </c>
      <c r="J148" s="180" t="s">
        <v>20</v>
      </c>
      <c r="K148" s="179">
        <f aca="true" t="shared" si="41" ref="K148:N149">K152</f>
        <v>1053000</v>
      </c>
      <c r="L148" s="179">
        <f t="shared" si="41"/>
        <v>1053000</v>
      </c>
      <c r="M148" s="179">
        <f t="shared" si="41"/>
        <v>0</v>
      </c>
      <c r="N148" s="179">
        <f t="shared" si="41"/>
        <v>0</v>
      </c>
    </row>
    <row r="149" spans="1:14" s="181" customFormat="1" ht="12.75" hidden="1">
      <c r="A149" s="1382"/>
      <c r="B149" s="1385"/>
      <c r="C149" s="1388"/>
      <c r="D149" s="120" t="s">
        <v>21</v>
      </c>
      <c r="E149" s="179">
        <f t="shared" si="40"/>
        <v>0</v>
      </c>
      <c r="F149" s="179">
        <f t="shared" si="40"/>
        <v>0</v>
      </c>
      <c r="G149" s="179">
        <f t="shared" si="40"/>
        <v>0</v>
      </c>
      <c r="H149" s="121"/>
      <c r="I149" s="1388"/>
      <c r="J149" s="180" t="s">
        <v>21</v>
      </c>
      <c r="K149" s="179">
        <f t="shared" si="41"/>
        <v>0</v>
      </c>
      <c r="L149" s="179">
        <f t="shared" si="41"/>
        <v>0</v>
      </c>
      <c r="M149" s="179">
        <f t="shared" si="41"/>
        <v>0</v>
      </c>
      <c r="N149" s="179">
        <f t="shared" si="41"/>
        <v>0</v>
      </c>
    </row>
    <row r="150" spans="1:14" s="181" customFormat="1" ht="12.75" hidden="1">
      <c r="A150" s="1383"/>
      <c r="B150" s="1386"/>
      <c r="C150" s="1389"/>
      <c r="D150" s="120" t="s">
        <v>22</v>
      </c>
      <c r="E150" s="179">
        <f>E148+E149</f>
        <v>1053000</v>
      </c>
      <c r="F150" s="179">
        <f>F148+F149</f>
        <v>1053000</v>
      </c>
      <c r="G150" s="179">
        <f>G148+G149</f>
        <v>0</v>
      </c>
      <c r="H150" s="121"/>
      <c r="I150" s="1389"/>
      <c r="J150" s="180" t="s">
        <v>22</v>
      </c>
      <c r="K150" s="179">
        <f>K148+K149</f>
        <v>1053000</v>
      </c>
      <c r="L150" s="179">
        <f>L148+L149</f>
        <v>1053000</v>
      </c>
      <c r="M150" s="179">
        <f>M148+M149</f>
        <v>0</v>
      </c>
      <c r="N150" s="179">
        <f>N148+N149</f>
        <v>0</v>
      </c>
    </row>
    <row r="151" spans="1:14" ht="13.5" hidden="1">
      <c r="A151" s="182"/>
      <c r="B151" s="218"/>
      <c r="C151" s="218"/>
      <c r="D151" s="188"/>
      <c r="E151" s="206"/>
      <c r="F151" s="206"/>
      <c r="G151" s="206"/>
      <c r="H151" s="211"/>
      <c r="I151" s="184"/>
      <c r="J151" s="187"/>
      <c r="K151" s="186"/>
      <c r="L151" s="186"/>
      <c r="M151" s="186"/>
      <c r="N151" s="186"/>
    </row>
    <row r="152" spans="1:14" s="191" customFormat="1" ht="13.5" hidden="1">
      <c r="A152" s="1366">
        <v>11</v>
      </c>
      <c r="B152" s="1369" t="s">
        <v>219</v>
      </c>
      <c r="C152" s="1370"/>
      <c r="D152" s="212" t="s">
        <v>20</v>
      </c>
      <c r="E152" s="213">
        <f aca="true" t="shared" si="42" ref="E152:G153">E156</f>
        <v>1053000</v>
      </c>
      <c r="F152" s="213">
        <f t="shared" si="42"/>
        <v>1053000</v>
      </c>
      <c r="G152" s="213">
        <f t="shared" si="42"/>
        <v>0</v>
      </c>
      <c r="H152" s="227"/>
      <c r="I152" s="1375" t="s">
        <v>219</v>
      </c>
      <c r="J152" s="214" t="s">
        <v>20</v>
      </c>
      <c r="K152" s="213">
        <f aca="true" t="shared" si="43" ref="K152:N153">K156+K160</f>
        <v>1053000</v>
      </c>
      <c r="L152" s="213">
        <f t="shared" si="43"/>
        <v>1053000</v>
      </c>
      <c r="M152" s="213">
        <f t="shared" si="43"/>
        <v>0</v>
      </c>
      <c r="N152" s="213">
        <f t="shared" si="43"/>
        <v>0</v>
      </c>
    </row>
    <row r="153" spans="1:14" s="191" customFormat="1" ht="13.5" hidden="1">
      <c r="A153" s="1367"/>
      <c r="B153" s="1371"/>
      <c r="C153" s="1372"/>
      <c r="D153" s="212" t="s">
        <v>21</v>
      </c>
      <c r="E153" s="213">
        <f t="shared" si="42"/>
        <v>0</v>
      </c>
      <c r="F153" s="213">
        <f t="shared" si="42"/>
        <v>0</v>
      </c>
      <c r="G153" s="213">
        <f t="shared" si="42"/>
        <v>0</v>
      </c>
      <c r="H153" s="121"/>
      <c r="I153" s="1376"/>
      <c r="J153" s="214" t="s">
        <v>21</v>
      </c>
      <c r="K153" s="213">
        <f t="shared" si="43"/>
        <v>0</v>
      </c>
      <c r="L153" s="213">
        <f t="shared" si="43"/>
        <v>0</v>
      </c>
      <c r="M153" s="213">
        <f t="shared" si="43"/>
        <v>0</v>
      </c>
      <c r="N153" s="213">
        <f t="shared" si="43"/>
        <v>0</v>
      </c>
    </row>
    <row r="154" spans="1:14" s="191" customFormat="1" ht="13.5" hidden="1">
      <c r="A154" s="1368"/>
      <c r="B154" s="1373"/>
      <c r="C154" s="1374"/>
      <c r="D154" s="212" t="s">
        <v>22</v>
      </c>
      <c r="E154" s="213">
        <f>E152+E153</f>
        <v>1053000</v>
      </c>
      <c r="F154" s="213">
        <f>F152+F153</f>
        <v>1053000</v>
      </c>
      <c r="G154" s="213">
        <f>G152+G153</f>
        <v>0</v>
      </c>
      <c r="H154" s="121"/>
      <c r="I154" s="1377"/>
      <c r="J154" s="214" t="s">
        <v>22</v>
      </c>
      <c r="K154" s="213">
        <f>K152+K153</f>
        <v>1053000</v>
      </c>
      <c r="L154" s="213">
        <f>L152+L153</f>
        <v>1053000</v>
      </c>
      <c r="M154" s="213">
        <f>M152+M153</f>
        <v>0</v>
      </c>
      <c r="N154" s="213">
        <f>N152+N153</f>
        <v>0</v>
      </c>
    </row>
    <row r="155" spans="1:14" s="181" customFormat="1" ht="12.75" hidden="1">
      <c r="A155" s="198"/>
      <c r="B155" s="203"/>
      <c r="C155" s="204"/>
      <c r="D155" s="120"/>
      <c r="E155" s="200"/>
      <c r="F155" s="179"/>
      <c r="G155" s="179"/>
      <c r="H155" s="121"/>
      <c r="I155" s="204"/>
      <c r="J155" s="180"/>
      <c r="K155" s="201"/>
      <c r="L155" s="201"/>
      <c r="M155" s="201"/>
      <c r="N155" s="201"/>
    </row>
    <row r="156" spans="1:14" ht="12.75" hidden="1">
      <c r="A156" s="1378"/>
      <c r="B156" s="1378"/>
      <c r="C156" s="1347" t="s">
        <v>193</v>
      </c>
      <c r="D156" s="185" t="s">
        <v>20</v>
      </c>
      <c r="E156" s="197">
        <f>F156+G156</f>
        <v>1053000</v>
      </c>
      <c r="F156" s="186">
        <v>1053000</v>
      </c>
      <c r="G156" s="186">
        <v>0</v>
      </c>
      <c r="H156" s="121"/>
      <c r="I156" s="1347" t="s">
        <v>199</v>
      </c>
      <c r="J156" s="187" t="s">
        <v>20</v>
      </c>
      <c r="K156" s="186">
        <f>L156+M156+N156</f>
        <v>1016000</v>
      </c>
      <c r="L156" s="186">
        <v>1016000</v>
      </c>
      <c r="M156" s="186">
        <v>0</v>
      </c>
      <c r="N156" s="186">
        <v>0</v>
      </c>
    </row>
    <row r="157" spans="1:14" ht="12.75" hidden="1">
      <c r="A157" s="1379"/>
      <c r="B157" s="1379"/>
      <c r="C157" s="1348"/>
      <c r="D157" s="185" t="s">
        <v>21</v>
      </c>
      <c r="E157" s="197">
        <f>F157+G157</f>
        <v>0</v>
      </c>
      <c r="F157" s="186"/>
      <c r="G157" s="186"/>
      <c r="H157" s="121"/>
      <c r="I157" s="1348"/>
      <c r="J157" s="187" t="s">
        <v>21</v>
      </c>
      <c r="K157" s="186">
        <f>L157+M157+N157</f>
        <v>0</v>
      </c>
      <c r="L157" s="186"/>
      <c r="M157" s="186"/>
      <c r="N157" s="186"/>
    </row>
    <row r="158" spans="1:14" ht="12.75" hidden="1">
      <c r="A158" s="1380"/>
      <c r="B158" s="1380"/>
      <c r="C158" s="1349"/>
      <c r="D158" s="185" t="s">
        <v>22</v>
      </c>
      <c r="E158" s="197">
        <f>E156+E157</f>
        <v>1053000</v>
      </c>
      <c r="F158" s="197">
        <f>F156+F157</f>
        <v>1053000</v>
      </c>
      <c r="G158" s="197">
        <f>G156+G157</f>
        <v>0</v>
      </c>
      <c r="H158" s="121"/>
      <c r="I158" s="1349"/>
      <c r="J158" s="187" t="s">
        <v>22</v>
      </c>
      <c r="K158" s="186">
        <f>K156+K157</f>
        <v>1016000</v>
      </c>
      <c r="L158" s="186">
        <f>L156+L157</f>
        <v>1016000</v>
      </c>
      <c r="M158" s="186">
        <f>M156+M157</f>
        <v>0</v>
      </c>
      <c r="N158" s="186">
        <f>N156+N157</f>
        <v>0</v>
      </c>
    </row>
    <row r="159" spans="1:14" ht="12.75" hidden="1">
      <c r="A159" s="182"/>
      <c r="B159" s="183"/>
      <c r="C159" s="184"/>
      <c r="D159" s="185"/>
      <c r="E159" s="197"/>
      <c r="F159" s="186"/>
      <c r="G159" s="186"/>
      <c r="H159" s="121"/>
      <c r="I159" s="184"/>
      <c r="J159" s="187"/>
      <c r="K159" s="186"/>
      <c r="L159" s="186"/>
      <c r="M159" s="186"/>
      <c r="N159" s="186"/>
    </row>
    <row r="160" spans="1:14" s="181" customFormat="1" ht="12.75" hidden="1">
      <c r="A160" s="1381"/>
      <c r="B160" s="1381"/>
      <c r="C160" s="1405" t="s">
        <v>55</v>
      </c>
      <c r="D160" s="1405"/>
      <c r="E160" s="1405" t="s">
        <v>55</v>
      </c>
      <c r="F160" s="1405" t="s">
        <v>55</v>
      </c>
      <c r="G160" s="1405" t="s">
        <v>55</v>
      </c>
      <c r="H160" s="121"/>
      <c r="I160" s="1347" t="s">
        <v>200</v>
      </c>
      <c r="J160" s="187" t="s">
        <v>20</v>
      </c>
      <c r="K160" s="186">
        <f>L160+M160+N160</f>
        <v>37000</v>
      </c>
      <c r="L160" s="186">
        <v>37000</v>
      </c>
      <c r="M160" s="186">
        <v>0</v>
      </c>
      <c r="N160" s="186">
        <v>0</v>
      </c>
    </row>
    <row r="161" spans="1:14" s="181" customFormat="1" ht="12.75" hidden="1">
      <c r="A161" s="1382"/>
      <c r="B161" s="1382"/>
      <c r="C161" s="1406"/>
      <c r="D161" s="1406"/>
      <c r="E161" s="1406"/>
      <c r="F161" s="1406"/>
      <c r="G161" s="1406"/>
      <c r="H161" s="121"/>
      <c r="I161" s="1348"/>
      <c r="J161" s="187" t="s">
        <v>21</v>
      </c>
      <c r="K161" s="186">
        <f>L161+M161+N161</f>
        <v>0</v>
      </c>
      <c r="L161" s="186"/>
      <c r="M161" s="186"/>
      <c r="N161" s="186"/>
    </row>
    <row r="162" spans="1:14" s="181" customFormat="1" ht="12.75" hidden="1">
      <c r="A162" s="1383"/>
      <c r="B162" s="1383"/>
      <c r="C162" s="1407"/>
      <c r="D162" s="1407"/>
      <c r="E162" s="1407"/>
      <c r="F162" s="1407"/>
      <c r="G162" s="1407"/>
      <c r="H162" s="121"/>
      <c r="I162" s="1349"/>
      <c r="J162" s="187" t="s">
        <v>22</v>
      </c>
      <c r="K162" s="186">
        <f>K160+K161</f>
        <v>37000</v>
      </c>
      <c r="L162" s="186">
        <f>L160+L161</f>
        <v>37000</v>
      </c>
      <c r="M162" s="186">
        <f>M160+M161</f>
        <v>0</v>
      </c>
      <c r="N162" s="186">
        <f>N160+N161</f>
        <v>0</v>
      </c>
    </row>
    <row r="163" spans="1:14" s="181" customFormat="1" ht="12.75" hidden="1">
      <c r="A163" s="198"/>
      <c r="B163" s="198"/>
      <c r="C163" s="206"/>
      <c r="D163" s="228"/>
      <c r="E163" s="206"/>
      <c r="F163" s="206"/>
      <c r="G163" s="206"/>
      <c r="H163" s="121"/>
      <c r="I163" s="184"/>
      <c r="J163" s="187"/>
      <c r="K163" s="186"/>
      <c r="L163" s="186"/>
      <c r="M163" s="186"/>
      <c r="N163" s="186"/>
    </row>
    <row r="164" spans="1:14" s="181" customFormat="1" ht="12.75" hidden="1">
      <c r="A164" s="1381"/>
      <c r="B164" s="1384" t="s">
        <v>220</v>
      </c>
      <c r="C164" s="1387" t="s">
        <v>221</v>
      </c>
      <c r="D164" s="120" t="s">
        <v>20</v>
      </c>
      <c r="E164" s="179">
        <f aca="true" t="shared" si="44" ref="E164:G165">E168</f>
        <v>23000</v>
      </c>
      <c r="F164" s="179">
        <f t="shared" si="44"/>
        <v>23000</v>
      </c>
      <c r="G164" s="179">
        <f t="shared" si="44"/>
        <v>0</v>
      </c>
      <c r="H164" s="121"/>
      <c r="I164" s="1387" t="s">
        <v>221</v>
      </c>
      <c r="J164" s="180" t="s">
        <v>20</v>
      </c>
      <c r="K164" s="179">
        <f aca="true" t="shared" si="45" ref="K164:N165">K168</f>
        <v>23000</v>
      </c>
      <c r="L164" s="179">
        <f t="shared" si="45"/>
        <v>23000</v>
      </c>
      <c r="M164" s="179">
        <f t="shared" si="45"/>
        <v>0</v>
      </c>
      <c r="N164" s="179">
        <f t="shared" si="45"/>
        <v>0</v>
      </c>
    </row>
    <row r="165" spans="1:14" s="181" customFormat="1" ht="12.75" hidden="1">
      <c r="A165" s="1382"/>
      <c r="B165" s="1385"/>
      <c r="C165" s="1388"/>
      <c r="D165" s="120" t="s">
        <v>21</v>
      </c>
      <c r="E165" s="179">
        <f t="shared" si="44"/>
        <v>0</v>
      </c>
      <c r="F165" s="179">
        <f t="shared" si="44"/>
        <v>0</v>
      </c>
      <c r="G165" s="179">
        <f t="shared" si="44"/>
        <v>0</v>
      </c>
      <c r="H165" s="121"/>
      <c r="I165" s="1388"/>
      <c r="J165" s="180" t="s">
        <v>21</v>
      </c>
      <c r="K165" s="179">
        <f t="shared" si="45"/>
        <v>0</v>
      </c>
      <c r="L165" s="179">
        <f t="shared" si="45"/>
        <v>0</v>
      </c>
      <c r="M165" s="179">
        <f t="shared" si="45"/>
        <v>0</v>
      </c>
      <c r="N165" s="179">
        <f t="shared" si="45"/>
        <v>0</v>
      </c>
    </row>
    <row r="166" spans="1:14" s="181" customFormat="1" ht="12.75" hidden="1">
      <c r="A166" s="1383"/>
      <c r="B166" s="1386"/>
      <c r="C166" s="1389"/>
      <c r="D166" s="120" t="s">
        <v>22</v>
      </c>
      <c r="E166" s="179">
        <f>E164+E165</f>
        <v>23000</v>
      </c>
      <c r="F166" s="179">
        <f>F164+F165</f>
        <v>23000</v>
      </c>
      <c r="G166" s="179">
        <f>G164+G165</f>
        <v>0</v>
      </c>
      <c r="H166" s="121"/>
      <c r="I166" s="1389"/>
      <c r="J166" s="180" t="s">
        <v>22</v>
      </c>
      <c r="K166" s="179">
        <f>K164+K165</f>
        <v>23000</v>
      </c>
      <c r="L166" s="179">
        <f>L164+L165</f>
        <v>23000</v>
      </c>
      <c r="M166" s="179">
        <f>M164+M165</f>
        <v>0</v>
      </c>
      <c r="N166" s="179">
        <f>N164+N165</f>
        <v>0</v>
      </c>
    </row>
    <row r="167" spans="1:14" ht="13.5" hidden="1">
      <c r="A167" s="182"/>
      <c r="B167" s="218"/>
      <c r="C167" s="218"/>
      <c r="D167" s="188"/>
      <c r="E167" s="206"/>
      <c r="F167" s="206"/>
      <c r="G167" s="206"/>
      <c r="H167" s="121"/>
      <c r="I167" s="184"/>
      <c r="J167" s="187"/>
      <c r="K167" s="186"/>
      <c r="L167" s="186"/>
      <c r="M167" s="186"/>
      <c r="N167" s="186"/>
    </row>
    <row r="168" spans="1:14" s="191" customFormat="1" ht="13.5" hidden="1">
      <c r="A168" s="1366">
        <v>12</v>
      </c>
      <c r="B168" s="1369" t="s">
        <v>222</v>
      </c>
      <c r="C168" s="1370"/>
      <c r="D168" s="188" t="s">
        <v>20</v>
      </c>
      <c r="E168" s="189">
        <f aca="true" t="shared" si="46" ref="E168:G169">E172</f>
        <v>23000</v>
      </c>
      <c r="F168" s="189">
        <f t="shared" si="46"/>
        <v>23000</v>
      </c>
      <c r="G168" s="189">
        <f t="shared" si="46"/>
        <v>0</v>
      </c>
      <c r="H168" s="121"/>
      <c r="I168" s="1375" t="s">
        <v>222</v>
      </c>
      <c r="J168" s="190" t="s">
        <v>20</v>
      </c>
      <c r="K168" s="189">
        <f aca="true" t="shared" si="47" ref="K168:N169">K172+K176</f>
        <v>23000</v>
      </c>
      <c r="L168" s="189">
        <f t="shared" si="47"/>
        <v>23000</v>
      </c>
      <c r="M168" s="189">
        <f t="shared" si="47"/>
        <v>0</v>
      </c>
      <c r="N168" s="189">
        <f t="shared" si="47"/>
        <v>0</v>
      </c>
    </row>
    <row r="169" spans="1:14" s="191" customFormat="1" ht="13.5" hidden="1">
      <c r="A169" s="1367"/>
      <c r="B169" s="1371"/>
      <c r="C169" s="1372"/>
      <c r="D169" s="188" t="s">
        <v>21</v>
      </c>
      <c r="E169" s="189">
        <f t="shared" si="46"/>
        <v>0</v>
      </c>
      <c r="F169" s="189">
        <f t="shared" si="46"/>
        <v>0</v>
      </c>
      <c r="G169" s="189">
        <f t="shared" si="46"/>
        <v>0</v>
      </c>
      <c r="H169" s="121"/>
      <c r="I169" s="1376"/>
      <c r="J169" s="190" t="s">
        <v>21</v>
      </c>
      <c r="K169" s="189">
        <f t="shared" si="47"/>
        <v>0</v>
      </c>
      <c r="L169" s="189">
        <f t="shared" si="47"/>
        <v>0</v>
      </c>
      <c r="M169" s="189">
        <f t="shared" si="47"/>
        <v>0</v>
      </c>
      <c r="N169" s="189">
        <f t="shared" si="47"/>
        <v>0</v>
      </c>
    </row>
    <row r="170" spans="1:14" s="191" customFormat="1" ht="13.5" hidden="1">
      <c r="A170" s="1368"/>
      <c r="B170" s="1373"/>
      <c r="C170" s="1374"/>
      <c r="D170" s="188" t="s">
        <v>22</v>
      </c>
      <c r="E170" s="189">
        <f>E168+E169</f>
        <v>23000</v>
      </c>
      <c r="F170" s="189">
        <f>F168+F169</f>
        <v>23000</v>
      </c>
      <c r="G170" s="189">
        <f>G168+G169</f>
        <v>0</v>
      </c>
      <c r="H170" s="121"/>
      <c r="I170" s="1377"/>
      <c r="J170" s="190" t="s">
        <v>22</v>
      </c>
      <c r="K170" s="189">
        <f>K168+K169</f>
        <v>23000</v>
      </c>
      <c r="L170" s="189">
        <f>L168+L169</f>
        <v>23000</v>
      </c>
      <c r="M170" s="189">
        <f>M168+M169</f>
        <v>0</v>
      </c>
      <c r="N170" s="189">
        <f>N168+N169</f>
        <v>0</v>
      </c>
    </row>
    <row r="171" spans="1:14" s="181" customFormat="1" ht="12.75" hidden="1">
      <c r="A171" s="198"/>
      <c r="B171" s="203"/>
      <c r="C171" s="204"/>
      <c r="D171" s="120"/>
      <c r="E171" s="200"/>
      <c r="F171" s="179"/>
      <c r="G171" s="179"/>
      <c r="H171" s="121"/>
      <c r="I171" s="204"/>
      <c r="J171" s="180"/>
      <c r="K171" s="201"/>
      <c r="L171" s="201"/>
      <c r="M171" s="201"/>
      <c r="N171" s="201"/>
    </row>
    <row r="172" spans="1:14" ht="12.75" hidden="1">
      <c r="A172" s="1378"/>
      <c r="B172" s="1378"/>
      <c r="C172" s="1347" t="s">
        <v>193</v>
      </c>
      <c r="D172" s="185" t="s">
        <v>20</v>
      </c>
      <c r="E172" s="197">
        <f>F172+G172</f>
        <v>23000</v>
      </c>
      <c r="F172" s="186">
        <v>23000</v>
      </c>
      <c r="G172" s="186">
        <v>0</v>
      </c>
      <c r="H172" s="121"/>
      <c r="I172" s="1347" t="s">
        <v>199</v>
      </c>
      <c r="J172" s="187" t="s">
        <v>20</v>
      </c>
      <c r="K172" s="186">
        <f>L172+M172+N172</f>
        <v>18000</v>
      </c>
      <c r="L172" s="186">
        <v>18000</v>
      </c>
      <c r="M172" s="186">
        <v>0</v>
      </c>
      <c r="N172" s="186">
        <v>0</v>
      </c>
    </row>
    <row r="173" spans="1:14" ht="12.75" hidden="1">
      <c r="A173" s="1379"/>
      <c r="B173" s="1379"/>
      <c r="C173" s="1348"/>
      <c r="D173" s="185" t="s">
        <v>21</v>
      </c>
      <c r="E173" s="197">
        <f>F173+G173</f>
        <v>0</v>
      </c>
      <c r="F173" s="186"/>
      <c r="G173" s="186"/>
      <c r="H173" s="121"/>
      <c r="I173" s="1348"/>
      <c r="J173" s="187" t="s">
        <v>21</v>
      </c>
      <c r="K173" s="186">
        <f>L173+M173+N173</f>
        <v>0</v>
      </c>
      <c r="L173" s="186"/>
      <c r="M173" s="186"/>
      <c r="N173" s="186"/>
    </row>
    <row r="174" spans="1:14" ht="12.75" hidden="1">
      <c r="A174" s="1380"/>
      <c r="B174" s="1380"/>
      <c r="C174" s="1349"/>
      <c r="D174" s="185" t="s">
        <v>22</v>
      </c>
      <c r="E174" s="197">
        <f>E172+E173</f>
        <v>23000</v>
      </c>
      <c r="F174" s="197">
        <f>F172+F173</f>
        <v>23000</v>
      </c>
      <c r="G174" s="197">
        <f>G172+G173</f>
        <v>0</v>
      </c>
      <c r="H174" s="121"/>
      <c r="I174" s="1349"/>
      <c r="J174" s="187" t="s">
        <v>22</v>
      </c>
      <c r="K174" s="186">
        <f>K172+K173</f>
        <v>18000</v>
      </c>
      <c r="L174" s="186">
        <f>L172+L173</f>
        <v>18000</v>
      </c>
      <c r="M174" s="186">
        <f>M172+M173</f>
        <v>0</v>
      </c>
      <c r="N174" s="186">
        <f>N172+N173</f>
        <v>0</v>
      </c>
    </row>
    <row r="175" spans="1:14" ht="12.75" hidden="1">
      <c r="A175" s="182"/>
      <c r="B175" s="182"/>
      <c r="C175" s="229"/>
      <c r="D175" s="185"/>
      <c r="E175" s="197"/>
      <c r="F175" s="197"/>
      <c r="G175" s="197"/>
      <c r="H175" s="121"/>
      <c r="I175" s="184"/>
      <c r="J175" s="187"/>
      <c r="K175" s="186"/>
      <c r="L175" s="186"/>
      <c r="M175" s="186"/>
      <c r="N175" s="186"/>
    </row>
    <row r="176" spans="1:14" ht="12.75" hidden="1">
      <c r="A176" s="1378"/>
      <c r="B176" s="1378"/>
      <c r="C176" s="1405" t="s">
        <v>55</v>
      </c>
      <c r="D176" s="1405"/>
      <c r="E176" s="1405" t="s">
        <v>55</v>
      </c>
      <c r="F176" s="1405" t="s">
        <v>55</v>
      </c>
      <c r="G176" s="1405" t="s">
        <v>55</v>
      </c>
      <c r="H176" s="121"/>
      <c r="I176" s="1347" t="s">
        <v>200</v>
      </c>
      <c r="J176" s="187" t="s">
        <v>20</v>
      </c>
      <c r="K176" s="186">
        <f>L176+M176+N176</f>
        <v>5000</v>
      </c>
      <c r="L176" s="186">
        <v>5000</v>
      </c>
      <c r="M176" s="186">
        <v>0</v>
      </c>
      <c r="N176" s="186">
        <v>0</v>
      </c>
    </row>
    <row r="177" spans="1:14" ht="12.75" hidden="1">
      <c r="A177" s="1379"/>
      <c r="B177" s="1379"/>
      <c r="C177" s="1406"/>
      <c r="D177" s="1406"/>
      <c r="E177" s="1406"/>
      <c r="F177" s="1406"/>
      <c r="G177" s="1406"/>
      <c r="H177" s="121"/>
      <c r="I177" s="1348"/>
      <c r="J177" s="215" t="s">
        <v>21</v>
      </c>
      <c r="K177" s="186">
        <f>L177+M177+N177</f>
        <v>0</v>
      </c>
      <c r="L177" s="136"/>
      <c r="M177" s="136"/>
      <c r="N177" s="136"/>
    </row>
    <row r="178" spans="1:14" ht="12.75" hidden="1">
      <c r="A178" s="1380"/>
      <c r="B178" s="1380"/>
      <c r="C178" s="1407"/>
      <c r="D178" s="1407"/>
      <c r="E178" s="1407"/>
      <c r="F178" s="1407"/>
      <c r="G178" s="1407"/>
      <c r="H178" s="121"/>
      <c r="I178" s="1349"/>
      <c r="J178" s="215" t="s">
        <v>22</v>
      </c>
      <c r="K178" s="136">
        <f>K176+K177</f>
        <v>5000</v>
      </c>
      <c r="L178" s="136">
        <f>L176+L177</f>
        <v>5000</v>
      </c>
      <c r="M178" s="136">
        <f>M176+M177</f>
        <v>0</v>
      </c>
      <c r="N178" s="136">
        <f>N176+N177</f>
        <v>0</v>
      </c>
    </row>
    <row r="179" spans="1:14" ht="13.5" hidden="1" thickBot="1">
      <c r="A179" s="132"/>
      <c r="B179" s="219"/>
      <c r="C179" s="134"/>
      <c r="D179" s="135"/>
      <c r="E179" s="220"/>
      <c r="F179" s="220"/>
      <c r="G179" s="220"/>
      <c r="H179" s="121"/>
      <c r="I179" s="134"/>
      <c r="J179" s="215"/>
      <c r="K179" s="136"/>
      <c r="L179" s="136"/>
      <c r="M179" s="136"/>
      <c r="N179" s="136"/>
    </row>
    <row r="180" spans="1:14" s="163" customFormat="1" ht="14.25" hidden="1">
      <c r="A180" s="1396"/>
      <c r="B180" s="1399" t="s">
        <v>223</v>
      </c>
      <c r="C180" s="1402" t="s">
        <v>224</v>
      </c>
      <c r="D180" s="159" t="s">
        <v>20</v>
      </c>
      <c r="E180" s="160">
        <f aca="true" t="shared" si="48" ref="E180:G181">E184</f>
        <v>2000</v>
      </c>
      <c r="F180" s="160">
        <f t="shared" si="48"/>
        <v>2000</v>
      </c>
      <c r="G180" s="160">
        <f t="shared" si="48"/>
        <v>0</v>
      </c>
      <c r="H180" s="1360"/>
      <c r="I180" s="1402" t="s">
        <v>224</v>
      </c>
      <c r="J180" s="161" t="s">
        <v>20</v>
      </c>
      <c r="K180" s="160">
        <f aca="true" t="shared" si="49" ref="K180:N181">K184</f>
        <v>2000</v>
      </c>
      <c r="L180" s="160">
        <f t="shared" si="49"/>
        <v>2000</v>
      </c>
      <c r="M180" s="160">
        <f t="shared" si="49"/>
        <v>0</v>
      </c>
      <c r="N180" s="162">
        <f t="shared" si="49"/>
        <v>0</v>
      </c>
    </row>
    <row r="181" spans="1:14" s="163" customFormat="1" ht="14.25" hidden="1">
      <c r="A181" s="1397"/>
      <c r="B181" s="1400"/>
      <c r="C181" s="1403"/>
      <c r="D181" s="164" t="s">
        <v>21</v>
      </c>
      <c r="E181" s="165">
        <f t="shared" si="48"/>
        <v>0</v>
      </c>
      <c r="F181" s="165">
        <f t="shared" si="48"/>
        <v>0</v>
      </c>
      <c r="G181" s="165">
        <f t="shared" si="48"/>
        <v>0</v>
      </c>
      <c r="H181" s="1361"/>
      <c r="I181" s="1403"/>
      <c r="J181" s="166" t="s">
        <v>21</v>
      </c>
      <c r="K181" s="165">
        <f t="shared" si="49"/>
        <v>0</v>
      </c>
      <c r="L181" s="165">
        <f t="shared" si="49"/>
        <v>0</v>
      </c>
      <c r="M181" s="165">
        <f t="shared" si="49"/>
        <v>0</v>
      </c>
      <c r="N181" s="167">
        <f t="shared" si="49"/>
        <v>0</v>
      </c>
    </row>
    <row r="182" spans="1:14" s="163" customFormat="1" ht="15" hidden="1" thickBot="1">
      <c r="A182" s="1398"/>
      <c r="B182" s="1401"/>
      <c r="C182" s="1404"/>
      <c r="D182" s="168" t="s">
        <v>22</v>
      </c>
      <c r="E182" s="169">
        <f>E180+E181</f>
        <v>2000</v>
      </c>
      <c r="F182" s="169">
        <f>F180+F181</f>
        <v>2000</v>
      </c>
      <c r="G182" s="169">
        <f>G180+G181</f>
        <v>0</v>
      </c>
      <c r="H182" s="1362"/>
      <c r="I182" s="1404"/>
      <c r="J182" s="170" t="s">
        <v>22</v>
      </c>
      <c r="K182" s="169">
        <f>K180+K181</f>
        <v>2000</v>
      </c>
      <c r="L182" s="169">
        <f>L180+L181</f>
        <v>2000</v>
      </c>
      <c r="M182" s="169">
        <f>M180+M181</f>
        <v>0</v>
      </c>
      <c r="N182" s="171">
        <f>N180+N181</f>
        <v>0</v>
      </c>
    </row>
    <row r="183" spans="1:14" ht="12.75" hidden="1">
      <c r="A183" s="172"/>
      <c r="B183" s="173"/>
      <c r="C183" s="174"/>
      <c r="D183" s="175"/>
      <c r="E183" s="217"/>
      <c r="F183" s="217"/>
      <c r="G183" s="217"/>
      <c r="H183" s="121"/>
      <c r="I183" s="174"/>
      <c r="J183" s="177"/>
      <c r="K183" s="176"/>
      <c r="L183" s="176"/>
      <c r="M183" s="176"/>
      <c r="N183" s="176"/>
    </row>
    <row r="184" spans="1:14" s="181" customFormat="1" ht="12.75" hidden="1">
      <c r="A184" s="1381"/>
      <c r="B184" s="1384" t="s">
        <v>225</v>
      </c>
      <c r="C184" s="1387" t="s">
        <v>226</v>
      </c>
      <c r="D184" s="120" t="s">
        <v>20</v>
      </c>
      <c r="E184" s="179">
        <f aca="true" t="shared" si="50" ref="E184:G185">E188</f>
        <v>2000</v>
      </c>
      <c r="F184" s="179">
        <f t="shared" si="50"/>
        <v>2000</v>
      </c>
      <c r="G184" s="179">
        <f t="shared" si="50"/>
        <v>0</v>
      </c>
      <c r="H184" s="121"/>
      <c r="I184" s="1387" t="s">
        <v>226</v>
      </c>
      <c r="J184" s="180" t="s">
        <v>20</v>
      </c>
      <c r="K184" s="179">
        <f aca="true" t="shared" si="51" ref="K184:N185">K188</f>
        <v>2000</v>
      </c>
      <c r="L184" s="179">
        <f t="shared" si="51"/>
        <v>2000</v>
      </c>
      <c r="M184" s="179">
        <f t="shared" si="51"/>
        <v>0</v>
      </c>
      <c r="N184" s="179">
        <f t="shared" si="51"/>
        <v>0</v>
      </c>
    </row>
    <row r="185" spans="1:14" s="181" customFormat="1" ht="12.75" hidden="1">
      <c r="A185" s="1382"/>
      <c r="B185" s="1385"/>
      <c r="C185" s="1388"/>
      <c r="D185" s="120" t="s">
        <v>21</v>
      </c>
      <c r="E185" s="179">
        <f t="shared" si="50"/>
        <v>0</v>
      </c>
      <c r="F185" s="179">
        <f t="shared" si="50"/>
        <v>0</v>
      </c>
      <c r="G185" s="179">
        <f t="shared" si="50"/>
        <v>0</v>
      </c>
      <c r="H185" s="121"/>
      <c r="I185" s="1388"/>
      <c r="J185" s="180" t="s">
        <v>21</v>
      </c>
      <c r="K185" s="179">
        <f t="shared" si="51"/>
        <v>0</v>
      </c>
      <c r="L185" s="179">
        <f t="shared" si="51"/>
        <v>0</v>
      </c>
      <c r="M185" s="179">
        <f t="shared" si="51"/>
        <v>0</v>
      </c>
      <c r="N185" s="179">
        <f t="shared" si="51"/>
        <v>0</v>
      </c>
    </row>
    <row r="186" spans="1:14" s="181" customFormat="1" ht="12.75" hidden="1">
      <c r="A186" s="1383"/>
      <c r="B186" s="1386"/>
      <c r="C186" s="1389"/>
      <c r="D186" s="120" t="s">
        <v>22</v>
      </c>
      <c r="E186" s="179">
        <f>E184+E185</f>
        <v>2000</v>
      </c>
      <c r="F186" s="179">
        <f>F184+F185</f>
        <v>2000</v>
      </c>
      <c r="G186" s="179">
        <f>G184+G185</f>
        <v>0</v>
      </c>
      <c r="H186" s="121"/>
      <c r="I186" s="1389"/>
      <c r="J186" s="180" t="s">
        <v>22</v>
      </c>
      <c r="K186" s="179">
        <f>K184+K185</f>
        <v>2000</v>
      </c>
      <c r="L186" s="179">
        <f>L184+L185</f>
        <v>2000</v>
      </c>
      <c r="M186" s="179">
        <f>M184+M185</f>
        <v>0</v>
      </c>
      <c r="N186" s="179">
        <f>N184+N185</f>
        <v>0</v>
      </c>
    </row>
    <row r="187" spans="1:14" ht="12.75" hidden="1">
      <c r="A187" s="182"/>
      <c r="B187" s="183"/>
      <c r="C187" s="184"/>
      <c r="D187" s="185"/>
      <c r="E187" s="206"/>
      <c r="F187" s="206"/>
      <c r="G187" s="206"/>
      <c r="H187" s="121"/>
      <c r="I187" s="184"/>
      <c r="J187" s="187"/>
      <c r="K187" s="186"/>
      <c r="L187" s="186"/>
      <c r="M187" s="186"/>
      <c r="N187" s="186"/>
    </row>
    <row r="188" spans="1:14" s="191" customFormat="1" ht="13.5" customHeight="1" hidden="1">
      <c r="A188" s="1366">
        <v>13</v>
      </c>
      <c r="B188" s="1369" t="s">
        <v>227</v>
      </c>
      <c r="C188" s="1370"/>
      <c r="D188" s="188" t="s">
        <v>20</v>
      </c>
      <c r="E188" s="189">
        <f aca="true" t="shared" si="52" ref="E188:G189">E192</f>
        <v>2000</v>
      </c>
      <c r="F188" s="189">
        <f t="shared" si="52"/>
        <v>2000</v>
      </c>
      <c r="G188" s="189">
        <f t="shared" si="52"/>
        <v>0</v>
      </c>
      <c r="H188" s="121"/>
      <c r="I188" s="1375" t="s">
        <v>227</v>
      </c>
      <c r="J188" s="190" t="s">
        <v>20</v>
      </c>
      <c r="K188" s="189">
        <f aca="true" t="shared" si="53" ref="K188:N189">K192</f>
        <v>2000</v>
      </c>
      <c r="L188" s="189">
        <f t="shared" si="53"/>
        <v>2000</v>
      </c>
      <c r="M188" s="189">
        <f t="shared" si="53"/>
        <v>0</v>
      </c>
      <c r="N188" s="189">
        <f t="shared" si="53"/>
        <v>0</v>
      </c>
    </row>
    <row r="189" spans="1:14" s="191" customFormat="1" ht="13.5" hidden="1">
      <c r="A189" s="1367"/>
      <c r="B189" s="1371"/>
      <c r="C189" s="1372"/>
      <c r="D189" s="188" t="s">
        <v>21</v>
      </c>
      <c r="E189" s="189">
        <f t="shared" si="52"/>
        <v>0</v>
      </c>
      <c r="F189" s="189">
        <f t="shared" si="52"/>
        <v>0</v>
      </c>
      <c r="G189" s="189">
        <f t="shared" si="52"/>
        <v>0</v>
      </c>
      <c r="H189" s="121"/>
      <c r="I189" s="1376"/>
      <c r="J189" s="190" t="s">
        <v>21</v>
      </c>
      <c r="K189" s="189">
        <f t="shared" si="53"/>
        <v>0</v>
      </c>
      <c r="L189" s="189">
        <f t="shared" si="53"/>
        <v>0</v>
      </c>
      <c r="M189" s="189">
        <f t="shared" si="53"/>
        <v>0</v>
      </c>
      <c r="N189" s="189">
        <f t="shared" si="53"/>
        <v>0</v>
      </c>
    </row>
    <row r="190" spans="1:14" s="191" customFormat="1" ht="13.5" hidden="1">
      <c r="A190" s="1368"/>
      <c r="B190" s="1373"/>
      <c r="C190" s="1374"/>
      <c r="D190" s="188" t="s">
        <v>22</v>
      </c>
      <c r="E190" s="189">
        <f>E188+E189</f>
        <v>2000</v>
      </c>
      <c r="F190" s="189">
        <f>F188+F189</f>
        <v>2000</v>
      </c>
      <c r="G190" s="189">
        <f>G188+G189</f>
        <v>0</v>
      </c>
      <c r="H190" s="121"/>
      <c r="I190" s="1377"/>
      <c r="J190" s="190" t="s">
        <v>22</v>
      </c>
      <c r="K190" s="189">
        <f>K188+K189</f>
        <v>2000</v>
      </c>
      <c r="L190" s="189">
        <f>L188+L189</f>
        <v>2000</v>
      </c>
      <c r="M190" s="189">
        <f>M188+M189</f>
        <v>0</v>
      </c>
      <c r="N190" s="189">
        <f>N188+N189</f>
        <v>0</v>
      </c>
    </row>
    <row r="191" spans="1:14" s="181" customFormat="1" ht="12.75" hidden="1">
      <c r="A191" s="198"/>
      <c r="B191" s="203"/>
      <c r="C191" s="204"/>
      <c r="D191" s="120"/>
      <c r="E191" s="200"/>
      <c r="F191" s="179"/>
      <c r="G191" s="179"/>
      <c r="H191" s="121"/>
      <c r="I191" s="204"/>
      <c r="J191" s="180"/>
      <c r="K191" s="201"/>
      <c r="L191" s="201"/>
      <c r="M191" s="201"/>
      <c r="N191" s="201"/>
    </row>
    <row r="192" spans="1:14" ht="12.75" hidden="1">
      <c r="A192" s="1378"/>
      <c r="B192" s="1378"/>
      <c r="C192" s="1347" t="s">
        <v>193</v>
      </c>
      <c r="D192" s="185" t="s">
        <v>20</v>
      </c>
      <c r="E192" s="197">
        <f>F192+G192</f>
        <v>2000</v>
      </c>
      <c r="F192" s="186">
        <v>2000</v>
      </c>
      <c r="G192" s="186">
        <v>0</v>
      </c>
      <c r="H192" s="121"/>
      <c r="I192" s="1347" t="s">
        <v>200</v>
      </c>
      <c r="J192" s="187" t="s">
        <v>20</v>
      </c>
      <c r="K192" s="186">
        <f>L192+M192+N192</f>
        <v>2000</v>
      </c>
      <c r="L192" s="186">
        <v>2000</v>
      </c>
      <c r="M192" s="186">
        <v>0</v>
      </c>
      <c r="N192" s="186">
        <v>0</v>
      </c>
    </row>
    <row r="193" spans="1:14" ht="12.75" hidden="1">
      <c r="A193" s="1379"/>
      <c r="B193" s="1379"/>
      <c r="C193" s="1348"/>
      <c r="D193" s="135" t="s">
        <v>21</v>
      </c>
      <c r="E193" s="197">
        <f>F193+G193</f>
        <v>0</v>
      </c>
      <c r="F193" s="136"/>
      <c r="G193" s="136"/>
      <c r="H193" s="121"/>
      <c r="I193" s="1348"/>
      <c r="J193" s="215" t="s">
        <v>21</v>
      </c>
      <c r="K193" s="186">
        <f>L193+M193+N193</f>
        <v>0</v>
      </c>
      <c r="L193" s="136"/>
      <c r="M193" s="136"/>
      <c r="N193" s="136"/>
    </row>
    <row r="194" spans="1:14" ht="12.75" hidden="1">
      <c r="A194" s="1380"/>
      <c r="B194" s="1380"/>
      <c r="C194" s="1349"/>
      <c r="D194" s="135" t="s">
        <v>22</v>
      </c>
      <c r="E194" s="216">
        <f>E192+E193</f>
        <v>2000</v>
      </c>
      <c r="F194" s="216">
        <f>F192+F193</f>
        <v>2000</v>
      </c>
      <c r="G194" s="216">
        <f>G192+G193</f>
        <v>0</v>
      </c>
      <c r="H194" s="121"/>
      <c r="I194" s="1349"/>
      <c r="J194" s="215" t="s">
        <v>22</v>
      </c>
      <c r="K194" s="136">
        <f>K192+K193</f>
        <v>2000</v>
      </c>
      <c r="L194" s="136">
        <f>L192+L193</f>
        <v>2000</v>
      </c>
      <c r="M194" s="136">
        <f>M192+M193</f>
        <v>0</v>
      </c>
      <c r="N194" s="136">
        <f>N192+N193</f>
        <v>0</v>
      </c>
    </row>
    <row r="195" spans="1:14" ht="13.5" hidden="1" thickBot="1">
      <c r="A195" s="132"/>
      <c r="B195" s="132"/>
      <c r="C195" s="196"/>
      <c r="D195" s="135"/>
      <c r="E195" s="220"/>
      <c r="F195" s="220"/>
      <c r="G195" s="220"/>
      <c r="H195" s="121"/>
      <c r="I195" s="196"/>
      <c r="J195" s="215"/>
      <c r="K195" s="136"/>
      <c r="L195" s="136"/>
      <c r="M195" s="136"/>
      <c r="N195" s="136"/>
    </row>
    <row r="196" spans="1:14" s="163" customFormat="1" ht="14.25" hidden="1">
      <c r="A196" s="1396"/>
      <c r="B196" s="1399" t="s">
        <v>44</v>
      </c>
      <c r="C196" s="1402" t="s">
        <v>45</v>
      </c>
      <c r="D196" s="159" t="s">
        <v>20</v>
      </c>
      <c r="E196" s="160">
        <f aca="true" t="shared" si="54" ref="E196:G197">E200+E212</f>
        <v>28000</v>
      </c>
      <c r="F196" s="160">
        <f t="shared" si="54"/>
        <v>28000</v>
      </c>
      <c r="G196" s="160">
        <f t="shared" si="54"/>
        <v>0</v>
      </c>
      <c r="H196" s="1360"/>
      <c r="I196" s="1402" t="s">
        <v>45</v>
      </c>
      <c r="J196" s="161" t="s">
        <v>20</v>
      </c>
      <c r="K196" s="160">
        <f aca="true" t="shared" si="55" ref="K196:N197">K200+K212</f>
        <v>28000</v>
      </c>
      <c r="L196" s="160">
        <f t="shared" si="55"/>
        <v>28000</v>
      </c>
      <c r="M196" s="160">
        <f t="shared" si="55"/>
        <v>0</v>
      </c>
      <c r="N196" s="162">
        <f t="shared" si="55"/>
        <v>0</v>
      </c>
    </row>
    <row r="197" spans="1:14" s="163" customFormat="1" ht="14.25" hidden="1">
      <c r="A197" s="1397"/>
      <c r="B197" s="1400"/>
      <c r="C197" s="1403"/>
      <c r="D197" s="164" t="s">
        <v>21</v>
      </c>
      <c r="E197" s="165">
        <f t="shared" si="54"/>
        <v>0</v>
      </c>
      <c r="F197" s="165">
        <f t="shared" si="54"/>
        <v>0</v>
      </c>
      <c r="G197" s="165">
        <f t="shared" si="54"/>
        <v>0</v>
      </c>
      <c r="H197" s="1361"/>
      <c r="I197" s="1403"/>
      <c r="J197" s="166" t="s">
        <v>21</v>
      </c>
      <c r="K197" s="165">
        <f t="shared" si="55"/>
        <v>0</v>
      </c>
      <c r="L197" s="165">
        <f t="shared" si="55"/>
        <v>0</v>
      </c>
      <c r="M197" s="165">
        <f t="shared" si="55"/>
        <v>0</v>
      </c>
      <c r="N197" s="167">
        <f t="shared" si="55"/>
        <v>0</v>
      </c>
    </row>
    <row r="198" spans="1:14" s="163" customFormat="1" ht="15" hidden="1" thickBot="1">
      <c r="A198" s="1398"/>
      <c r="B198" s="1401"/>
      <c r="C198" s="1404"/>
      <c r="D198" s="168" t="s">
        <v>22</v>
      </c>
      <c r="E198" s="169">
        <f>E196+E197</f>
        <v>28000</v>
      </c>
      <c r="F198" s="169">
        <f>F196+F197</f>
        <v>28000</v>
      </c>
      <c r="G198" s="169">
        <f>G196+G197</f>
        <v>0</v>
      </c>
      <c r="H198" s="1362"/>
      <c r="I198" s="1404"/>
      <c r="J198" s="170" t="s">
        <v>22</v>
      </c>
      <c r="K198" s="169">
        <f>K196+K197</f>
        <v>28000</v>
      </c>
      <c r="L198" s="169">
        <f>L196+L197</f>
        <v>28000</v>
      </c>
      <c r="M198" s="169">
        <f>M196+M197</f>
        <v>0</v>
      </c>
      <c r="N198" s="171">
        <f>N196+N197</f>
        <v>0</v>
      </c>
    </row>
    <row r="199" spans="1:14" ht="9" customHeight="1" hidden="1">
      <c r="A199" s="172"/>
      <c r="B199" s="173"/>
      <c r="C199" s="174"/>
      <c r="D199" s="175"/>
      <c r="E199" s="217"/>
      <c r="F199" s="217"/>
      <c r="G199" s="217"/>
      <c r="H199" s="121"/>
      <c r="I199" s="174"/>
      <c r="J199" s="177"/>
      <c r="K199" s="176"/>
      <c r="L199" s="176"/>
      <c r="M199" s="176"/>
      <c r="N199" s="176"/>
    </row>
    <row r="200" spans="1:14" s="181" customFormat="1" ht="12.75" hidden="1">
      <c r="A200" s="1381"/>
      <c r="B200" s="1384" t="s">
        <v>228</v>
      </c>
      <c r="C200" s="1387" t="s">
        <v>229</v>
      </c>
      <c r="D200" s="120" t="s">
        <v>20</v>
      </c>
      <c r="E200" s="179">
        <f aca="true" t="shared" si="56" ref="E200:G201">E204</f>
        <v>16000</v>
      </c>
      <c r="F200" s="179">
        <f t="shared" si="56"/>
        <v>16000</v>
      </c>
      <c r="G200" s="179">
        <f t="shared" si="56"/>
        <v>0</v>
      </c>
      <c r="H200" s="121"/>
      <c r="I200" s="1387" t="s">
        <v>229</v>
      </c>
      <c r="J200" s="180" t="s">
        <v>20</v>
      </c>
      <c r="K200" s="179">
        <f aca="true" t="shared" si="57" ref="K200:N201">K204</f>
        <v>16000</v>
      </c>
      <c r="L200" s="179">
        <f t="shared" si="57"/>
        <v>16000</v>
      </c>
      <c r="M200" s="179">
        <f t="shared" si="57"/>
        <v>0</v>
      </c>
      <c r="N200" s="179">
        <f t="shared" si="57"/>
        <v>0</v>
      </c>
    </row>
    <row r="201" spans="1:14" s="181" customFormat="1" ht="12.75" hidden="1">
      <c r="A201" s="1382"/>
      <c r="B201" s="1385"/>
      <c r="C201" s="1388"/>
      <c r="D201" s="120" t="s">
        <v>21</v>
      </c>
      <c r="E201" s="179">
        <f t="shared" si="56"/>
        <v>0</v>
      </c>
      <c r="F201" s="179">
        <f t="shared" si="56"/>
        <v>0</v>
      </c>
      <c r="G201" s="179">
        <f t="shared" si="56"/>
        <v>0</v>
      </c>
      <c r="H201" s="121"/>
      <c r="I201" s="1388"/>
      <c r="J201" s="180" t="s">
        <v>21</v>
      </c>
      <c r="K201" s="179">
        <f t="shared" si="57"/>
        <v>0</v>
      </c>
      <c r="L201" s="179">
        <f t="shared" si="57"/>
        <v>0</v>
      </c>
      <c r="M201" s="179">
        <f t="shared" si="57"/>
        <v>0</v>
      </c>
      <c r="N201" s="179">
        <f t="shared" si="57"/>
        <v>0</v>
      </c>
    </row>
    <row r="202" spans="1:14" s="181" customFormat="1" ht="12.75" hidden="1">
      <c r="A202" s="1383"/>
      <c r="B202" s="1386"/>
      <c r="C202" s="1389"/>
      <c r="D202" s="120" t="s">
        <v>22</v>
      </c>
      <c r="E202" s="179">
        <f>E200+E201</f>
        <v>16000</v>
      </c>
      <c r="F202" s="179">
        <f>F200+F201</f>
        <v>16000</v>
      </c>
      <c r="G202" s="179">
        <f>G200+G201</f>
        <v>0</v>
      </c>
      <c r="H202" s="121"/>
      <c r="I202" s="1389"/>
      <c r="J202" s="180" t="s">
        <v>22</v>
      </c>
      <c r="K202" s="179">
        <f>K200+K201</f>
        <v>16000</v>
      </c>
      <c r="L202" s="179">
        <f>L200+L201</f>
        <v>16000</v>
      </c>
      <c r="M202" s="179">
        <f>M200+M201</f>
        <v>0</v>
      </c>
      <c r="N202" s="179">
        <f>N200+N201</f>
        <v>0</v>
      </c>
    </row>
    <row r="203" spans="1:14" ht="12.75" hidden="1">
      <c r="A203" s="182"/>
      <c r="B203" s="183"/>
      <c r="C203" s="184"/>
      <c r="D203" s="185"/>
      <c r="E203" s="206"/>
      <c r="F203" s="206"/>
      <c r="G203" s="206"/>
      <c r="H203" s="121"/>
      <c r="I203" s="184"/>
      <c r="J203" s="187"/>
      <c r="K203" s="186"/>
      <c r="L203" s="186"/>
      <c r="M203" s="186"/>
      <c r="N203" s="186"/>
    </row>
    <row r="204" spans="1:14" s="191" customFormat="1" ht="13.5" hidden="1">
      <c r="A204" s="1366">
        <v>14</v>
      </c>
      <c r="B204" s="1369" t="s">
        <v>230</v>
      </c>
      <c r="C204" s="1370"/>
      <c r="D204" s="188" t="s">
        <v>20</v>
      </c>
      <c r="E204" s="189">
        <f aca="true" t="shared" si="58" ref="E204:G205">E208</f>
        <v>16000</v>
      </c>
      <c r="F204" s="189">
        <f t="shared" si="58"/>
        <v>16000</v>
      </c>
      <c r="G204" s="189">
        <f t="shared" si="58"/>
        <v>0</v>
      </c>
      <c r="H204" s="121"/>
      <c r="I204" s="1375" t="s">
        <v>230</v>
      </c>
      <c r="J204" s="190" t="s">
        <v>20</v>
      </c>
      <c r="K204" s="189">
        <f aca="true" t="shared" si="59" ref="K204:N205">K208</f>
        <v>16000</v>
      </c>
      <c r="L204" s="189">
        <f t="shared" si="59"/>
        <v>16000</v>
      </c>
      <c r="M204" s="189">
        <f t="shared" si="59"/>
        <v>0</v>
      </c>
      <c r="N204" s="189">
        <f t="shared" si="59"/>
        <v>0</v>
      </c>
    </row>
    <row r="205" spans="1:14" s="191" customFormat="1" ht="13.5" hidden="1">
      <c r="A205" s="1367"/>
      <c r="B205" s="1371"/>
      <c r="C205" s="1372"/>
      <c r="D205" s="188" t="s">
        <v>21</v>
      </c>
      <c r="E205" s="189">
        <f t="shared" si="58"/>
        <v>0</v>
      </c>
      <c r="F205" s="189">
        <f t="shared" si="58"/>
        <v>0</v>
      </c>
      <c r="G205" s="189">
        <f t="shared" si="58"/>
        <v>0</v>
      </c>
      <c r="H205" s="121"/>
      <c r="I205" s="1376"/>
      <c r="J205" s="190" t="s">
        <v>21</v>
      </c>
      <c r="K205" s="189">
        <f t="shared" si="59"/>
        <v>0</v>
      </c>
      <c r="L205" s="189">
        <f t="shared" si="59"/>
        <v>0</v>
      </c>
      <c r="M205" s="189">
        <f t="shared" si="59"/>
        <v>0</v>
      </c>
      <c r="N205" s="189">
        <f t="shared" si="59"/>
        <v>0</v>
      </c>
    </row>
    <row r="206" spans="1:14" s="191" customFormat="1" ht="13.5" hidden="1">
      <c r="A206" s="1368"/>
      <c r="B206" s="1373"/>
      <c r="C206" s="1374"/>
      <c r="D206" s="188" t="s">
        <v>22</v>
      </c>
      <c r="E206" s="189">
        <f>E204+E205</f>
        <v>16000</v>
      </c>
      <c r="F206" s="189">
        <f>F204+F205</f>
        <v>16000</v>
      </c>
      <c r="G206" s="189">
        <f>G204+G205</f>
        <v>0</v>
      </c>
      <c r="H206" s="121"/>
      <c r="I206" s="1377"/>
      <c r="J206" s="190" t="s">
        <v>22</v>
      </c>
      <c r="K206" s="189">
        <f>K204+K205</f>
        <v>16000</v>
      </c>
      <c r="L206" s="189">
        <f>L204+L205</f>
        <v>16000</v>
      </c>
      <c r="M206" s="189">
        <f>M204+M205</f>
        <v>0</v>
      </c>
      <c r="N206" s="189">
        <f>N204+N205</f>
        <v>0</v>
      </c>
    </row>
    <row r="207" spans="1:14" s="181" customFormat="1" ht="12.75" hidden="1">
      <c r="A207" s="198"/>
      <c r="B207" s="203"/>
      <c r="C207" s="204"/>
      <c r="D207" s="120"/>
      <c r="E207" s="200"/>
      <c r="F207" s="179"/>
      <c r="G207" s="179"/>
      <c r="H207" s="121"/>
      <c r="I207" s="204"/>
      <c r="J207" s="180"/>
      <c r="K207" s="201"/>
      <c r="L207" s="201"/>
      <c r="M207" s="201"/>
      <c r="N207" s="201"/>
    </row>
    <row r="208" spans="1:14" ht="12.75" hidden="1">
      <c r="A208" s="1378"/>
      <c r="B208" s="1378"/>
      <c r="C208" s="1347" t="s">
        <v>193</v>
      </c>
      <c r="D208" s="185" t="s">
        <v>20</v>
      </c>
      <c r="E208" s="197">
        <f>F208+G208</f>
        <v>16000</v>
      </c>
      <c r="F208" s="186">
        <v>16000</v>
      </c>
      <c r="G208" s="186">
        <v>0</v>
      </c>
      <c r="H208" s="121"/>
      <c r="I208" s="1347" t="s">
        <v>203</v>
      </c>
      <c r="J208" s="187" t="s">
        <v>20</v>
      </c>
      <c r="K208" s="186">
        <f>L208+M208+N208</f>
        <v>16000</v>
      </c>
      <c r="L208" s="186">
        <v>16000</v>
      </c>
      <c r="M208" s="186">
        <v>0</v>
      </c>
      <c r="N208" s="186">
        <v>0</v>
      </c>
    </row>
    <row r="209" spans="1:14" ht="12.75" hidden="1">
      <c r="A209" s="1379"/>
      <c r="B209" s="1379"/>
      <c r="C209" s="1348"/>
      <c r="D209" s="185" t="s">
        <v>21</v>
      </c>
      <c r="E209" s="197">
        <f>F209+G209</f>
        <v>0</v>
      </c>
      <c r="F209" s="186"/>
      <c r="G209" s="186"/>
      <c r="H209" s="121"/>
      <c r="I209" s="1348"/>
      <c r="J209" s="187" t="s">
        <v>21</v>
      </c>
      <c r="K209" s="186">
        <f>L209+M209+N209</f>
        <v>0</v>
      </c>
      <c r="L209" s="186"/>
      <c r="M209" s="186"/>
      <c r="N209" s="186"/>
    </row>
    <row r="210" spans="1:14" ht="12.75" hidden="1">
      <c r="A210" s="1380"/>
      <c r="B210" s="1380"/>
      <c r="C210" s="1349"/>
      <c r="D210" s="185" t="s">
        <v>22</v>
      </c>
      <c r="E210" s="197">
        <f>E208+E209</f>
        <v>16000</v>
      </c>
      <c r="F210" s="197">
        <f>F208+F209</f>
        <v>16000</v>
      </c>
      <c r="G210" s="197">
        <f>G208+G209</f>
        <v>0</v>
      </c>
      <c r="H210" s="121"/>
      <c r="I210" s="1349"/>
      <c r="J210" s="187" t="s">
        <v>22</v>
      </c>
      <c r="K210" s="186">
        <f>K208+K209</f>
        <v>16000</v>
      </c>
      <c r="L210" s="186">
        <f>L208+L209</f>
        <v>16000</v>
      </c>
      <c r="M210" s="186">
        <f>M208+M209</f>
        <v>0</v>
      </c>
      <c r="N210" s="186">
        <f>N208+N209</f>
        <v>0</v>
      </c>
    </row>
    <row r="211" spans="1:14" ht="12.75" hidden="1">
      <c r="A211" s="182"/>
      <c r="B211" s="183"/>
      <c r="C211" s="184"/>
      <c r="D211" s="185"/>
      <c r="E211" s="206"/>
      <c r="F211" s="206"/>
      <c r="G211" s="206"/>
      <c r="H211" s="121"/>
      <c r="I211" s="184"/>
      <c r="J211" s="187"/>
      <c r="K211" s="186"/>
      <c r="L211" s="186"/>
      <c r="M211" s="186"/>
      <c r="N211" s="186"/>
    </row>
    <row r="212" spans="1:14" s="181" customFormat="1" ht="12.75" hidden="1">
      <c r="A212" s="1381"/>
      <c r="B212" s="1384" t="s">
        <v>231</v>
      </c>
      <c r="C212" s="1387" t="s">
        <v>210</v>
      </c>
      <c r="D212" s="120" t="s">
        <v>20</v>
      </c>
      <c r="E212" s="179">
        <f aca="true" t="shared" si="60" ref="E212:G213">E216</f>
        <v>12000</v>
      </c>
      <c r="F212" s="179">
        <f t="shared" si="60"/>
        <v>12000</v>
      </c>
      <c r="G212" s="179">
        <f t="shared" si="60"/>
        <v>0</v>
      </c>
      <c r="H212" s="121"/>
      <c r="I212" s="1387" t="s">
        <v>210</v>
      </c>
      <c r="J212" s="180" t="s">
        <v>20</v>
      </c>
      <c r="K212" s="179">
        <f aca="true" t="shared" si="61" ref="K212:N213">K216</f>
        <v>12000</v>
      </c>
      <c r="L212" s="179">
        <f t="shared" si="61"/>
        <v>12000</v>
      </c>
      <c r="M212" s="179">
        <f t="shared" si="61"/>
        <v>0</v>
      </c>
      <c r="N212" s="179">
        <f t="shared" si="61"/>
        <v>0</v>
      </c>
    </row>
    <row r="213" spans="1:14" s="181" customFormat="1" ht="12.75" hidden="1">
      <c r="A213" s="1382"/>
      <c r="B213" s="1385"/>
      <c r="C213" s="1388"/>
      <c r="D213" s="120" t="s">
        <v>21</v>
      </c>
      <c r="E213" s="179">
        <f t="shared" si="60"/>
        <v>0</v>
      </c>
      <c r="F213" s="179">
        <f t="shared" si="60"/>
        <v>0</v>
      </c>
      <c r="G213" s="179">
        <f t="shared" si="60"/>
        <v>0</v>
      </c>
      <c r="H213" s="121"/>
      <c r="I213" s="1388"/>
      <c r="J213" s="180" t="s">
        <v>21</v>
      </c>
      <c r="K213" s="179">
        <f t="shared" si="61"/>
        <v>0</v>
      </c>
      <c r="L213" s="179">
        <f t="shared" si="61"/>
        <v>0</v>
      </c>
      <c r="M213" s="179">
        <f t="shared" si="61"/>
        <v>0</v>
      </c>
      <c r="N213" s="179">
        <f t="shared" si="61"/>
        <v>0</v>
      </c>
    </row>
    <row r="214" spans="1:14" s="181" customFormat="1" ht="12.75" hidden="1">
      <c r="A214" s="1383"/>
      <c r="B214" s="1386"/>
      <c r="C214" s="1389"/>
      <c r="D214" s="120" t="s">
        <v>22</v>
      </c>
      <c r="E214" s="179">
        <f>E212+E213</f>
        <v>12000</v>
      </c>
      <c r="F214" s="179">
        <f>F212+F213</f>
        <v>12000</v>
      </c>
      <c r="G214" s="179">
        <f>G212+G213</f>
        <v>0</v>
      </c>
      <c r="H214" s="121"/>
      <c r="I214" s="1389"/>
      <c r="J214" s="180" t="s">
        <v>22</v>
      </c>
      <c r="K214" s="179">
        <f>K212+K213</f>
        <v>12000</v>
      </c>
      <c r="L214" s="179">
        <f>L212+L213</f>
        <v>12000</v>
      </c>
      <c r="M214" s="179">
        <f>M212+M213</f>
        <v>0</v>
      </c>
      <c r="N214" s="179">
        <f>N212+N213</f>
        <v>0</v>
      </c>
    </row>
    <row r="215" spans="1:14" ht="12.75" hidden="1">
      <c r="A215" s="182"/>
      <c r="B215" s="183"/>
      <c r="C215" s="184"/>
      <c r="D215" s="185"/>
      <c r="E215" s="206"/>
      <c r="F215" s="206"/>
      <c r="G215" s="206"/>
      <c r="H215" s="121"/>
      <c r="I215" s="184"/>
      <c r="J215" s="187"/>
      <c r="K215" s="186"/>
      <c r="L215" s="186"/>
      <c r="M215" s="186"/>
      <c r="N215" s="186"/>
    </row>
    <row r="216" spans="1:14" s="191" customFormat="1" ht="13.5" hidden="1">
      <c r="A216" s="1366">
        <v>15</v>
      </c>
      <c r="B216" s="1369" t="s">
        <v>232</v>
      </c>
      <c r="C216" s="1370"/>
      <c r="D216" s="188" t="s">
        <v>20</v>
      </c>
      <c r="E216" s="189">
        <f aca="true" t="shared" si="62" ref="E216:G217">E220</f>
        <v>12000</v>
      </c>
      <c r="F216" s="189">
        <f t="shared" si="62"/>
        <v>12000</v>
      </c>
      <c r="G216" s="189">
        <f t="shared" si="62"/>
        <v>0</v>
      </c>
      <c r="H216" s="121"/>
      <c r="I216" s="1375" t="s">
        <v>232</v>
      </c>
      <c r="J216" s="190" t="s">
        <v>20</v>
      </c>
      <c r="K216" s="189">
        <f aca="true" t="shared" si="63" ref="K216:N217">K220</f>
        <v>12000</v>
      </c>
      <c r="L216" s="189">
        <f t="shared" si="63"/>
        <v>12000</v>
      </c>
      <c r="M216" s="189">
        <f t="shared" si="63"/>
        <v>0</v>
      </c>
      <c r="N216" s="189">
        <f t="shared" si="63"/>
        <v>0</v>
      </c>
    </row>
    <row r="217" spans="1:14" s="191" customFormat="1" ht="13.5" hidden="1">
      <c r="A217" s="1367"/>
      <c r="B217" s="1371"/>
      <c r="C217" s="1372"/>
      <c r="D217" s="188" t="s">
        <v>21</v>
      </c>
      <c r="E217" s="189">
        <f t="shared" si="62"/>
        <v>0</v>
      </c>
      <c r="F217" s="189">
        <f t="shared" si="62"/>
        <v>0</v>
      </c>
      <c r="G217" s="189">
        <f t="shared" si="62"/>
        <v>0</v>
      </c>
      <c r="H217" s="121"/>
      <c r="I217" s="1376"/>
      <c r="J217" s="190" t="s">
        <v>21</v>
      </c>
      <c r="K217" s="189">
        <f t="shared" si="63"/>
        <v>0</v>
      </c>
      <c r="L217" s="189">
        <f t="shared" si="63"/>
        <v>0</v>
      </c>
      <c r="M217" s="189">
        <f t="shared" si="63"/>
        <v>0</v>
      </c>
      <c r="N217" s="189">
        <f t="shared" si="63"/>
        <v>0</v>
      </c>
    </row>
    <row r="218" spans="1:14" s="191" customFormat="1" ht="13.5" hidden="1">
      <c r="A218" s="1368"/>
      <c r="B218" s="1373"/>
      <c r="C218" s="1374"/>
      <c r="D218" s="188" t="s">
        <v>22</v>
      </c>
      <c r="E218" s="189">
        <f>E216+E217</f>
        <v>12000</v>
      </c>
      <c r="F218" s="189">
        <f>F216+F217</f>
        <v>12000</v>
      </c>
      <c r="G218" s="189">
        <f>G216+G217</f>
        <v>0</v>
      </c>
      <c r="H218" s="121"/>
      <c r="I218" s="1377"/>
      <c r="J218" s="190" t="s">
        <v>22</v>
      </c>
      <c r="K218" s="189">
        <f>K216+K217</f>
        <v>12000</v>
      </c>
      <c r="L218" s="189">
        <f>L216+L217</f>
        <v>12000</v>
      </c>
      <c r="M218" s="189">
        <f>M216+M217</f>
        <v>0</v>
      </c>
      <c r="N218" s="189">
        <f>N216+N217</f>
        <v>0</v>
      </c>
    </row>
    <row r="219" spans="1:14" s="181" customFormat="1" ht="12.75" hidden="1">
      <c r="A219" s="198"/>
      <c r="B219" s="203"/>
      <c r="C219" s="204"/>
      <c r="D219" s="120"/>
      <c r="E219" s="200"/>
      <c r="F219" s="179"/>
      <c r="G219" s="179"/>
      <c r="H219" s="121"/>
      <c r="I219" s="204"/>
      <c r="J219" s="180"/>
      <c r="K219" s="201"/>
      <c r="L219" s="201"/>
      <c r="M219" s="201"/>
      <c r="N219" s="201"/>
    </row>
    <row r="220" spans="1:14" ht="12.75" hidden="1">
      <c r="A220" s="1378"/>
      <c r="B220" s="1378"/>
      <c r="C220" s="1347" t="s">
        <v>193</v>
      </c>
      <c r="D220" s="185" t="s">
        <v>20</v>
      </c>
      <c r="E220" s="197">
        <f>F220+G220</f>
        <v>12000</v>
      </c>
      <c r="F220" s="186">
        <v>12000</v>
      </c>
      <c r="G220" s="221">
        <v>0</v>
      </c>
      <c r="H220" s="121"/>
      <c r="I220" s="1347" t="s">
        <v>203</v>
      </c>
      <c r="J220" s="187" t="s">
        <v>20</v>
      </c>
      <c r="K220" s="186">
        <f>L220+M220+N220</f>
        <v>12000</v>
      </c>
      <c r="L220" s="186">
        <v>12000</v>
      </c>
      <c r="M220" s="186">
        <v>0</v>
      </c>
      <c r="N220" s="186">
        <v>0</v>
      </c>
    </row>
    <row r="221" spans="1:14" ht="12.75" hidden="1">
      <c r="A221" s="1379"/>
      <c r="B221" s="1379"/>
      <c r="C221" s="1348"/>
      <c r="D221" s="135" t="s">
        <v>21</v>
      </c>
      <c r="E221" s="197">
        <f>F221+G221</f>
        <v>0</v>
      </c>
      <c r="F221" s="136"/>
      <c r="G221" s="137"/>
      <c r="H221" s="121"/>
      <c r="I221" s="1348"/>
      <c r="J221" s="215" t="s">
        <v>21</v>
      </c>
      <c r="K221" s="186">
        <f>L221+M221+N221</f>
        <v>0</v>
      </c>
      <c r="L221" s="136"/>
      <c r="M221" s="136"/>
      <c r="N221" s="136"/>
    </row>
    <row r="222" spans="1:14" ht="12.75" hidden="1">
      <c r="A222" s="1380"/>
      <c r="B222" s="1380"/>
      <c r="C222" s="1349"/>
      <c r="D222" s="135" t="s">
        <v>22</v>
      </c>
      <c r="E222" s="216">
        <f>E220+E221</f>
        <v>12000</v>
      </c>
      <c r="F222" s="216">
        <f>F220+F221</f>
        <v>12000</v>
      </c>
      <c r="G222" s="216">
        <f>G220+G221</f>
        <v>0</v>
      </c>
      <c r="H222" s="121"/>
      <c r="I222" s="1349"/>
      <c r="J222" s="215" t="s">
        <v>22</v>
      </c>
      <c r="K222" s="136">
        <f>K220+K221</f>
        <v>12000</v>
      </c>
      <c r="L222" s="136">
        <f>L220+L221</f>
        <v>12000</v>
      </c>
      <c r="M222" s="136">
        <f>M220+M221</f>
        <v>0</v>
      </c>
      <c r="N222" s="136">
        <f>N220+N221</f>
        <v>0</v>
      </c>
    </row>
    <row r="223" spans="1:14" ht="13.5" hidden="1" thickBot="1">
      <c r="A223" s="132"/>
      <c r="B223" s="219"/>
      <c r="C223" s="134"/>
      <c r="D223" s="135"/>
      <c r="E223" s="220"/>
      <c r="F223" s="220"/>
      <c r="G223" s="220"/>
      <c r="H223" s="121"/>
      <c r="I223" s="134"/>
      <c r="J223" s="215"/>
      <c r="K223" s="136"/>
      <c r="L223" s="136"/>
      <c r="M223" s="136"/>
      <c r="N223" s="136"/>
    </row>
    <row r="224" spans="1:14" s="163" customFormat="1" ht="14.25" hidden="1">
      <c r="A224" s="1396"/>
      <c r="B224" s="1399" t="s">
        <v>57</v>
      </c>
      <c r="C224" s="1402" t="s">
        <v>47</v>
      </c>
      <c r="D224" s="159" t="s">
        <v>20</v>
      </c>
      <c r="E224" s="160">
        <f aca="true" t="shared" si="64" ref="E224:G225">E228</f>
        <v>14000</v>
      </c>
      <c r="F224" s="160">
        <f t="shared" si="64"/>
        <v>14000</v>
      </c>
      <c r="G224" s="160">
        <f t="shared" si="64"/>
        <v>0</v>
      </c>
      <c r="H224" s="1360"/>
      <c r="I224" s="1402" t="s">
        <v>47</v>
      </c>
      <c r="J224" s="161" t="s">
        <v>20</v>
      </c>
      <c r="K224" s="160">
        <f aca="true" t="shared" si="65" ref="K224:N225">K228</f>
        <v>14000</v>
      </c>
      <c r="L224" s="160">
        <f t="shared" si="65"/>
        <v>14000</v>
      </c>
      <c r="M224" s="160">
        <f t="shared" si="65"/>
        <v>0</v>
      </c>
      <c r="N224" s="162">
        <f t="shared" si="65"/>
        <v>0</v>
      </c>
    </row>
    <row r="225" spans="1:14" s="163" customFormat="1" ht="14.25" hidden="1">
      <c r="A225" s="1397"/>
      <c r="B225" s="1400"/>
      <c r="C225" s="1403"/>
      <c r="D225" s="164" t="s">
        <v>21</v>
      </c>
      <c r="E225" s="165">
        <f t="shared" si="64"/>
        <v>0</v>
      </c>
      <c r="F225" s="165">
        <f t="shared" si="64"/>
        <v>0</v>
      </c>
      <c r="G225" s="165">
        <f t="shared" si="64"/>
        <v>0</v>
      </c>
      <c r="H225" s="1361"/>
      <c r="I225" s="1403"/>
      <c r="J225" s="166" t="s">
        <v>21</v>
      </c>
      <c r="K225" s="165">
        <f t="shared" si="65"/>
        <v>0</v>
      </c>
      <c r="L225" s="165">
        <f t="shared" si="65"/>
        <v>0</v>
      </c>
      <c r="M225" s="165">
        <f t="shared" si="65"/>
        <v>0</v>
      </c>
      <c r="N225" s="167">
        <f t="shared" si="65"/>
        <v>0</v>
      </c>
    </row>
    <row r="226" spans="1:14" s="163" customFormat="1" ht="15" hidden="1" thickBot="1">
      <c r="A226" s="1398"/>
      <c r="B226" s="1401"/>
      <c r="C226" s="1404"/>
      <c r="D226" s="168" t="s">
        <v>22</v>
      </c>
      <c r="E226" s="169">
        <f>E224+E225</f>
        <v>14000</v>
      </c>
      <c r="F226" s="169">
        <f>F224+F225</f>
        <v>14000</v>
      </c>
      <c r="G226" s="169">
        <f>G224+G225</f>
        <v>0</v>
      </c>
      <c r="H226" s="1362"/>
      <c r="I226" s="1404"/>
      <c r="J226" s="170" t="s">
        <v>22</v>
      </c>
      <c r="K226" s="169">
        <f>K224+K225</f>
        <v>14000</v>
      </c>
      <c r="L226" s="169">
        <f>L224+L225</f>
        <v>14000</v>
      </c>
      <c r="M226" s="169">
        <f>M224+M225</f>
        <v>0</v>
      </c>
      <c r="N226" s="171">
        <f>N224+N225</f>
        <v>0</v>
      </c>
    </row>
    <row r="227" spans="1:14" ht="10.5" customHeight="1" hidden="1">
      <c r="A227" s="172"/>
      <c r="B227" s="173"/>
      <c r="C227" s="174"/>
      <c r="D227" s="175"/>
      <c r="E227" s="217"/>
      <c r="F227" s="217"/>
      <c r="G227" s="217"/>
      <c r="H227" s="121"/>
      <c r="I227" s="174"/>
      <c r="J227" s="177"/>
      <c r="K227" s="176"/>
      <c r="L227" s="176"/>
      <c r="M227" s="176"/>
      <c r="N227" s="176"/>
    </row>
    <row r="228" spans="1:14" s="181" customFormat="1" ht="12.75" hidden="1">
      <c r="A228" s="1381"/>
      <c r="B228" s="1384" t="s">
        <v>61</v>
      </c>
      <c r="C228" s="1387" t="s">
        <v>233</v>
      </c>
      <c r="D228" s="120" t="s">
        <v>20</v>
      </c>
      <c r="E228" s="179">
        <f aca="true" t="shared" si="66" ref="E228:G229">E232</f>
        <v>14000</v>
      </c>
      <c r="F228" s="179">
        <f t="shared" si="66"/>
        <v>14000</v>
      </c>
      <c r="G228" s="179">
        <f t="shared" si="66"/>
        <v>0</v>
      </c>
      <c r="H228" s="121"/>
      <c r="I228" s="1387" t="s">
        <v>233</v>
      </c>
      <c r="J228" s="180" t="s">
        <v>20</v>
      </c>
      <c r="K228" s="179">
        <f aca="true" t="shared" si="67" ref="K228:N229">K232</f>
        <v>14000</v>
      </c>
      <c r="L228" s="179">
        <f t="shared" si="67"/>
        <v>14000</v>
      </c>
      <c r="M228" s="179">
        <f t="shared" si="67"/>
        <v>0</v>
      </c>
      <c r="N228" s="179">
        <f t="shared" si="67"/>
        <v>0</v>
      </c>
    </row>
    <row r="229" spans="1:14" s="181" customFormat="1" ht="12.75" hidden="1">
      <c r="A229" s="1382"/>
      <c r="B229" s="1385"/>
      <c r="C229" s="1388"/>
      <c r="D229" s="120" t="s">
        <v>21</v>
      </c>
      <c r="E229" s="179">
        <f t="shared" si="66"/>
        <v>0</v>
      </c>
      <c r="F229" s="179">
        <f t="shared" si="66"/>
        <v>0</v>
      </c>
      <c r="G229" s="179">
        <f t="shared" si="66"/>
        <v>0</v>
      </c>
      <c r="H229" s="121"/>
      <c r="I229" s="1388"/>
      <c r="J229" s="180" t="s">
        <v>21</v>
      </c>
      <c r="K229" s="179">
        <f t="shared" si="67"/>
        <v>0</v>
      </c>
      <c r="L229" s="179">
        <f t="shared" si="67"/>
        <v>0</v>
      </c>
      <c r="M229" s="179">
        <f t="shared" si="67"/>
        <v>0</v>
      </c>
      <c r="N229" s="179">
        <f t="shared" si="67"/>
        <v>0</v>
      </c>
    </row>
    <row r="230" spans="1:14" s="181" customFormat="1" ht="12.75" hidden="1">
      <c r="A230" s="1383"/>
      <c r="B230" s="1386"/>
      <c r="C230" s="1389"/>
      <c r="D230" s="120" t="s">
        <v>22</v>
      </c>
      <c r="E230" s="179">
        <f>E228+E229</f>
        <v>14000</v>
      </c>
      <c r="F230" s="179">
        <f>F228+F229</f>
        <v>14000</v>
      </c>
      <c r="G230" s="179">
        <f>G228+G229</f>
        <v>0</v>
      </c>
      <c r="H230" s="121"/>
      <c r="I230" s="1389"/>
      <c r="J230" s="180" t="s">
        <v>22</v>
      </c>
      <c r="K230" s="179">
        <f>K228+K229</f>
        <v>14000</v>
      </c>
      <c r="L230" s="179">
        <f>L228+L229</f>
        <v>14000</v>
      </c>
      <c r="M230" s="179">
        <f>M228+M229</f>
        <v>0</v>
      </c>
      <c r="N230" s="179">
        <f>N228+N229</f>
        <v>0</v>
      </c>
    </row>
    <row r="231" spans="1:14" ht="9.75" customHeight="1" hidden="1">
      <c r="A231" s="182"/>
      <c r="B231" s="183"/>
      <c r="C231" s="184"/>
      <c r="D231" s="185"/>
      <c r="E231" s="206"/>
      <c r="F231" s="206"/>
      <c r="G231" s="206"/>
      <c r="H231" s="211"/>
      <c r="I231" s="184"/>
      <c r="J231" s="187"/>
      <c r="K231" s="186"/>
      <c r="L231" s="186"/>
      <c r="M231" s="186"/>
      <c r="N231" s="186"/>
    </row>
    <row r="232" spans="1:14" s="191" customFormat="1" ht="13.5" customHeight="1" hidden="1">
      <c r="A232" s="1366">
        <v>16</v>
      </c>
      <c r="B232" s="1369" t="s">
        <v>234</v>
      </c>
      <c r="C232" s="1370"/>
      <c r="D232" s="212" t="s">
        <v>20</v>
      </c>
      <c r="E232" s="213">
        <f aca="true" t="shared" si="68" ref="E232:G233">E236</f>
        <v>14000</v>
      </c>
      <c r="F232" s="213">
        <f t="shared" si="68"/>
        <v>14000</v>
      </c>
      <c r="G232" s="213">
        <f t="shared" si="68"/>
        <v>0</v>
      </c>
      <c r="H232" s="121"/>
      <c r="I232" s="1375" t="s">
        <v>234</v>
      </c>
      <c r="J232" s="214" t="s">
        <v>20</v>
      </c>
      <c r="K232" s="213">
        <f aca="true" t="shared" si="69" ref="K232:N233">K236+K240</f>
        <v>14000</v>
      </c>
      <c r="L232" s="213">
        <f t="shared" si="69"/>
        <v>14000</v>
      </c>
      <c r="M232" s="213">
        <f t="shared" si="69"/>
        <v>0</v>
      </c>
      <c r="N232" s="213">
        <f t="shared" si="69"/>
        <v>0</v>
      </c>
    </row>
    <row r="233" spans="1:14" s="191" customFormat="1" ht="13.5" hidden="1">
      <c r="A233" s="1367"/>
      <c r="B233" s="1371"/>
      <c r="C233" s="1372"/>
      <c r="D233" s="212" t="s">
        <v>21</v>
      </c>
      <c r="E233" s="213">
        <f t="shared" si="68"/>
        <v>0</v>
      </c>
      <c r="F233" s="213">
        <f t="shared" si="68"/>
        <v>0</v>
      </c>
      <c r="G233" s="213">
        <f t="shared" si="68"/>
        <v>0</v>
      </c>
      <c r="H233" s="121"/>
      <c r="I233" s="1376"/>
      <c r="J233" s="214" t="s">
        <v>21</v>
      </c>
      <c r="K233" s="213">
        <f t="shared" si="69"/>
        <v>0</v>
      </c>
      <c r="L233" s="213">
        <f t="shared" si="69"/>
        <v>0</v>
      </c>
      <c r="M233" s="213">
        <f t="shared" si="69"/>
        <v>0</v>
      </c>
      <c r="N233" s="213">
        <f t="shared" si="69"/>
        <v>0</v>
      </c>
    </row>
    <row r="234" spans="1:14" s="191" customFormat="1" ht="13.5" hidden="1">
      <c r="A234" s="1368"/>
      <c r="B234" s="1373"/>
      <c r="C234" s="1374"/>
      <c r="D234" s="212" t="s">
        <v>22</v>
      </c>
      <c r="E234" s="213">
        <f>E232+E233</f>
        <v>14000</v>
      </c>
      <c r="F234" s="213">
        <f>F232+F233</f>
        <v>14000</v>
      </c>
      <c r="G234" s="213">
        <f>G232+G233</f>
        <v>0</v>
      </c>
      <c r="H234" s="121"/>
      <c r="I234" s="1377"/>
      <c r="J234" s="214" t="s">
        <v>22</v>
      </c>
      <c r="K234" s="213">
        <f>K232+K233</f>
        <v>14000</v>
      </c>
      <c r="L234" s="213">
        <f>L232+L233</f>
        <v>14000</v>
      </c>
      <c r="M234" s="213">
        <f>M232+M233</f>
        <v>0</v>
      </c>
      <c r="N234" s="213">
        <f>N232+N233</f>
        <v>0</v>
      </c>
    </row>
    <row r="235" spans="1:14" s="181" customFormat="1" ht="9" customHeight="1" hidden="1">
      <c r="A235" s="198"/>
      <c r="B235" s="203"/>
      <c r="C235" s="204"/>
      <c r="D235" s="120"/>
      <c r="E235" s="200"/>
      <c r="F235" s="179"/>
      <c r="G235" s="179"/>
      <c r="H235" s="121"/>
      <c r="I235" s="204"/>
      <c r="J235" s="180"/>
      <c r="K235" s="201"/>
      <c r="L235" s="201"/>
      <c r="M235" s="201"/>
      <c r="N235" s="201"/>
    </row>
    <row r="236" spans="1:14" ht="12.75" hidden="1">
      <c r="A236" s="1378"/>
      <c r="B236" s="1378"/>
      <c r="C236" s="1347" t="s">
        <v>193</v>
      </c>
      <c r="D236" s="185" t="s">
        <v>20</v>
      </c>
      <c r="E236" s="197">
        <f>F236+G236</f>
        <v>14000</v>
      </c>
      <c r="F236" s="186">
        <v>14000</v>
      </c>
      <c r="G236" s="221">
        <v>0</v>
      </c>
      <c r="H236" s="121"/>
      <c r="I236" s="1347" t="s">
        <v>199</v>
      </c>
      <c r="J236" s="222" t="s">
        <v>20</v>
      </c>
      <c r="K236" s="186">
        <f>L236+M236+N236</f>
        <v>11000</v>
      </c>
      <c r="L236" s="186">
        <v>11000</v>
      </c>
      <c r="M236" s="186">
        <v>0</v>
      </c>
      <c r="N236" s="186">
        <v>0</v>
      </c>
    </row>
    <row r="237" spans="1:14" ht="12.75" hidden="1">
      <c r="A237" s="1379"/>
      <c r="B237" s="1379"/>
      <c r="C237" s="1348"/>
      <c r="D237" s="175" t="s">
        <v>21</v>
      </c>
      <c r="E237" s="197">
        <f>F237+G237</f>
        <v>0</v>
      </c>
      <c r="F237" s="176"/>
      <c r="G237" s="230"/>
      <c r="H237" s="121"/>
      <c r="I237" s="1348"/>
      <c r="J237" s="231" t="s">
        <v>21</v>
      </c>
      <c r="K237" s="186">
        <f>L237+M237+N237</f>
        <v>0</v>
      </c>
      <c r="L237" s="176"/>
      <c r="M237" s="176"/>
      <c r="N237" s="176"/>
    </row>
    <row r="238" spans="1:14" ht="12.75" hidden="1">
      <c r="A238" s="1380"/>
      <c r="B238" s="1380"/>
      <c r="C238" s="1349"/>
      <c r="D238" s="175" t="s">
        <v>22</v>
      </c>
      <c r="E238" s="232">
        <f>E236+E237</f>
        <v>14000</v>
      </c>
      <c r="F238" s="232">
        <f>F236+F237</f>
        <v>14000</v>
      </c>
      <c r="G238" s="232">
        <f>G236+G237</f>
        <v>0</v>
      </c>
      <c r="H238" s="121"/>
      <c r="I238" s="1349"/>
      <c r="J238" s="231" t="s">
        <v>22</v>
      </c>
      <c r="K238" s="176">
        <f>K236+K237</f>
        <v>11000</v>
      </c>
      <c r="L238" s="176">
        <f>L236+L237</f>
        <v>11000</v>
      </c>
      <c r="M238" s="176">
        <f>M236+M237</f>
        <v>0</v>
      </c>
      <c r="N238" s="176">
        <f>N236+N237</f>
        <v>0</v>
      </c>
    </row>
    <row r="239" spans="1:14" ht="12.75" hidden="1">
      <c r="A239" s="172"/>
      <c r="B239" s="173"/>
      <c r="C239" s="174"/>
      <c r="D239" s="175"/>
      <c r="E239" s="232"/>
      <c r="F239" s="176"/>
      <c r="G239" s="176"/>
      <c r="H239" s="121"/>
      <c r="I239" s="174"/>
      <c r="J239" s="177"/>
      <c r="K239" s="176"/>
      <c r="L239" s="176"/>
      <c r="M239" s="176"/>
      <c r="N239" s="176"/>
    </row>
    <row r="240" spans="1:14" s="181" customFormat="1" ht="12.75" hidden="1">
      <c r="A240" s="1381"/>
      <c r="B240" s="1381"/>
      <c r="C240" s="1405" t="s">
        <v>55</v>
      </c>
      <c r="D240" s="1405"/>
      <c r="E240" s="1405" t="s">
        <v>55</v>
      </c>
      <c r="F240" s="1405" t="s">
        <v>55</v>
      </c>
      <c r="G240" s="1405" t="s">
        <v>55</v>
      </c>
      <c r="H240" s="121"/>
      <c r="I240" s="1347" t="s">
        <v>200</v>
      </c>
      <c r="J240" s="187" t="s">
        <v>20</v>
      </c>
      <c r="K240" s="186">
        <f>L240+M240+N240</f>
        <v>3000</v>
      </c>
      <c r="L240" s="186">
        <v>3000</v>
      </c>
      <c r="M240" s="186">
        <v>0</v>
      </c>
      <c r="N240" s="186">
        <v>0</v>
      </c>
    </row>
    <row r="241" spans="1:14" s="181" customFormat="1" ht="12.75" hidden="1">
      <c r="A241" s="1382"/>
      <c r="B241" s="1382"/>
      <c r="C241" s="1406"/>
      <c r="D241" s="1406"/>
      <c r="E241" s="1406"/>
      <c r="F241" s="1406"/>
      <c r="G241" s="1406"/>
      <c r="H241" s="121"/>
      <c r="I241" s="1348"/>
      <c r="J241" s="215" t="s">
        <v>21</v>
      </c>
      <c r="K241" s="186">
        <f>L241+M241+N241</f>
        <v>0</v>
      </c>
      <c r="L241" s="136"/>
      <c r="M241" s="136"/>
      <c r="N241" s="136"/>
    </row>
    <row r="242" spans="1:14" s="181" customFormat="1" ht="12.75" hidden="1">
      <c r="A242" s="1383"/>
      <c r="B242" s="1383"/>
      <c r="C242" s="1407"/>
      <c r="D242" s="1407"/>
      <c r="E242" s="1407"/>
      <c r="F242" s="1407"/>
      <c r="G242" s="1407"/>
      <c r="H242" s="121"/>
      <c r="I242" s="1349"/>
      <c r="J242" s="215" t="s">
        <v>22</v>
      </c>
      <c r="K242" s="136">
        <f>K240+K241</f>
        <v>3000</v>
      </c>
      <c r="L242" s="136">
        <f>L240+L241</f>
        <v>3000</v>
      </c>
      <c r="M242" s="136">
        <f>M240+M241</f>
        <v>0</v>
      </c>
      <c r="N242" s="136">
        <f>N240+N241</f>
        <v>0</v>
      </c>
    </row>
    <row r="243" spans="1:14" s="181" customFormat="1" ht="13.5" thickBot="1">
      <c r="A243" s="178"/>
      <c r="B243" s="178"/>
      <c r="C243" s="220"/>
      <c r="D243" s="205"/>
      <c r="E243" s="220"/>
      <c r="F243" s="220"/>
      <c r="G243" s="220"/>
      <c r="H243" s="121"/>
      <c r="I243" s="196"/>
      <c r="J243" s="215"/>
      <c r="K243" s="136"/>
      <c r="L243" s="136"/>
      <c r="M243" s="136"/>
      <c r="N243" s="136"/>
    </row>
    <row r="244" spans="1:14" s="163" customFormat="1" ht="15.75" customHeight="1">
      <c r="A244" s="1396"/>
      <c r="B244" s="1399" t="s">
        <v>235</v>
      </c>
      <c r="C244" s="1402" t="s">
        <v>236</v>
      </c>
      <c r="D244" s="159" t="s">
        <v>20</v>
      </c>
      <c r="E244" s="160">
        <f aca="true" t="shared" si="70" ref="E244:G245">E264+E280+E248</f>
        <v>1217000</v>
      </c>
      <c r="F244" s="160">
        <f t="shared" si="70"/>
        <v>1217000</v>
      </c>
      <c r="G244" s="160">
        <f t="shared" si="70"/>
        <v>0</v>
      </c>
      <c r="H244" s="1360"/>
      <c r="I244" s="1402" t="s">
        <v>236</v>
      </c>
      <c r="J244" s="161" t="s">
        <v>20</v>
      </c>
      <c r="K244" s="160">
        <f aca="true" t="shared" si="71" ref="K244:N245">K264+K280+K248</f>
        <v>1217000</v>
      </c>
      <c r="L244" s="160">
        <f t="shared" si="71"/>
        <v>1217000</v>
      </c>
      <c r="M244" s="160">
        <f t="shared" si="71"/>
        <v>0</v>
      </c>
      <c r="N244" s="162">
        <f t="shared" si="71"/>
        <v>0</v>
      </c>
    </row>
    <row r="245" spans="1:14" s="163" customFormat="1" ht="15.75" customHeight="1">
      <c r="A245" s="1397"/>
      <c r="B245" s="1400"/>
      <c r="C245" s="1403"/>
      <c r="D245" s="164" t="s">
        <v>21</v>
      </c>
      <c r="E245" s="165">
        <f t="shared" si="70"/>
        <v>2101000</v>
      </c>
      <c r="F245" s="165">
        <f t="shared" si="70"/>
        <v>2101000</v>
      </c>
      <c r="G245" s="165">
        <f t="shared" si="70"/>
        <v>0</v>
      </c>
      <c r="H245" s="1361"/>
      <c r="I245" s="1403"/>
      <c r="J245" s="166" t="s">
        <v>21</v>
      </c>
      <c r="K245" s="165">
        <f t="shared" si="71"/>
        <v>2101000</v>
      </c>
      <c r="L245" s="165">
        <f t="shared" si="71"/>
        <v>2101000</v>
      </c>
      <c r="M245" s="165">
        <f t="shared" si="71"/>
        <v>0</v>
      </c>
      <c r="N245" s="167">
        <f t="shared" si="71"/>
        <v>0</v>
      </c>
    </row>
    <row r="246" spans="1:14" s="163" customFormat="1" ht="15.75" customHeight="1" thickBot="1">
      <c r="A246" s="1398"/>
      <c r="B246" s="1401"/>
      <c r="C246" s="1404"/>
      <c r="D246" s="168" t="s">
        <v>22</v>
      </c>
      <c r="E246" s="169">
        <f>E244+E245</f>
        <v>3318000</v>
      </c>
      <c r="F246" s="169">
        <f>F244+F245</f>
        <v>3318000</v>
      </c>
      <c r="G246" s="169">
        <f>G244+G245</f>
        <v>0</v>
      </c>
      <c r="H246" s="1362"/>
      <c r="I246" s="1404"/>
      <c r="J246" s="170" t="s">
        <v>22</v>
      </c>
      <c r="K246" s="169">
        <f>K244+K245</f>
        <v>3318000</v>
      </c>
      <c r="L246" s="169">
        <f>L244+L245</f>
        <v>3318000</v>
      </c>
      <c r="M246" s="169">
        <f>M244+M245</f>
        <v>0</v>
      </c>
      <c r="N246" s="171">
        <f>N244+N245</f>
        <v>0</v>
      </c>
    </row>
    <row r="247" spans="1:14" ht="12.75">
      <c r="A247" s="172"/>
      <c r="B247" s="173"/>
      <c r="C247" s="174"/>
      <c r="D247" s="175"/>
      <c r="E247" s="217"/>
      <c r="F247" s="217"/>
      <c r="G247" s="217"/>
      <c r="H247" s="121"/>
      <c r="I247" s="174"/>
      <c r="J247" s="177"/>
      <c r="K247" s="176"/>
      <c r="L247" s="176"/>
      <c r="M247" s="176"/>
      <c r="N247" s="176"/>
    </row>
    <row r="248" spans="1:14" s="181" customFormat="1" ht="12.75">
      <c r="A248" s="1381"/>
      <c r="B248" s="1384" t="s">
        <v>237</v>
      </c>
      <c r="C248" s="1387" t="s">
        <v>238</v>
      </c>
      <c r="D248" s="120" t="s">
        <v>20</v>
      </c>
      <c r="E248" s="179">
        <f aca="true" t="shared" si="72" ref="E248:G249">E252</f>
        <v>187000</v>
      </c>
      <c r="F248" s="179">
        <f t="shared" si="72"/>
        <v>187000</v>
      </c>
      <c r="G248" s="225">
        <f t="shared" si="72"/>
        <v>0</v>
      </c>
      <c r="H248" s="121"/>
      <c r="I248" s="1387" t="s">
        <v>238</v>
      </c>
      <c r="J248" s="226" t="s">
        <v>20</v>
      </c>
      <c r="K248" s="179">
        <f aca="true" t="shared" si="73" ref="K248:N249">K252</f>
        <v>187000</v>
      </c>
      <c r="L248" s="179">
        <f t="shared" si="73"/>
        <v>187000</v>
      </c>
      <c r="M248" s="179">
        <f t="shared" si="73"/>
        <v>0</v>
      </c>
      <c r="N248" s="179">
        <f t="shared" si="73"/>
        <v>0</v>
      </c>
    </row>
    <row r="249" spans="1:14" s="181" customFormat="1" ht="12.75">
      <c r="A249" s="1382"/>
      <c r="B249" s="1385"/>
      <c r="C249" s="1388"/>
      <c r="D249" s="120" t="s">
        <v>21</v>
      </c>
      <c r="E249" s="179">
        <f t="shared" si="72"/>
        <v>343000</v>
      </c>
      <c r="F249" s="179">
        <f t="shared" si="72"/>
        <v>343000</v>
      </c>
      <c r="G249" s="225">
        <f t="shared" si="72"/>
        <v>0</v>
      </c>
      <c r="H249" s="121"/>
      <c r="I249" s="1388"/>
      <c r="J249" s="226" t="s">
        <v>21</v>
      </c>
      <c r="K249" s="179">
        <f t="shared" si="73"/>
        <v>343000</v>
      </c>
      <c r="L249" s="179">
        <f t="shared" si="73"/>
        <v>343000</v>
      </c>
      <c r="M249" s="179">
        <f t="shared" si="73"/>
        <v>0</v>
      </c>
      <c r="N249" s="179">
        <f t="shared" si="73"/>
        <v>0</v>
      </c>
    </row>
    <row r="250" spans="1:14" s="181" customFormat="1" ht="12.75">
      <c r="A250" s="1383"/>
      <c r="B250" s="1386"/>
      <c r="C250" s="1389"/>
      <c r="D250" s="120" t="s">
        <v>22</v>
      </c>
      <c r="E250" s="179">
        <f>E248+E249</f>
        <v>530000</v>
      </c>
      <c r="F250" s="179">
        <f>F248+F249</f>
        <v>530000</v>
      </c>
      <c r="G250" s="179">
        <f>G248+G249</f>
        <v>0</v>
      </c>
      <c r="H250" s="121"/>
      <c r="I250" s="1389"/>
      <c r="J250" s="226" t="s">
        <v>22</v>
      </c>
      <c r="K250" s="179">
        <f>K248+K249</f>
        <v>530000</v>
      </c>
      <c r="L250" s="179">
        <f>L248+L249</f>
        <v>530000</v>
      </c>
      <c r="M250" s="179">
        <f>M248+M249</f>
        <v>0</v>
      </c>
      <c r="N250" s="179">
        <f>N248+N249</f>
        <v>0</v>
      </c>
    </row>
    <row r="251" spans="1:14" ht="12.75">
      <c r="A251" s="182"/>
      <c r="B251" s="183"/>
      <c r="C251" s="184"/>
      <c r="D251" s="185"/>
      <c r="E251" s="206"/>
      <c r="F251" s="206"/>
      <c r="G251" s="206"/>
      <c r="H251" s="121"/>
      <c r="I251" s="184"/>
      <c r="J251" s="187"/>
      <c r="K251" s="186"/>
      <c r="L251" s="186"/>
      <c r="M251" s="186"/>
      <c r="N251" s="186"/>
    </row>
    <row r="252" spans="1:14" s="191" customFormat="1" ht="15.75" customHeight="1">
      <c r="A252" s="1366">
        <v>1</v>
      </c>
      <c r="B252" s="1369" t="s">
        <v>239</v>
      </c>
      <c r="C252" s="1370"/>
      <c r="D252" s="188" t="s">
        <v>20</v>
      </c>
      <c r="E252" s="189">
        <f aca="true" t="shared" si="74" ref="E252:G253">E256</f>
        <v>187000</v>
      </c>
      <c r="F252" s="189">
        <f t="shared" si="74"/>
        <v>187000</v>
      </c>
      <c r="G252" s="189">
        <f t="shared" si="74"/>
        <v>0</v>
      </c>
      <c r="H252" s="121"/>
      <c r="I252" s="1375" t="s">
        <v>239</v>
      </c>
      <c r="J252" s="190" t="s">
        <v>20</v>
      </c>
      <c r="K252" s="189">
        <f aca="true" t="shared" si="75" ref="K252:N253">K256+K260</f>
        <v>187000</v>
      </c>
      <c r="L252" s="189">
        <f t="shared" si="75"/>
        <v>187000</v>
      </c>
      <c r="M252" s="189">
        <f t="shared" si="75"/>
        <v>0</v>
      </c>
      <c r="N252" s="189">
        <f t="shared" si="75"/>
        <v>0</v>
      </c>
    </row>
    <row r="253" spans="1:14" s="191" customFormat="1" ht="15.75" customHeight="1">
      <c r="A253" s="1367"/>
      <c r="B253" s="1371"/>
      <c r="C253" s="1372"/>
      <c r="D253" s="188" t="s">
        <v>21</v>
      </c>
      <c r="E253" s="189">
        <f t="shared" si="74"/>
        <v>343000</v>
      </c>
      <c r="F253" s="189">
        <f t="shared" si="74"/>
        <v>343000</v>
      </c>
      <c r="G253" s="189">
        <f t="shared" si="74"/>
        <v>0</v>
      </c>
      <c r="H253" s="121"/>
      <c r="I253" s="1376"/>
      <c r="J253" s="190" t="s">
        <v>21</v>
      </c>
      <c r="K253" s="189">
        <f t="shared" si="75"/>
        <v>343000</v>
      </c>
      <c r="L253" s="189">
        <f t="shared" si="75"/>
        <v>343000</v>
      </c>
      <c r="M253" s="189">
        <f t="shared" si="75"/>
        <v>0</v>
      </c>
      <c r="N253" s="189">
        <f t="shared" si="75"/>
        <v>0</v>
      </c>
    </row>
    <row r="254" spans="1:14" s="191" customFormat="1" ht="15.75" customHeight="1">
      <c r="A254" s="1368"/>
      <c r="B254" s="1373"/>
      <c r="C254" s="1374"/>
      <c r="D254" s="188" t="s">
        <v>22</v>
      </c>
      <c r="E254" s="189">
        <f>E252+E253</f>
        <v>530000</v>
      </c>
      <c r="F254" s="189">
        <f>F252+F253</f>
        <v>530000</v>
      </c>
      <c r="G254" s="189">
        <f>G252+G253</f>
        <v>0</v>
      </c>
      <c r="H254" s="121"/>
      <c r="I254" s="1377"/>
      <c r="J254" s="190" t="s">
        <v>22</v>
      </c>
      <c r="K254" s="189">
        <f>K252+K253</f>
        <v>530000</v>
      </c>
      <c r="L254" s="189">
        <f>L252+L253</f>
        <v>530000</v>
      </c>
      <c r="M254" s="189">
        <f>M252+M253</f>
        <v>0</v>
      </c>
      <c r="N254" s="189">
        <f>N252+N253</f>
        <v>0</v>
      </c>
    </row>
    <row r="255" spans="1:14" s="181" customFormat="1" ht="12.75">
      <c r="A255" s="198"/>
      <c r="B255" s="203"/>
      <c r="C255" s="204"/>
      <c r="D255" s="120"/>
      <c r="E255" s="200"/>
      <c r="F255" s="179"/>
      <c r="G255" s="179"/>
      <c r="H255" s="121"/>
      <c r="I255" s="204"/>
      <c r="J255" s="180"/>
      <c r="K255" s="201"/>
      <c r="L255" s="201"/>
      <c r="M255" s="201"/>
      <c r="N255" s="201"/>
    </row>
    <row r="256" spans="1:14" ht="12.75">
      <c r="A256" s="1378"/>
      <c r="B256" s="1378"/>
      <c r="C256" s="1347" t="s">
        <v>193</v>
      </c>
      <c r="D256" s="185" t="s">
        <v>20</v>
      </c>
      <c r="E256" s="197">
        <f>F256+G256</f>
        <v>187000</v>
      </c>
      <c r="F256" s="186">
        <v>187000</v>
      </c>
      <c r="G256" s="186">
        <v>0</v>
      </c>
      <c r="H256" s="121"/>
      <c r="I256" s="1347" t="s">
        <v>199</v>
      </c>
      <c r="J256" s="187" t="s">
        <v>20</v>
      </c>
      <c r="K256" s="186">
        <f>L256+M256+N256</f>
        <v>92121</v>
      </c>
      <c r="L256" s="186">
        <v>92121</v>
      </c>
      <c r="M256" s="186">
        <v>0</v>
      </c>
      <c r="N256" s="186">
        <v>0</v>
      </c>
    </row>
    <row r="257" spans="1:14" ht="12.75">
      <c r="A257" s="1379"/>
      <c r="B257" s="1379"/>
      <c r="C257" s="1348"/>
      <c r="D257" s="185" t="s">
        <v>21</v>
      </c>
      <c r="E257" s="197">
        <f>F257+G257</f>
        <v>343000</v>
      </c>
      <c r="F257" s="186">
        <v>343000</v>
      </c>
      <c r="G257" s="186"/>
      <c r="H257" s="121"/>
      <c r="I257" s="1348"/>
      <c r="J257" s="187" t="s">
        <v>21</v>
      </c>
      <c r="K257" s="186">
        <f>L257+M257+N257</f>
        <v>290879</v>
      </c>
      <c r="L257" s="186">
        <v>290879</v>
      </c>
      <c r="M257" s="186"/>
      <c r="N257" s="186"/>
    </row>
    <row r="258" spans="1:14" ht="12.75">
      <c r="A258" s="1380"/>
      <c r="B258" s="1380"/>
      <c r="C258" s="1349"/>
      <c r="D258" s="185" t="s">
        <v>22</v>
      </c>
      <c r="E258" s="197">
        <f>E256+E257</f>
        <v>530000</v>
      </c>
      <c r="F258" s="197">
        <f>F256+F257</f>
        <v>530000</v>
      </c>
      <c r="G258" s="197">
        <f>G256+G257</f>
        <v>0</v>
      </c>
      <c r="H258" s="121"/>
      <c r="I258" s="1349"/>
      <c r="J258" s="187" t="s">
        <v>22</v>
      </c>
      <c r="K258" s="186">
        <f>K256+K257</f>
        <v>383000</v>
      </c>
      <c r="L258" s="186">
        <f>L256+L257</f>
        <v>383000</v>
      </c>
      <c r="M258" s="186">
        <f>M256+M257</f>
        <v>0</v>
      </c>
      <c r="N258" s="186">
        <f>N256+N257</f>
        <v>0</v>
      </c>
    </row>
    <row r="259" spans="1:14" ht="12.75">
      <c r="A259" s="182"/>
      <c r="B259" s="183"/>
      <c r="C259" s="184"/>
      <c r="D259" s="185"/>
      <c r="E259" s="197"/>
      <c r="F259" s="186"/>
      <c r="G259" s="186"/>
      <c r="H259" s="121"/>
      <c r="I259" s="184"/>
      <c r="J259" s="187"/>
      <c r="K259" s="186"/>
      <c r="L259" s="186"/>
      <c r="M259" s="186"/>
      <c r="N259" s="186"/>
    </row>
    <row r="260" spans="1:14" s="181" customFormat="1" ht="12.75">
      <c r="A260" s="1381"/>
      <c r="B260" s="1381"/>
      <c r="C260" s="1405" t="s">
        <v>55</v>
      </c>
      <c r="D260" s="1405"/>
      <c r="E260" s="1405" t="s">
        <v>55</v>
      </c>
      <c r="F260" s="1405" t="s">
        <v>55</v>
      </c>
      <c r="G260" s="1405" t="s">
        <v>55</v>
      </c>
      <c r="H260" s="121"/>
      <c r="I260" s="1347" t="s">
        <v>200</v>
      </c>
      <c r="J260" s="187" t="s">
        <v>20</v>
      </c>
      <c r="K260" s="186">
        <f>L260+M260+N260</f>
        <v>94879</v>
      </c>
      <c r="L260" s="186">
        <v>94879</v>
      </c>
      <c r="M260" s="186">
        <v>0</v>
      </c>
      <c r="N260" s="186">
        <v>0</v>
      </c>
    </row>
    <row r="261" spans="1:14" s="181" customFormat="1" ht="12.75">
      <c r="A261" s="1382"/>
      <c r="B261" s="1382"/>
      <c r="C261" s="1406"/>
      <c r="D261" s="1406"/>
      <c r="E261" s="1406"/>
      <c r="F261" s="1406"/>
      <c r="G261" s="1406"/>
      <c r="H261" s="121"/>
      <c r="I261" s="1348"/>
      <c r="J261" s="187" t="s">
        <v>21</v>
      </c>
      <c r="K261" s="186">
        <f>L261+M261+N261</f>
        <v>52121</v>
      </c>
      <c r="L261" s="186">
        <v>52121</v>
      </c>
      <c r="M261" s="186"/>
      <c r="N261" s="186"/>
    </row>
    <row r="262" spans="1:14" s="181" customFormat="1" ht="12.75">
      <c r="A262" s="1383"/>
      <c r="B262" s="1383"/>
      <c r="C262" s="1407"/>
      <c r="D262" s="1407"/>
      <c r="E262" s="1407"/>
      <c r="F262" s="1407"/>
      <c r="G262" s="1407"/>
      <c r="H262" s="121"/>
      <c r="I262" s="1349"/>
      <c r="J262" s="187" t="s">
        <v>22</v>
      </c>
      <c r="K262" s="186">
        <f>K260+K261</f>
        <v>147000</v>
      </c>
      <c r="L262" s="186">
        <f>L260+L261</f>
        <v>147000</v>
      </c>
      <c r="M262" s="186">
        <f>M260+M261</f>
        <v>0</v>
      </c>
      <c r="N262" s="186">
        <f>N260+N261</f>
        <v>0</v>
      </c>
    </row>
    <row r="263" spans="1:14" ht="12.75">
      <c r="A263" s="182"/>
      <c r="B263" s="183"/>
      <c r="C263" s="184"/>
      <c r="D263" s="185"/>
      <c r="E263" s="206"/>
      <c r="F263" s="206"/>
      <c r="G263" s="206"/>
      <c r="H263" s="121"/>
      <c r="I263" s="184"/>
      <c r="J263" s="187"/>
      <c r="K263" s="186"/>
      <c r="L263" s="186"/>
      <c r="M263" s="186"/>
      <c r="N263" s="186"/>
    </row>
    <row r="264" spans="1:14" s="181" customFormat="1" ht="21.75" customHeight="1">
      <c r="A264" s="1381"/>
      <c r="B264" s="1384" t="s">
        <v>240</v>
      </c>
      <c r="C264" s="1387" t="s">
        <v>241</v>
      </c>
      <c r="D264" s="120" t="s">
        <v>20</v>
      </c>
      <c r="E264" s="179">
        <f aca="true" t="shared" si="76" ref="E264:G265">E268</f>
        <v>190000</v>
      </c>
      <c r="F264" s="179">
        <f t="shared" si="76"/>
        <v>190000</v>
      </c>
      <c r="G264" s="179">
        <f t="shared" si="76"/>
        <v>0</v>
      </c>
      <c r="H264" s="121"/>
      <c r="I264" s="1387" t="s">
        <v>241</v>
      </c>
      <c r="J264" s="180" t="s">
        <v>20</v>
      </c>
      <c r="K264" s="179">
        <f aca="true" t="shared" si="77" ref="K264:N265">K268</f>
        <v>190000</v>
      </c>
      <c r="L264" s="179">
        <f t="shared" si="77"/>
        <v>190000</v>
      </c>
      <c r="M264" s="179">
        <f t="shared" si="77"/>
        <v>0</v>
      </c>
      <c r="N264" s="179">
        <f t="shared" si="77"/>
        <v>0</v>
      </c>
    </row>
    <row r="265" spans="1:14" s="181" customFormat="1" ht="21.75" customHeight="1">
      <c r="A265" s="1382"/>
      <c r="B265" s="1385"/>
      <c r="C265" s="1388"/>
      <c r="D265" s="120" t="s">
        <v>21</v>
      </c>
      <c r="E265" s="179">
        <f t="shared" si="76"/>
        <v>918000</v>
      </c>
      <c r="F265" s="179">
        <f t="shared" si="76"/>
        <v>918000</v>
      </c>
      <c r="G265" s="179">
        <f t="shared" si="76"/>
        <v>0</v>
      </c>
      <c r="H265" s="121"/>
      <c r="I265" s="1388"/>
      <c r="J265" s="180" t="s">
        <v>21</v>
      </c>
      <c r="K265" s="179">
        <f t="shared" si="77"/>
        <v>918000</v>
      </c>
      <c r="L265" s="179">
        <f t="shared" si="77"/>
        <v>918000</v>
      </c>
      <c r="M265" s="179">
        <f t="shared" si="77"/>
        <v>0</v>
      </c>
      <c r="N265" s="179">
        <f t="shared" si="77"/>
        <v>0</v>
      </c>
    </row>
    <row r="266" spans="1:14" s="181" customFormat="1" ht="21.75" customHeight="1">
      <c r="A266" s="1383"/>
      <c r="B266" s="1386"/>
      <c r="C266" s="1389"/>
      <c r="D266" s="120" t="s">
        <v>22</v>
      </c>
      <c r="E266" s="179">
        <f>E264+E265</f>
        <v>1108000</v>
      </c>
      <c r="F266" s="179">
        <f>F264+F265</f>
        <v>1108000</v>
      </c>
      <c r="G266" s="179">
        <f>G264+G265</f>
        <v>0</v>
      </c>
      <c r="H266" s="121"/>
      <c r="I266" s="1389"/>
      <c r="J266" s="180" t="s">
        <v>22</v>
      </c>
      <c r="K266" s="179">
        <f>K264+K265</f>
        <v>1108000</v>
      </c>
      <c r="L266" s="179">
        <f>L264+L265</f>
        <v>1108000</v>
      </c>
      <c r="M266" s="179">
        <f>M264+M265</f>
        <v>0</v>
      </c>
      <c r="N266" s="179">
        <f>N264+N265</f>
        <v>0</v>
      </c>
    </row>
    <row r="267" spans="1:14" ht="12.75">
      <c r="A267" s="182"/>
      <c r="B267" s="183"/>
      <c r="C267" s="184"/>
      <c r="D267" s="185"/>
      <c r="E267" s="206"/>
      <c r="F267" s="206"/>
      <c r="G267" s="206"/>
      <c r="H267" s="121"/>
      <c r="I267" s="184"/>
      <c r="J267" s="187"/>
      <c r="K267" s="186"/>
      <c r="L267" s="186"/>
      <c r="M267" s="186"/>
      <c r="N267" s="186"/>
    </row>
    <row r="268" spans="1:14" s="191" customFormat="1" ht="13.5">
      <c r="A268" s="1366">
        <v>2</v>
      </c>
      <c r="B268" s="1369" t="s">
        <v>242</v>
      </c>
      <c r="C268" s="1370"/>
      <c r="D268" s="188" t="s">
        <v>20</v>
      </c>
      <c r="E268" s="189">
        <f aca="true" t="shared" si="78" ref="E268:G269">E272</f>
        <v>190000</v>
      </c>
      <c r="F268" s="189">
        <f t="shared" si="78"/>
        <v>190000</v>
      </c>
      <c r="G268" s="189">
        <f t="shared" si="78"/>
        <v>0</v>
      </c>
      <c r="H268" s="121"/>
      <c r="I268" s="1375" t="s">
        <v>242</v>
      </c>
      <c r="J268" s="190" t="s">
        <v>20</v>
      </c>
      <c r="K268" s="189">
        <f aca="true" t="shared" si="79" ref="K268:N269">K272+K276</f>
        <v>190000</v>
      </c>
      <c r="L268" s="189">
        <f t="shared" si="79"/>
        <v>190000</v>
      </c>
      <c r="M268" s="189">
        <f t="shared" si="79"/>
        <v>0</v>
      </c>
      <c r="N268" s="189">
        <f t="shared" si="79"/>
        <v>0</v>
      </c>
    </row>
    <row r="269" spans="1:14" s="191" customFormat="1" ht="13.5">
      <c r="A269" s="1367"/>
      <c r="B269" s="1371"/>
      <c r="C269" s="1372"/>
      <c r="D269" s="188" t="s">
        <v>21</v>
      </c>
      <c r="E269" s="189">
        <f t="shared" si="78"/>
        <v>918000</v>
      </c>
      <c r="F269" s="189">
        <f t="shared" si="78"/>
        <v>918000</v>
      </c>
      <c r="G269" s="189">
        <f t="shared" si="78"/>
        <v>0</v>
      </c>
      <c r="H269" s="121"/>
      <c r="I269" s="1376"/>
      <c r="J269" s="190" t="s">
        <v>21</v>
      </c>
      <c r="K269" s="189">
        <f t="shared" si="79"/>
        <v>918000</v>
      </c>
      <c r="L269" s="189">
        <f t="shared" si="79"/>
        <v>918000</v>
      </c>
      <c r="M269" s="189">
        <f t="shared" si="79"/>
        <v>0</v>
      </c>
      <c r="N269" s="189">
        <f t="shared" si="79"/>
        <v>0</v>
      </c>
    </row>
    <row r="270" spans="1:14" s="191" customFormat="1" ht="13.5">
      <c r="A270" s="1368"/>
      <c r="B270" s="1373"/>
      <c r="C270" s="1374"/>
      <c r="D270" s="188" t="s">
        <v>22</v>
      </c>
      <c r="E270" s="189">
        <f>E268+E269</f>
        <v>1108000</v>
      </c>
      <c r="F270" s="189">
        <f>F268+F269</f>
        <v>1108000</v>
      </c>
      <c r="G270" s="189">
        <f>G268+G269</f>
        <v>0</v>
      </c>
      <c r="H270" s="121"/>
      <c r="I270" s="1377"/>
      <c r="J270" s="190" t="s">
        <v>22</v>
      </c>
      <c r="K270" s="189">
        <f>K268+K269</f>
        <v>1108000</v>
      </c>
      <c r="L270" s="189">
        <f>L268+L269</f>
        <v>1108000</v>
      </c>
      <c r="M270" s="189">
        <f>M268+M269</f>
        <v>0</v>
      </c>
      <c r="N270" s="189">
        <f>N268+N269</f>
        <v>0</v>
      </c>
    </row>
    <row r="271" spans="1:14" s="181" customFormat="1" ht="12.75">
      <c r="A271" s="198"/>
      <c r="B271" s="203"/>
      <c r="C271" s="204"/>
      <c r="D271" s="120"/>
      <c r="E271" s="200"/>
      <c r="F271" s="179"/>
      <c r="G271" s="179"/>
      <c r="H271" s="121"/>
      <c r="I271" s="204"/>
      <c r="J271" s="180"/>
      <c r="K271" s="201"/>
      <c r="L271" s="201"/>
      <c r="M271" s="201"/>
      <c r="N271" s="201"/>
    </row>
    <row r="272" spans="1:14" ht="15" customHeight="1">
      <c r="A272" s="1378"/>
      <c r="B272" s="1378"/>
      <c r="C272" s="1347" t="s">
        <v>193</v>
      </c>
      <c r="D272" s="185" t="s">
        <v>20</v>
      </c>
      <c r="E272" s="197">
        <f>F272+G272</f>
        <v>190000</v>
      </c>
      <c r="F272" s="186">
        <v>190000</v>
      </c>
      <c r="G272" s="186">
        <v>0</v>
      </c>
      <c r="H272" s="121"/>
      <c r="I272" s="1347" t="s">
        <v>199</v>
      </c>
      <c r="J272" s="187" t="s">
        <v>20</v>
      </c>
      <c r="K272" s="186">
        <f>L272+M272+N272</f>
        <v>95760</v>
      </c>
      <c r="L272" s="186">
        <v>95760</v>
      </c>
      <c r="M272" s="186">
        <v>0</v>
      </c>
      <c r="N272" s="186">
        <v>0</v>
      </c>
    </row>
    <row r="273" spans="1:14" ht="15" customHeight="1">
      <c r="A273" s="1379"/>
      <c r="B273" s="1379"/>
      <c r="C273" s="1348"/>
      <c r="D273" s="185" t="s">
        <v>21</v>
      </c>
      <c r="E273" s="197">
        <f>F273+G273</f>
        <v>918000</v>
      </c>
      <c r="F273" s="186">
        <v>918000</v>
      </c>
      <c r="G273" s="186"/>
      <c r="H273" s="121"/>
      <c r="I273" s="1348"/>
      <c r="J273" s="187" t="s">
        <v>21</v>
      </c>
      <c r="K273" s="186">
        <f>L273+M273+N273</f>
        <v>725240</v>
      </c>
      <c r="L273" s="186">
        <v>725240</v>
      </c>
      <c r="M273" s="186"/>
      <c r="N273" s="186"/>
    </row>
    <row r="274" spans="1:14" ht="15" customHeight="1">
      <c r="A274" s="1380"/>
      <c r="B274" s="1380"/>
      <c r="C274" s="1349"/>
      <c r="D274" s="185" t="s">
        <v>22</v>
      </c>
      <c r="E274" s="197">
        <f>E272+E273</f>
        <v>1108000</v>
      </c>
      <c r="F274" s="197">
        <f>F272+F273</f>
        <v>1108000</v>
      </c>
      <c r="G274" s="197">
        <f>G272+G273</f>
        <v>0</v>
      </c>
      <c r="H274" s="121"/>
      <c r="I274" s="1349"/>
      <c r="J274" s="187" t="s">
        <v>22</v>
      </c>
      <c r="K274" s="186">
        <f>K272+K273</f>
        <v>821000</v>
      </c>
      <c r="L274" s="186">
        <f>L272+L273</f>
        <v>821000</v>
      </c>
      <c r="M274" s="186">
        <f>M272+M273</f>
        <v>0</v>
      </c>
      <c r="N274" s="186">
        <f>N272+N273</f>
        <v>0</v>
      </c>
    </row>
    <row r="275" spans="1:14" ht="15.75" customHeight="1">
      <c r="A275" s="182"/>
      <c r="B275" s="183"/>
      <c r="C275" s="184"/>
      <c r="D275" s="185"/>
      <c r="E275" s="197"/>
      <c r="F275" s="186"/>
      <c r="G275" s="186"/>
      <c r="H275" s="211"/>
      <c r="I275" s="184"/>
      <c r="J275" s="187"/>
      <c r="K275" s="186"/>
      <c r="L275" s="186"/>
      <c r="M275" s="186"/>
      <c r="N275" s="186"/>
    </row>
    <row r="276" spans="1:14" s="181" customFormat="1" ht="12.75">
      <c r="A276" s="1381"/>
      <c r="B276" s="1381"/>
      <c r="C276" s="1405" t="s">
        <v>55</v>
      </c>
      <c r="D276" s="1405"/>
      <c r="E276" s="1405" t="s">
        <v>55</v>
      </c>
      <c r="F276" s="1405" t="s">
        <v>55</v>
      </c>
      <c r="G276" s="1405" t="s">
        <v>55</v>
      </c>
      <c r="H276" s="121"/>
      <c r="I276" s="1347" t="s">
        <v>200</v>
      </c>
      <c r="J276" s="187" t="s">
        <v>20</v>
      </c>
      <c r="K276" s="186">
        <f>L276+M276+N276</f>
        <v>94240</v>
      </c>
      <c r="L276" s="186">
        <v>94240</v>
      </c>
      <c r="M276" s="186">
        <v>0</v>
      </c>
      <c r="N276" s="186">
        <v>0</v>
      </c>
    </row>
    <row r="277" spans="1:14" s="181" customFormat="1" ht="12.75">
      <c r="A277" s="1382"/>
      <c r="B277" s="1382"/>
      <c r="C277" s="1406"/>
      <c r="D277" s="1406"/>
      <c r="E277" s="1406"/>
      <c r="F277" s="1406"/>
      <c r="G277" s="1406"/>
      <c r="H277" s="121"/>
      <c r="I277" s="1348"/>
      <c r="J277" s="187" t="s">
        <v>21</v>
      </c>
      <c r="K277" s="186">
        <f>L277+M277+N277</f>
        <v>192760</v>
      </c>
      <c r="L277" s="186">
        <v>192760</v>
      </c>
      <c r="M277" s="186"/>
      <c r="N277" s="186"/>
    </row>
    <row r="278" spans="1:14" s="181" customFormat="1" ht="12.75">
      <c r="A278" s="1383"/>
      <c r="B278" s="1383"/>
      <c r="C278" s="1407"/>
      <c r="D278" s="1407"/>
      <c r="E278" s="1407"/>
      <c r="F278" s="1407"/>
      <c r="G278" s="1407"/>
      <c r="H278" s="121"/>
      <c r="I278" s="1349"/>
      <c r="J278" s="187" t="s">
        <v>22</v>
      </c>
      <c r="K278" s="186">
        <f>K276+K277</f>
        <v>287000</v>
      </c>
      <c r="L278" s="186">
        <f>L276+L277</f>
        <v>287000</v>
      </c>
      <c r="M278" s="186">
        <f>M276+M277</f>
        <v>0</v>
      </c>
      <c r="N278" s="186">
        <f>N276+N277</f>
        <v>0</v>
      </c>
    </row>
    <row r="279" spans="1:14" ht="12.75">
      <c r="A279" s="182"/>
      <c r="B279" s="183"/>
      <c r="C279" s="184"/>
      <c r="D279" s="185"/>
      <c r="E279" s="206"/>
      <c r="F279" s="206"/>
      <c r="G279" s="206"/>
      <c r="H279" s="121"/>
      <c r="I279" s="184"/>
      <c r="J279" s="187"/>
      <c r="K279" s="186"/>
      <c r="L279" s="186"/>
      <c r="M279" s="186"/>
      <c r="N279" s="186"/>
    </row>
    <row r="280" spans="1:14" s="181" customFormat="1" ht="12.75">
      <c r="A280" s="1381"/>
      <c r="B280" s="1384" t="s">
        <v>243</v>
      </c>
      <c r="C280" s="1387" t="s">
        <v>244</v>
      </c>
      <c r="D280" s="120" t="s">
        <v>20</v>
      </c>
      <c r="E280" s="179">
        <f aca="true" t="shared" si="80" ref="E280:G281">E284+E292</f>
        <v>840000</v>
      </c>
      <c r="F280" s="179">
        <f t="shared" si="80"/>
        <v>840000</v>
      </c>
      <c r="G280" s="179">
        <f t="shared" si="80"/>
        <v>0</v>
      </c>
      <c r="H280" s="121"/>
      <c r="I280" s="1387" t="s">
        <v>244</v>
      </c>
      <c r="J280" s="180" t="s">
        <v>20</v>
      </c>
      <c r="K280" s="179">
        <f aca="true" t="shared" si="81" ref="K280:N281">K284+K292</f>
        <v>840000</v>
      </c>
      <c r="L280" s="179">
        <f t="shared" si="81"/>
        <v>840000</v>
      </c>
      <c r="M280" s="179">
        <f t="shared" si="81"/>
        <v>0</v>
      </c>
      <c r="N280" s="179">
        <f t="shared" si="81"/>
        <v>0</v>
      </c>
    </row>
    <row r="281" spans="1:14" s="181" customFormat="1" ht="12.75">
      <c r="A281" s="1382"/>
      <c r="B281" s="1385"/>
      <c r="C281" s="1388"/>
      <c r="D281" s="120" t="s">
        <v>21</v>
      </c>
      <c r="E281" s="179">
        <f t="shared" si="80"/>
        <v>840000</v>
      </c>
      <c r="F281" s="179">
        <f t="shared" si="80"/>
        <v>840000</v>
      </c>
      <c r="G281" s="179">
        <f t="shared" si="80"/>
        <v>0</v>
      </c>
      <c r="H281" s="121"/>
      <c r="I281" s="1388"/>
      <c r="J281" s="180" t="s">
        <v>21</v>
      </c>
      <c r="K281" s="179">
        <f t="shared" si="81"/>
        <v>840000</v>
      </c>
      <c r="L281" s="179">
        <f t="shared" si="81"/>
        <v>840000</v>
      </c>
      <c r="M281" s="179">
        <f t="shared" si="81"/>
        <v>0</v>
      </c>
      <c r="N281" s="179">
        <f t="shared" si="81"/>
        <v>0</v>
      </c>
    </row>
    <row r="282" spans="1:14" s="181" customFormat="1" ht="12.75">
      <c r="A282" s="1383"/>
      <c r="B282" s="1386"/>
      <c r="C282" s="1389"/>
      <c r="D282" s="120" t="s">
        <v>22</v>
      </c>
      <c r="E282" s="179">
        <f>E280+E281</f>
        <v>1680000</v>
      </c>
      <c r="F282" s="179">
        <f>F280+F281</f>
        <v>1680000</v>
      </c>
      <c r="G282" s="179">
        <f>G280+G281</f>
        <v>0</v>
      </c>
      <c r="H282" s="121"/>
      <c r="I282" s="1389"/>
      <c r="J282" s="180" t="s">
        <v>22</v>
      </c>
      <c r="K282" s="179">
        <f>K280+K281</f>
        <v>1680000</v>
      </c>
      <c r="L282" s="179">
        <f>L280+L281</f>
        <v>1680000</v>
      </c>
      <c r="M282" s="179">
        <f>M280+M281</f>
        <v>0</v>
      </c>
      <c r="N282" s="179">
        <f>N280+N281</f>
        <v>0</v>
      </c>
    </row>
    <row r="283" spans="1:14" ht="9" customHeight="1" hidden="1">
      <c r="A283" s="182"/>
      <c r="B283" s="183"/>
      <c r="C283" s="184"/>
      <c r="D283" s="185"/>
      <c r="E283" s="206"/>
      <c r="F283" s="206"/>
      <c r="G283" s="206"/>
      <c r="H283" s="121"/>
      <c r="I283" s="184"/>
      <c r="J283" s="187"/>
      <c r="K283" s="186"/>
      <c r="L283" s="186"/>
      <c r="M283" s="186"/>
      <c r="N283" s="186"/>
    </row>
    <row r="284" spans="1:14" s="191" customFormat="1" ht="13.5" hidden="1">
      <c r="A284" s="1366">
        <v>19</v>
      </c>
      <c r="B284" s="1369" t="s">
        <v>245</v>
      </c>
      <c r="C284" s="1370"/>
      <c r="D284" s="188" t="s">
        <v>20</v>
      </c>
      <c r="E284" s="189">
        <f aca="true" t="shared" si="82" ref="E284:G285">E288</f>
        <v>138980</v>
      </c>
      <c r="F284" s="189">
        <f t="shared" si="82"/>
        <v>138980</v>
      </c>
      <c r="G284" s="189">
        <f t="shared" si="82"/>
        <v>0</v>
      </c>
      <c r="H284" s="121"/>
      <c r="I284" s="1375" t="s">
        <v>245</v>
      </c>
      <c r="J284" s="190" t="s">
        <v>20</v>
      </c>
      <c r="K284" s="189">
        <f aca="true" t="shared" si="83" ref="K284:N285">K288</f>
        <v>138980</v>
      </c>
      <c r="L284" s="189">
        <f t="shared" si="83"/>
        <v>138980</v>
      </c>
      <c r="M284" s="189">
        <f t="shared" si="83"/>
        <v>0</v>
      </c>
      <c r="N284" s="189">
        <f t="shared" si="83"/>
        <v>0</v>
      </c>
    </row>
    <row r="285" spans="1:14" s="191" customFormat="1" ht="13.5" hidden="1">
      <c r="A285" s="1367"/>
      <c r="B285" s="1371"/>
      <c r="C285" s="1372"/>
      <c r="D285" s="188" t="s">
        <v>21</v>
      </c>
      <c r="E285" s="189">
        <f t="shared" si="82"/>
        <v>0</v>
      </c>
      <c r="F285" s="189">
        <f t="shared" si="82"/>
        <v>0</v>
      </c>
      <c r="G285" s="189">
        <f t="shared" si="82"/>
        <v>0</v>
      </c>
      <c r="H285" s="121"/>
      <c r="I285" s="1376"/>
      <c r="J285" s="190" t="s">
        <v>21</v>
      </c>
      <c r="K285" s="189">
        <f t="shared" si="83"/>
        <v>0</v>
      </c>
      <c r="L285" s="189">
        <f t="shared" si="83"/>
        <v>0</v>
      </c>
      <c r="M285" s="189">
        <f t="shared" si="83"/>
        <v>0</v>
      </c>
      <c r="N285" s="189">
        <f t="shared" si="83"/>
        <v>0</v>
      </c>
    </row>
    <row r="286" spans="1:14" s="191" customFormat="1" ht="13.5" hidden="1">
      <c r="A286" s="1368"/>
      <c r="B286" s="1373"/>
      <c r="C286" s="1374"/>
      <c r="D286" s="188" t="s">
        <v>22</v>
      </c>
      <c r="E286" s="189">
        <f>E284+E285</f>
        <v>138980</v>
      </c>
      <c r="F286" s="189">
        <f>F284+F285</f>
        <v>138980</v>
      </c>
      <c r="G286" s="189">
        <f>G284+G285</f>
        <v>0</v>
      </c>
      <c r="H286" s="121"/>
      <c r="I286" s="1377"/>
      <c r="J286" s="190" t="s">
        <v>22</v>
      </c>
      <c r="K286" s="189">
        <f>K284+K285</f>
        <v>138980</v>
      </c>
      <c r="L286" s="189">
        <f>L284+L285</f>
        <v>138980</v>
      </c>
      <c r="M286" s="189">
        <f>M284+M285</f>
        <v>0</v>
      </c>
      <c r="N286" s="189">
        <f>N284+N285</f>
        <v>0</v>
      </c>
    </row>
    <row r="287" spans="1:14" s="181" customFormat="1" ht="12.75" hidden="1">
      <c r="A287" s="198"/>
      <c r="B287" s="203"/>
      <c r="C287" s="204"/>
      <c r="D287" s="120"/>
      <c r="E287" s="200"/>
      <c r="F287" s="179"/>
      <c r="G287" s="179"/>
      <c r="H287" s="121"/>
      <c r="I287" s="204"/>
      <c r="J287" s="180"/>
      <c r="K287" s="201"/>
      <c r="L287" s="201"/>
      <c r="M287" s="201"/>
      <c r="N287" s="201"/>
    </row>
    <row r="288" spans="1:14" ht="12.75" hidden="1">
      <c r="A288" s="1378"/>
      <c r="B288" s="1378"/>
      <c r="C288" s="1347" t="s">
        <v>193</v>
      </c>
      <c r="D288" s="185" t="s">
        <v>20</v>
      </c>
      <c r="E288" s="197">
        <f>F288+G288</f>
        <v>138980</v>
      </c>
      <c r="F288" s="186">
        <v>138980</v>
      </c>
      <c r="G288" s="186">
        <v>0</v>
      </c>
      <c r="H288" s="121"/>
      <c r="I288" s="1347" t="s">
        <v>246</v>
      </c>
      <c r="J288" s="187" t="s">
        <v>20</v>
      </c>
      <c r="K288" s="186">
        <f>L288+M288+N288</f>
        <v>138980</v>
      </c>
      <c r="L288" s="186">
        <v>138980</v>
      </c>
      <c r="M288" s="186">
        <v>0</v>
      </c>
      <c r="N288" s="186">
        <v>0</v>
      </c>
    </row>
    <row r="289" spans="1:14" ht="12.75" hidden="1">
      <c r="A289" s="1379"/>
      <c r="B289" s="1379"/>
      <c r="C289" s="1348"/>
      <c r="D289" s="185" t="s">
        <v>21</v>
      </c>
      <c r="E289" s="197">
        <f>F289+G289</f>
        <v>0</v>
      </c>
      <c r="F289" s="186"/>
      <c r="G289" s="186"/>
      <c r="H289" s="121"/>
      <c r="I289" s="1348"/>
      <c r="J289" s="187" t="s">
        <v>21</v>
      </c>
      <c r="K289" s="186">
        <f>L289+M289+N289</f>
        <v>0</v>
      </c>
      <c r="L289" s="186"/>
      <c r="M289" s="186"/>
      <c r="N289" s="186"/>
    </row>
    <row r="290" spans="1:14" ht="12.75" hidden="1">
      <c r="A290" s="1380"/>
      <c r="B290" s="1380"/>
      <c r="C290" s="1349"/>
      <c r="D290" s="185" t="s">
        <v>22</v>
      </c>
      <c r="E290" s="197">
        <f>E288+E289</f>
        <v>138980</v>
      </c>
      <c r="F290" s="197">
        <f>F288+F289</f>
        <v>138980</v>
      </c>
      <c r="G290" s="197">
        <f>G288+G289</f>
        <v>0</v>
      </c>
      <c r="H290" s="121"/>
      <c r="I290" s="1349"/>
      <c r="J290" s="187" t="s">
        <v>22</v>
      </c>
      <c r="K290" s="186">
        <f>K288+K289</f>
        <v>138980</v>
      </c>
      <c r="L290" s="186">
        <f>L288+L289</f>
        <v>138980</v>
      </c>
      <c r="M290" s="186">
        <f>M288+M289</f>
        <v>0</v>
      </c>
      <c r="N290" s="186">
        <f>N288+N289</f>
        <v>0</v>
      </c>
    </row>
    <row r="291" spans="1:14" ht="12.75">
      <c r="A291" s="182"/>
      <c r="B291" s="183"/>
      <c r="C291" s="184"/>
      <c r="D291" s="185"/>
      <c r="E291" s="206"/>
      <c r="F291" s="206"/>
      <c r="G291" s="206"/>
      <c r="H291" s="121"/>
      <c r="I291" s="184"/>
      <c r="J291" s="187"/>
      <c r="K291" s="186"/>
      <c r="L291" s="186"/>
      <c r="M291" s="186"/>
      <c r="N291" s="186"/>
    </row>
    <row r="292" spans="1:14" s="191" customFormat="1" ht="13.5">
      <c r="A292" s="1366">
        <v>3</v>
      </c>
      <c r="B292" s="1369" t="s">
        <v>247</v>
      </c>
      <c r="C292" s="1370"/>
      <c r="D292" s="188" t="s">
        <v>20</v>
      </c>
      <c r="E292" s="189">
        <f aca="true" t="shared" si="84" ref="E292:G293">E296</f>
        <v>701020</v>
      </c>
      <c r="F292" s="189">
        <f t="shared" si="84"/>
        <v>701020</v>
      </c>
      <c r="G292" s="189">
        <f t="shared" si="84"/>
        <v>0</v>
      </c>
      <c r="H292" s="121"/>
      <c r="I292" s="1375" t="s">
        <v>247</v>
      </c>
      <c r="J292" s="190" t="s">
        <v>20</v>
      </c>
      <c r="K292" s="189">
        <f aca="true" t="shared" si="85" ref="K292:N293">K296+K300</f>
        <v>701020</v>
      </c>
      <c r="L292" s="189">
        <f t="shared" si="85"/>
        <v>701020</v>
      </c>
      <c r="M292" s="189">
        <f t="shared" si="85"/>
        <v>0</v>
      </c>
      <c r="N292" s="189">
        <f t="shared" si="85"/>
        <v>0</v>
      </c>
    </row>
    <row r="293" spans="1:14" s="191" customFormat="1" ht="13.5">
      <c r="A293" s="1367"/>
      <c r="B293" s="1371"/>
      <c r="C293" s="1372"/>
      <c r="D293" s="188" t="s">
        <v>21</v>
      </c>
      <c r="E293" s="189">
        <f t="shared" si="84"/>
        <v>840000</v>
      </c>
      <c r="F293" s="189">
        <f t="shared" si="84"/>
        <v>840000</v>
      </c>
      <c r="G293" s="189">
        <f t="shared" si="84"/>
        <v>0</v>
      </c>
      <c r="H293" s="121"/>
      <c r="I293" s="1376"/>
      <c r="J293" s="190" t="s">
        <v>21</v>
      </c>
      <c r="K293" s="189">
        <f t="shared" si="85"/>
        <v>840000</v>
      </c>
      <c r="L293" s="189">
        <f t="shared" si="85"/>
        <v>840000</v>
      </c>
      <c r="M293" s="189">
        <f t="shared" si="85"/>
        <v>0</v>
      </c>
      <c r="N293" s="189">
        <f t="shared" si="85"/>
        <v>0</v>
      </c>
    </row>
    <row r="294" spans="1:14" s="191" customFormat="1" ht="13.5">
      <c r="A294" s="1368"/>
      <c r="B294" s="1373"/>
      <c r="C294" s="1374"/>
      <c r="D294" s="188" t="s">
        <v>22</v>
      </c>
      <c r="E294" s="189">
        <f>E292+E293</f>
        <v>1541020</v>
      </c>
      <c r="F294" s="189">
        <f>F292+F293</f>
        <v>1541020</v>
      </c>
      <c r="G294" s="189">
        <f>G292+G293</f>
        <v>0</v>
      </c>
      <c r="H294" s="121"/>
      <c r="I294" s="1377"/>
      <c r="J294" s="190" t="s">
        <v>22</v>
      </c>
      <c r="K294" s="189">
        <f>K292+K293</f>
        <v>1541020</v>
      </c>
      <c r="L294" s="189">
        <f>L292+L293</f>
        <v>1541020</v>
      </c>
      <c r="M294" s="189">
        <f>M292+M293</f>
        <v>0</v>
      </c>
      <c r="N294" s="189">
        <f>N292+N293</f>
        <v>0</v>
      </c>
    </row>
    <row r="295" spans="1:14" s="181" customFormat="1" ht="12.75">
      <c r="A295" s="198"/>
      <c r="B295" s="203"/>
      <c r="C295" s="204"/>
      <c r="D295" s="120"/>
      <c r="E295" s="200"/>
      <c r="F295" s="179"/>
      <c r="G295" s="179"/>
      <c r="H295" s="121"/>
      <c r="I295" s="204"/>
      <c r="J295" s="180"/>
      <c r="K295" s="201"/>
      <c r="L295" s="201"/>
      <c r="M295" s="201"/>
      <c r="N295" s="201"/>
    </row>
    <row r="296" spans="1:14" ht="12.75">
      <c r="A296" s="1378"/>
      <c r="B296" s="1378"/>
      <c r="C296" s="1347" t="s">
        <v>193</v>
      </c>
      <c r="D296" s="185" t="s">
        <v>20</v>
      </c>
      <c r="E296" s="197">
        <f>F296+G296</f>
        <v>701020</v>
      </c>
      <c r="F296" s="186">
        <v>701020</v>
      </c>
      <c r="G296" s="221">
        <v>0</v>
      </c>
      <c r="H296" s="121"/>
      <c r="I296" s="1347" t="s">
        <v>199</v>
      </c>
      <c r="J296" s="187" t="s">
        <v>20</v>
      </c>
      <c r="K296" s="186">
        <f>L296+M296+N296</f>
        <v>635291</v>
      </c>
      <c r="L296" s="186">
        <v>635291</v>
      </c>
      <c r="M296" s="186">
        <v>0</v>
      </c>
      <c r="N296" s="186">
        <v>0</v>
      </c>
    </row>
    <row r="297" spans="1:14" ht="12.75">
      <c r="A297" s="1379"/>
      <c r="B297" s="1379"/>
      <c r="C297" s="1348"/>
      <c r="D297" s="185" t="s">
        <v>21</v>
      </c>
      <c r="E297" s="197">
        <f>F297+G297</f>
        <v>840000</v>
      </c>
      <c r="F297" s="186">
        <v>840000</v>
      </c>
      <c r="G297" s="221"/>
      <c r="H297" s="121"/>
      <c r="I297" s="1348"/>
      <c r="J297" s="187" t="s">
        <v>21</v>
      </c>
      <c r="K297" s="186">
        <f>L297+M297+N297</f>
        <v>727000</v>
      </c>
      <c r="L297" s="186">
        <v>727000</v>
      </c>
      <c r="M297" s="186"/>
      <c r="N297" s="186"/>
    </row>
    <row r="298" spans="1:14" ht="12.75">
      <c r="A298" s="1380"/>
      <c r="B298" s="1380"/>
      <c r="C298" s="1349"/>
      <c r="D298" s="185" t="s">
        <v>22</v>
      </c>
      <c r="E298" s="197">
        <f>E296+E297</f>
        <v>1541020</v>
      </c>
      <c r="F298" s="197">
        <f>F296+F297</f>
        <v>1541020</v>
      </c>
      <c r="G298" s="197">
        <f>G296+G297</f>
        <v>0</v>
      </c>
      <c r="H298" s="121"/>
      <c r="I298" s="1349"/>
      <c r="J298" s="187" t="s">
        <v>22</v>
      </c>
      <c r="K298" s="186">
        <f>K296+K297</f>
        <v>1362291</v>
      </c>
      <c r="L298" s="186">
        <f>L296+L297</f>
        <v>1362291</v>
      </c>
      <c r="M298" s="186">
        <f>M296+M297</f>
        <v>0</v>
      </c>
      <c r="N298" s="186">
        <f>N296+N297</f>
        <v>0</v>
      </c>
    </row>
    <row r="299" spans="1:14" ht="12.75">
      <c r="A299" s="182"/>
      <c r="B299" s="183"/>
      <c r="C299" s="184"/>
      <c r="D299" s="185"/>
      <c r="E299" s="197"/>
      <c r="F299" s="186"/>
      <c r="G299" s="186"/>
      <c r="H299" s="121"/>
      <c r="I299" s="184"/>
      <c r="J299" s="187"/>
      <c r="K299" s="186"/>
      <c r="L299" s="186"/>
      <c r="M299" s="186"/>
      <c r="N299" s="186"/>
    </row>
    <row r="300" spans="1:14" s="181" customFormat="1" ht="12.75">
      <c r="A300" s="1381"/>
      <c r="B300" s="1381"/>
      <c r="C300" s="1393" t="s">
        <v>55</v>
      </c>
      <c r="D300" s="1405"/>
      <c r="E300" s="1393" t="s">
        <v>55</v>
      </c>
      <c r="F300" s="1393" t="s">
        <v>55</v>
      </c>
      <c r="G300" s="1393" t="s">
        <v>55</v>
      </c>
      <c r="H300" s="121"/>
      <c r="I300" s="1347" t="s">
        <v>200</v>
      </c>
      <c r="J300" s="187" t="s">
        <v>20</v>
      </c>
      <c r="K300" s="186">
        <f>L300+M300+N300</f>
        <v>65729</v>
      </c>
      <c r="L300" s="186">
        <v>65729</v>
      </c>
      <c r="M300" s="186">
        <v>0</v>
      </c>
      <c r="N300" s="186">
        <v>0</v>
      </c>
    </row>
    <row r="301" spans="1:14" s="181" customFormat="1" ht="12.75">
      <c r="A301" s="1382"/>
      <c r="B301" s="1382"/>
      <c r="C301" s="1394"/>
      <c r="D301" s="1406"/>
      <c r="E301" s="1394"/>
      <c r="F301" s="1394"/>
      <c r="G301" s="1394"/>
      <c r="H301" s="121"/>
      <c r="I301" s="1348"/>
      <c r="J301" s="215" t="s">
        <v>21</v>
      </c>
      <c r="K301" s="186">
        <f>L301+M301+N301</f>
        <v>113000</v>
      </c>
      <c r="L301" s="136">
        <v>113000</v>
      </c>
      <c r="M301" s="136"/>
      <c r="N301" s="136"/>
    </row>
    <row r="302" spans="1:14" s="181" customFormat="1" ht="12.75">
      <c r="A302" s="1383"/>
      <c r="B302" s="1383"/>
      <c r="C302" s="1395"/>
      <c r="D302" s="1407"/>
      <c r="E302" s="1395"/>
      <c r="F302" s="1395"/>
      <c r="G302" s="1395"/>
      <c r="H302" s="121"/>
      <c r="I302" s="1349"/>
      <c r="J302" s="215" t="s">
        <v>22</v>
      </c>
      <c r="K302" s="136">
        <f>K300+K301</f>
        <v>178729</v>
      </c>
      <c r="L302" s="136">
        <f>L300+L301</f>
        <v>178729</v>
      </c>
      <c r="M302" s="136">
        <f>M300+M301</f>
        <v>0</v>
      </c>
      <c r="N302" s="136">
        <f>N300+N301</f>
        <v>0</v>
      </c>
    </row>
    <row r="303" spans="1:14" s="181" customFormat="1" ht="8.25" customHeight="1" hidden="1" thickBot="1">
      <c r="A303" s="178"/>
      <c r="B303" s="178"/>
      <c r="C303" s="220"/>
      <c r="D303" s="205"/>
      <c r="E303" s="220"/>
      <c r="F303" s="220"/>
      <c r="G303" s="220"/>
      <c r="H303" s="121"/>
      <c r="I303" s="196"/>
      <c r="J303" s="215"/>
      <c r="K303" s="136"/>
      <c r="L303" s="136"/>
      <c r="M303" s="136"/>
      <c r="N303" s="136"/>
    </row>
    <row r="304" spans="1:14" s="163" customFormat="1" ht="14.25" hidden="1">
      <c r="A304" s="1396"/>
      <c r="B304" s="1399" t="s">
        <v>58</v>
      </c>
      <c r="C304" s="1402" t="s">
        <v>48</v>
      </c>
      <c r="D304" s="159" t="s">
        <v>20</v>
      </c>
      <c r="E304" s="160">
        <f aca="true" t="shared" si="86" ref="E304:G305">E308+E324</f>
        <v>196000</v>
      </c>
      <c r="F304" s="160">
        <f t="shared" si="86"/>
        <v>196000</v>
      </c>
      <c r="G304" s="160">
        <f t="shared" si="86"/>
        <v>0</v>
      </c>
      <c r="H304" s="1360"/>
      <c r="I304" s="1402" t="s">
        <v>48</v>
      </c>
      <c r="J304" s="161" t="s">
        <v>20</v>
      </c>
      <c r="K304" s="160">
        <f aca="true" t="shared" si="87" ref="K304:N305">K308+K320</f>
        <v>196000</v>
      </c>
      <c r="L304" s="160">
        <f t="shared" si="87"/>
        <v>196000</v>
      </c>
      <c r="M304" s="160">
        <f t="shared" si="87"/>
        <v>0</v>
      </c>
      <c r="N304" s="162">
        <f t="shared" si="87"/>
        <v>0</v>
      </c>
    </row>
    <row r="305" spans="1:14" s="163" customFormat="1" ht="14.25" hidden="1">
      <c r="A305" s="1397"/>
      <c r="B305" s="1400"/>
      <c r="C305" s="1403"/>
      <c r="D305" s="164" t="s">
        <v>21</v>
      </c>
      <c r="E305" s="165">
        <f t="shared" si="86"/>
        <v>0</v>
      </c>
      <c r="F305" s="165">
        <f t="shared" si="86"/>
        <v>0</v>
      </c>
      <c r="G305" s="165">
        <f t="shared" si="86"/>
        <v>0</v>
      </c>
      <c r="H305" s="1361"/>
      <c r="I305" s="1403"/>
      <c r="J305" s="166" t="s">
        <v>21</v>
      </c>
      <c r="K305" s="165">
        <f t="shared" si="87"/>
        <v>0</v>
      </c>
      <c r="L305" s="165">
        <f t="shared" si="87"/>
        <v>0</v>
      </c>
      <c r="M305" s="165">
        <f t="shared" si="87"/>
        <v>0</v>
      </c>
      <c r="N305" s="167">
        <f t="shared" si="87"/>
        <v>0</v>
      </c>
    </row>
    <row r="306" spans="1:14" s="163" customFormat="1" ht="15" hidden="1" thickBot="1">
      <c r="A306" s="1398"/>
      <c r="B306" s="1401"/>
      <c r="C306" s="1404"/>
      <c r="D306" s="168" t="s">
        <v>22</v>
      </c>
      <c r="E306" s="169">
        <f>E304+E305</f>
        <v>196000</v>
      </c>
      <c r="F306" s="169">
        <f>F304+F305</f>
        <v>196000</v>
      </c>
      <c r="G306" s="169">
        <f>G304+G305</f>
        <v>0</v>
      </c>
      <c r="H306" s="1362"/>
      <c r="I306" s="1404"/>
      <c r="J306" s="170" t="s">
        <v>22</v>
      </c>
      <c r="K306" s="169">
        <f>K304+K305</f>
        <v>196000</v>
      </c>
      <c r="L306" s="169">
        <f>L304+L305</f>
        <v>196000</v>
      </c>
      <c r="M306" s="169">
        <f>M304+M305</f>
        <v>0</v>
      </c>
      <c r="N306" s="171">
        <f>N304+N305</f>
        <v>0</v>
      </c>
    </row>
    <row r="307" spans="1:14" ht="12" customHeight="1" hidden="1">
      <c r="A307" s="172"/>
      <c r="B307" s="173"/>
      <c r="C307" s="174"/>
      <c r="D307" s="175"/>
      <c r="E307" s="217"/>
      <c r="F307" s="217"/>
      <c r="G307" s="217"/>
      <c r="H307" s="121"/>
      <c r="I307" s="174"/>
      <c r="J307" s="177"/>
      <c r="K307" s="176"/>
      <c r="L307" s="176"/>
      <c r="M307" s="176"/>
      <c r="N307" s="176"/>
    </row>
    <row r="308" spans="1:14" s="181" customFormat="1" ht="12.75" hidden="1">
      <c r="A308" s="1381"/>
      <c r="B308" s="1384" t="s">
        <v>248</v>
      </c>
      <c r="C308" s="1387" t="s">
        <v>249</v>
      </c>
      <c r="D308" s="120" t="s">
        <v>20</v>
      </c>
      <c r="E308" s="179">
        <f aca="true" t="shared" si="88" ref="E308:G309">E312</f>
        <v>137000</v>
      </c>
      <c r="F308" s="179">
        <f t="shared" si="88"/>
        <v>137000</v>
      </c>
      <c r="G308" s="179">
        <f t="shared" si="88"/>
        <v>0</v>
      </c>
      <c r="H308" s="121"/>
      <c r="I308" s="1387" t="s">
        <v>249</v>
      </c>
      <c r="J308" s="180" t="s">
        <v>20</v>
      </c>
      <c r="K308" s="179">
        <f aca="true" t="shared" si="89" ref="K308:N309">K312</f>
        <v>137000</v>
      </c>
      <c r="L308" s="179">
        <f t="shared" si="89"/>
        <v>137000</v>
      </c>
      <c r="M308" s="179">
        <f t="shared" si="89"/>
        <v>0</v>
      </c>
      <c r="N308" s="179">
        <f t="shared" si="89"/>
        <v>0</v>
      </c>
    </row>
    <row r="309" spans="1:14" s="181" customFormat="1" ht="12.75" hidden="1">
      <c r="A309" s="1382"/>
      <c r="B309" s="1385"/>
      <c r="C309" s="1388"/>
      <c r="D309" s="120" t="s">
        <v>21</v>
      </c>
      <c r="E309" s="179">
        <f t="shared" si="88"/>
        <v>0</v>
      </c>
      <c r="F309" s="179">
        <f t="shared" si="88"/>
        <v>0</v>
      </c>
      <c r="G309" s="179">
        <f t="shared" si="88"/>
        <v>0</v>
      </c>
      <c r="H309" s="121"/>
      <c r="I309" s="1388"/>
      <c r="J309" s="180" t="s">
        <v>21</v>
      </c>
      <c r="K309" s="179">
        <f t="shared" si="89"/>
        <v>0</v>
      </c>
      <c r="L309" s="179">
        <f t="shared" si="89"/>
        <v>0</v>
      </c>
      <c r="M309" s="179">
        <f t="shared" si="89"/>
        <v>0</v>
      </c>
      <c r="N309" s="179">
        <f t="shared" si="89"/>
        <v>0</v>
      </c>
    </row>
    <row r="310" spans="1:14" s="181" customFormat="1" ht="12.75" hidden="1">
      <c r="A310" s="1383"/>
      <c r="B310" s="1386"/>
      <c r="C310" s="1389"/>
      <c r="D310" s="120" t="s">
        <v>22</v>
      </c>
      <c r="E310" s="179">
        <f>E308+E309</f>
        <v>137000</v>
      </c>
      <c r="F310" s="179">
        <f>F308+F309</f>
        <v>137000</v>
      </c>
      <c r="G310" s="179">
        <f>G308+G309</f>
        <v>0</v>
      </c>
      <c r="H310" s="121"/>
      <c r="I310" s="1389"/>
      <c r="J310" s="180" t="s">
        <v>22</v>
      </c>
      <c r="K310" s="179">
        <f>K308+K309</f>
        <v>137000</v>
      </c>
      <c r="L310" s="179">
        <f>L308+L309</f>
        <v>137000</v>
      </c>
      <c r="M310" s="179">
        <f>M308+M309</f>
        <v>0</v>
      </c>
      <c r="N310" s="179">
        <f>N308+N309</f>
        <v>0</v>
      </c>
    </row>
    <row r="311" spans="1:14" ht="12.75" hidden="1">
      <c r="A311" s="182"/>
      <c r="B311" s="233"/>
      <c r="C311" s="184"/>
      <c r="D311" s="185"/>
      <c r="E311" s="206"/>
      <c r="F311" s="206"/>
      <c r="G311" s="206"/>
      <c r="H311" s="121"/>
      <c r="I311" s="184"/>
      <c r="J311" s="187"/>
      <c r="K311" s="186"/>
      <c r="L311" s="186"/>
      <c r="M311" s="186"/>
      <c r="N311" s="186"/>
    </row>
    <row r="312" spans="1:14" s="195" customFormat="1" ht="13.5" customHeight="1" hidden="1">
      <c r="A312" s="1390">
        <v>21</v>
      </c>
      <c r="B312" s="1369" t="s">
        <v>250</v>
      </c>
      <c r="C312" s="1370"/>
      <c r="D312" s="188" t="s">
        <v>20</v>
      </c>
      <c r="E312" s="194">
        <f aca="true" t="shared" si="90" ref="E312:G313">E316</f>
        <v>137000</v>
      </c>
      <c r="F312" s="194">
        <f t="shared" si="90"/>
        <v>137000</v>
      </c>
      <c r="G312" s="194">
        <f t="shared" si="90"/>
        <v>0</v>
      </c>
      <c r="H312" s="121"/>
      <c r="I312" s="1375" t="s">
        <v>250</v>
      </c>
      <c r="J312" s="190" t="s">
        <v>20</v>
      </c>
      <c r="K312" s="194">
        <f aca="true" t="shared" si="91" ref="K312:N313">K316</f>
        <v>137000</v>
      </c>
      <c r="L312" s="194">
        <f t="shared" si="91"/>
        <v>137000</v>
      </c>
      <c r="M312" s="194">
        <f t="shared" si="91"/>
        <v>0</v>
      </c>
      <c r="N312" s="194">
        <f t="shared" si="91"/>
        <v>0</v>
      </c>
    </row>
    <row r="313" spans="1:14" s="195" customFormat="1" ht="13.5" hidden="1">
      <c r="A313" s="1391"/>
      <c r="B313" s="1371"/>
      <c r="C313" s="1372"/>
      <c r="D313" s="188" t="s">
        <v>21</v>
      </c>
      <c r="E313" s="194">
        <f t="shared" si="90"/>
        <v>0</v>
      </c>
      <c r="F313" s="194">
        <f t="shared" si="90"/>
        <v>0</v>
      </c>
      <c r="G313" s="194">
        <f t="shared" si="90"/>
        <v>0</v>
      </c>
      <c r="H313" s="121"/>
      <c r="I313" s="1376"/>
      <c r="J313" s="190" t="s">
        <v>21</v>
      </c>
      <c r="K313" s="194">
        <f t="shared" si="91"/>
        <v>0</v>
      </c>
      <c r="L313" s="194">
        <f t="shared" si="91"/>
        <v>0</v>
      </c>
      <c r="M313" s="194">
        <f t="shared" si="91"/>
        <v>0</v>
      </c>
      <c r="N313" s="194">
        <f t="shared" si="91"/>
        <v>0</v>
      </c>
    </row>
    <row r="314" spans="1:14" s="195" customFormat="1" ht="13.5" hidden="1">
      <c r="A314" s="1392"/>
      <c r="B314" s="1373"/>
      <c r="C314" s="1374"/>
      <c r="D314" s="188" t="s">
        <v>22</v>
      </c>
      <c r="E314" s="194">
        <f>E312+E313</f>
        <v>137000</v>
      </c>
      <c r="F314" s="194">
        <f>F312+F313</f>
        <v>137000</v>
      </c>
      <c r="G314" s="194">
        <f>G312+G313</f>
        <v>0</v>
      </c>
      <c r="H314" s="121"/>
      <c r="I314" s="1377"/>
      <c r="J314" s="190" t="s">
        <v>22</v>
      </c>
      <c r="K314" s="194">
        <f>K312+K313</f>
        <v>137000</v>
      </c>
      <c r="L314" s="194">
        <f>L312+L313</f>
        <v>137000</v>
      </c>
      <c r="M314" s="194">
        <f>M312+M313</f>
        <v>0</v>
      </c>
      <c r="N314" s="194">
        <f>N312+N313</f>
        <v>0</v>
      </c>
    </row>
    <row r="315" spans="1:14" s="181" customFormat="1" ht="12.75" hidden="1">
      <c r="A315" s="198"/>
      <c r="B315" s="203"/>
      <c r="C315" s="204"/>
      <c r="D315" s="120"/>
      <c r="E315" s="200"/>
      <c r="F315" s="179"/>
      <c r="G315" s="179"/>
      <c r="H315" s="121"/>
      <c r="I315" s="204"/>
      <c r="J315" s="180"/>
      <c r="K315" s="201"/>
      <c r="L315" s="201"/>
      <c r="M315" s="201"/>
      <c r="N315" s="201"/>
    </row>
    <row r="316" spans="1:14" ht="12.75" hidden="1">
      <c r="A316" s="1378"/>
      <c r="B316" s="1378"/>
      <c r="C316" s="1347" t="s">
        <v>193</v>
      </c>
      <c r="D316" s="185" t="s">
        <v>20</v>
      </c>
      <c r="E316" s="197">
        <f>F316+G316</f>
        <v>137000</v>
      </c>
      <c r="F316" s="186">
        <v>137000</v>
      </c>
      <c r="G316" s="186">
        <v>0</v>
      </c>
      <c r="H316" s="121"/>
      <c r="I316" s="1347" t="s">
        <v>203</v>
      </c>
      <c r="J316" s="187" t="s">
        <v>20</v>
      </c>
      <c r="K316" s="186">
        <f>L316+M316+N316</f>
        <v>137000</v>
      </c>
      <c r="L316" s="186">
        <v>137000</v>
      </c>
      <c r="M316" s="186">
        <v>0</v>
      </c>
      <c r="N316" s="186">
        <v>0</v>
      </c>
    </row>
    <row r="317" spans="1:14" ht="12.75" hidden="1">
      <c r="A317" s="1379"/>
      <c r="B317" s="1379"/>
      <c r="C317" s="1348"/>
      <c r="D317" s="185" t="s">
        <v>21</v>
      </c>
      <c r="E317" s="197">
        <f>F317+G317</f>
        <v>0</v>
      </c>
      <c r="F317" s="186"/>
      <c r="G317" s="186"/>
      <c r="H317" s="121"/>
      <c r="I317" s="1348"/>
      <c r="J317" s="187" t="s">
        <v>21</v>
      </c>
      <c r="K317" s="186">
        <f>L317+M317+N317</f>
        <v>0</v>
      </c>
      <c r="L317" s="186"/>
      <c r="M317" s="186"/>
      <c r="N317" s="186"/>
    </row>
    <row r="318" spans="1:14" ht="12.75" hidden="1">
      <c r="A318" s="1380"/>
      <c r="B318" s="1380"/>
      <c r="C318" s="1349"/>
      <c r="D318" s="185" t="s">
        <v>22</v>
      </c>
      <c r="E318" s="197">
        <f>E316+E317</f>
        <v>137000</v>
      </c>
      <c r="F318" s="197">
        <f>F316+F317</f>
        <v>137000</v>
      </c>
      <c r="G318" s="197">
        <f>G316+G317</f>
        <v>0</v>
      </c>
      <c r="H318" s="121"/>
      <c r="I318" s="1349"/>
      <c r="J318" s="187" t="s">
        <v>22</v>
      </c>
      <c r="K318" s="186">
        <f>K316+K317</f>
        <v>137000</v>
      </c>
      <c r="L318" s="186">
        <f>L316+L317</f>
        <v>137000</v>
      </c>
      <c r="M318" s="186">
        <f>M316+M317</f>
        <v>0</v>
      </c>
      <c r="N318" s="186">
        <f>N316+N317</f>
        <v>0</v>
      </c>
    </row>
    <row r="319" spans="1:14" ht="12.75" hidden="1">
      <c r="A319" s="182"/>
      <c r="B319" s="183"/>
      <c r="C319" s="184"/>
      <c r="D319" s="185"/>
      <c r="E319" s="206"/>
      <c r="F319" s="206"/>
      <c r="G319" s="206"/>
      <c r="H319" s="211"/>
      <c r="I319" s="184"/>
      <c r="J319" s="187"/>
      <c r="K319" s="186"/>
      <c r="L319" s="186"/>
      <c r="M319" s="186"/>
      <c r="N319" s="186"/>
    </row>
    <row r="320" spans="1:14" s="181" customFormat="1" ht="12.75" hidden="1">
      <c r="A320" s="1381"/>
      <c r="B320" s="1384" t="s">
        <v>251</v>
      </c>
      <c r="C320" s="1387" t="s">
        <v>252</v>
      </c>
      <c r="D320" s="234" t="s">
        <v>20</v>
      </c>
      <c r="E320" s="235">
        <f aca="true" t="shared" si="92" ref="E320:G321">E324</f>
        <v>59000</v>
      </c>
      <c r="F320" s="235">
        <f t="shared" si="92"/>
        <v>59000</v>
      </c>
      <c r="G320" s="235">
        <f t="shared" si="92"/>
        <v>0</v>
      </c>
      <c r="H320" s="121"/>
      <c r="I320" s="1387" t="s">
        <v>252</v>
      </c>
      <c r="J320" s="211" t="s">
        <v>20</v>
      </c>
      <c r="K320" s="235">
        <f aca="true" t="shared" si="93" ref="K320:N321">K324</f>
        <v>59000</v>
      </c>
      <c r="L320" s="235">
        <f t="shared" si="93"/>
        <v>59000</v>
      </c>
      <c r="M320" s="235">
        <f t="shared" si="93"/>
        <v>0</v>
      </c>
      <c r="N320" s="235">
        <f t="shared" si="93"/>
        <v>0</v>
      </c>
    </row>
    <row r="321" spans="1:14" s="181" customFormat="1" ht="12.75" hidden="1">
      <c r="A321" s="1382"/>
      <c r="B321" s="1385"/>
      <c r="C321" s="1388"/>
      <c r="D321" s="234" t="s">
        <v>21</v>
      </c>
      <c r="E321" s="235">
        <f t="shared" si="92"/>
        <v>0</v>
      </c>
      <c r="F321" s="235">
        <f t="shared" si="92"/>
        <v>0</v>
      </c>
      <c r="G321" s="235">
        <f t="shared" si="92"/>
        <v>0</v>
      </c>
      <c r="H321" s="121"/>
      <c r="I321" s="1388"/>
      <c r="J321" s="211" t="s">
        <v>21</v>
      </c>
      <c r="K321" s="235">
        <f t="shared" si="93"/>
        <v>0</v>
      </c>
      <c r="L321" s="235">
        <f t="shared" si="93"/>
        <v>0</v>
      </c>
      <c r="M321" s="235">
        <f t="shared" si="93"/>
        <v>0</v>
      </c>
      <c r="N321" s="235">
        <f t="shared" si="93"/>
        <v>0</v>
      </c>
    </row>
    <row r="322" spans="1:14" s="181" customFormat="1" ht="12.75" hidden="1">
      <c r="A322" s="1383"/>
      <c r="B322" s="1386"/>
      <c r="C322" s="1389"/>
      <c r="D322" s="234" t="s">
        <v>22</v>
      </c>
      <c r="E322" s="235">
        <f>E320+E321</f>
        <v>59000</v>
      </c>
      <c r="F322" s="235">
        <f>F320+F321</f>
        <v>59000</v>
      </c>
      <c r="G322" s="235">
        <f>G320+G321</f>
        <v>0</v>
      </c>
      <c r="H322" s="121"/>
      <c r="I322" s="1389"/>
      <c r="J322" s="211" t="s">
        <v>22</v>
      </c>
      <c r="K322" s="235">
        <f>K320+K321</f>
        <v>59000</v>
      </c>
      <c r="L322" s="235">
        <f>L320+L321</f>
        <v>59000</v>
      </c>
      <c r="M322" s="235">
        <f>M320+M321</f>
        <v>0</v>
      </c>
      <c r="N322" s="235">
        <f>N320+N321</f>
        <v>0</v>
      </c>
    </row>
    <row r="323" spans="1:14" ht="12.75" hidden="1">
      <c r="A323" s="182"/>
      <c r="B323" s="183"/>
      <c r="C323" s="184"/>
      <c r="D323" s="185"/>
      <c r="E323" s="206"/>
      <c r="F323" s="206"/>
      <c r="G323" s="206"/>
      <c r="H323" s="121"/>
      <c r="I323" s="184"/>
      <c r="J323" s="187"/>
      <c r="K323" s="186"/>
      <c r="L323" s="186"/>
      <c r="M323" s="186"/>
      <c r="N323" s="186"/>
    </row>
    <row r="324" spans="1:14" s="191" customFormat="1" ht="13.5" hidden="1">
      <c r="A324" s="1366">
        <v>22</v>
      </c>
      <c r="B324" s="1369" t="s">
        <v>253</v>
      </c>
      <c r="C324" s="1370"/>
      <c r="D324" s="188" t="s">
        <v>20</v>
      </c>
      <c r="E324" s="189">
        <f aca="true" t="shared" si="94" ref="E324:G325">E328</f>
        <v>59000</v>
      </c>
      <c r="F324" s="189">
        <f t="shared" si="94"/>
        <v>59000</v>
      </c>
      <c r="G324" s="189">
        <f t="shared" si="94"/>
        <v>0</v>
      </c>
      <c r="H324" s="121"/>
      <c r="I324" s="1375" t="s">
        <v>253</v>
      </c>
      <c r="J324" s="190" t="s">
        <v>20</v>
      </c>
      <c r="K324" s="189">
        <f aca="true" t="shared" si="95" ref="K324:N325">K328</f>
        <v>59000</v>
      </c>
      <c r="L324" s="189">
        <f t="shared" si="95"/>
        <v>59000</v>
      </c>
      <c r="M324" s="189">
        <f t="shared" si="95"/>
        <v>0</v>
      </c>
      <c r="N324" s="189">
        <f t="shared" si="95"/>
        <v>0</v>
      </c>
    </row>
    <row r="325" spans="1:14" s="191" customFormat="1" ht="13.5" hidden="1">
      <c r="A325" s="1367"/>
      <c r="B325" s="1371"/>
      <c r="C325" s="1372"/>
      <c r="D325" s="188" t="s">
        <v>21</v>
      </c>
      <c r="E325" s="189">
        <f t="shared" si="94"/>
        <v>0</v>
      </c>
      <c r="F325" s="189">
        <f t="shared" si="94"/>
        <v>0</v>
      </c>
      <c r="G325" s="189">
        <f t="shared" si="94"/>
        <v>0</v>
      </c>
      <c r="H325" s="121"/>
      <c r="I325" s="1376"/>
      <c r="J325" s="190" t="s">
        <v>21</v>
      </c>
      <c r="K325" s="189">
        <f t="shared" si="95"/>
        <v>0</v>
      </c>
      <c r="L325" s="189">
        <f t="shared" si="95"/>
        <v>0</v>
      </c>
      <c r="M325" s="189">
        <f t="shared" si="95"/>
        <v>0</v>
      </c>
      <c r="N325" s="189">
        <f t="shared" si="95"/>
        <v>0</v>
      </c>
    </row>
    <row r="326" spans="1:14" s="191" customFormat="1" ht="13.5" hidden="1">
      <c r="A326" s="1368"/>
      <c r="B326" s="1373"/>
      <c r="C326" s="1374"/>
      <c r="D326" s="188" t="s">
        <v>22</v>
      </c>
      <c r="E326" s="189">
        <f>E324+E325</f>
        <v>59000</v>
      </c>
      <c r="F326" s="189">
        <f>F324+F325</f>
        <v>59000</v>
      </c>
      <c r="G326" s="189">
        <f>G324+G325</f>
        <v>0</v>
      </c>
      <c r="H326" s="121"/>
      <c r="I326" s="1377"/>
      <c r="J326" s="190" t="s">
        <v>22</v>
      </c>
      <c r="K326" s="189">
        <f>K324+K325</f>
        <v>59000</v>
      </c>
      <c r="L326" s="189">
        <f>L324+L325</f>
        <v>59000</v>
      </c>
      <c r="M326" s="189">
        <f>M324+M325</f>
        <v>0</v>
      </c>
      <c r="N326" s="189">
        <f>N324+N325</f>
        <v>0</v>
      </c>
    </row>
    <row r="327" spans="1:15" s="181" customFormat="1" ht="12.75" hidden="1">
      <c r="A327" s="198"/>
      <c r="B327" s="203"/>
      <c r="C327" s="204"/>
      <c r="D327" s="120"/>
      <c r="E327" s="200"/>
      <c r="F327" s="179"/>
      <c r="G327" s="179"/>
      <c r="H327" s="121"/>
      <c r="I327" s="204"/>
      <c r="J327" s="180"/>
      <c r="K327" s="201"/>
      <c r="L327" s="201"/>
      <c r="M327" s="201"/>
      <c r="N327" s="201"/>
      <c r="O327" s="236"/>
    </row>
    <row r="328" spans="1:15" ht="12.75" hidden="1">
      <c r="A328" s="1378"/>
      <c r="B328" s="1378"/>
      <c r="C328" s="1347" t="s">
        <v>193</v>
      </c>
      <c r="D328" s="185" t="s">
        <v>20</v>
      </c>
      <c r="E328" s="197">
        <f>F328+G328</f>
        <v>59000</v>
      </c>
      <c r="F328" s="186">
        <v>59000</v>
      </c>
      <c r="G328" s="186">
        <v>0</v>
      </c>
      <c r="H328" s="121"/>
      <c r="I328" s="1347" t="s">
        <v>203</v>
      </c>
      <c r="J328" s="187" t="s">
        <v>20</v>
      </c>
      <c r="K328" s="186">
        <f>L328+M328+N328</f>
        <v>59000</v>
      </c>
      <c r="L328" s="186">
        <v>59000</v>
      </c>
      <c r="M328" s="186">
        <v>0</v>
      </c>
      <c r="N328" s="186">
        <v>0</v>
      </c>
      <c r="O328" s="237"/>
    </row>
    <row r="329" spans="1:15" ht="12.75" hidden="1">
      <c r="A329" s="1379"/>
      <c r="B329" s="1379"/>
      <c r="C329" s="1348"/>
      <c r="D329" s="135" t="s">
        <v>21</v>
      </c>
      <c r="E329" s="197">
        <f>F329+G329</f>
        <v>0</v>
      </c>
      <c r="F329" s="136"/>
      <c r="G329" s="137"/>
      <c r="H329" s="121"/>
      <c r="I329" s="1348"/>
      <c r="J329" s="215" t="s">
        <v>21</v>
      </c>
      <c r="K329" s="186">
        <f>L329+M329+N329</f>
        <v>0</v>
      </c>
      <c r="L329" s="136"/>
      <c r="M329" s="136"/>
      <c r="N329" s="136"/>
      <c r="O329" s="237"/>
    </row>
    <row r="330" spans="1:15" ht="12.75" hidden="1">
      <c r="A330" s="1380"/>
      <c r="B330" s="1380"/>
      <c r="C330" s="1349"/>
      <c r="D330" s="135" t="s">
        <v>22</v>
      </c>
      <c r="E330" s="216">
        <f>E328+E329</f>
        <v>59000</v>
      </c>
      <c r="F330" s="216">
        <f>F328+F329</f>
        <v>59000</v>
      </c>
      <c r="G330" s="216">
        <f>G328+G329</f>
        <v>0</v>
      </c>
      <c r="H330" s="121"/>
      <c r="I330" s="1349"/>
      <c r="J330" s="215" t="s">
        <v>22</v>
      </c>
      <c r="K330" s="136">
        <f>K328+K329</f>
        <v>59000</v>
      </c>
      <c r="L330" s="136">
        <f>L328+L329</f>
        <v>59000</v>
      </c>
      <c r="M330" s="136">
        <f>M328+M329</f>
        <v>0</v>
      </c>
      <c r="N330" s="136">
        <f>N328+N329</f>
        <v>0</v>
      </c>
      <c r="O330" s="237"/>
    </row>
    <row r="331" spans="1:14" ht="9" customHeight="1" thickBot="1">
      <c r="A331" s="132"/>
      <c r="B331" s="219"/>
      <c r="C331" s="134"/>
      <c r="D331" s="135"/>
      <c r="E331" s="220"/>
      <c r="F331" s="220"/>
      <c r="G331" s="238"/>
      <c r="H331" s="121"/>
      <c r="I331" s="134"/>
      <c r="J331" s="215"/>
      <c r="K331" s="136"/>
      <c r="L331" s="136"/>
      <c r="M331" s="136"/>
      <c r="N331" s="136"/>
    </row>
    <row r="332" spans="1:14" s="144" customFormat="1" ht="15.75">
      <c r="A332" s="1351"/>
      <c r="B332" s="1354"/>
      <c r="C332" s="1357" t="s">
        <v>19</v>
      </c>
      <c r="D332" s="141" t="s">
        <v>20</v>
      </c>
      <c r="E332" s="142">
        <f aca="true" t="shared" si="96" ref="E332:G333">E12</f>
        <v>50465000</v>
      </c>
      <c r="F332" s="142">
        <f t="shared" si="96"/>
        <v>49065000</v>
      </c>
      <c r="G332" s="142">
        <f t="shared" si="96"/>
        <v>1400000</v>
      </c>
      <c r="H332" s="1360"/>
      <c r="I332" s="1363" t="s">
        <v>19</v>
      </c>
      <c r="J332" s="140" t="s">
        <v>20</v>
      </c>
      <c r="K332" s="142">
        <f>L332+M332+N332</f>
        <v>50735531</v>
      </c>
      <c r="L332" s="142">
        <f aca="true" t="shared" si="97" ref="L332:N333">L336+L340+L344+L348+L352</f>
        <v>49065000</v>
      </c>
      <c r="M332" s="142">
        <f t="shared" si="97"/>
        <v>1400000</v>
      </c>
      <c r="N332" s="143">
        <f t="shared" si="97"/>
        <v>270531</v>
      </c>
    </row>
    <row r="333" spans="1:14" s="144" customFormat="1" ht="15.75">
      <c r="A333" s="1352"/>
      <c r="B333" s="1355"/>
      <c r="C333" s="1358"/>
      <c r="D333" s="146" t="s">
        <v>21</v>
      </c>
      <c r="E333" s="147">
        <f t="shared" si="96"/>
        <v>2101000</v>
      </c>
      <c r="F333" s="147">
        <f t="shared" si="96"/>
        <v>2101000</v>
      </c>
      <c r="G333" s="147">
        <f t="shared" si="96"/>
        <v>0</v>
      </c>
      <c r="H333" s="1361"/>
      <c r="I333" s="1364"/>
      <c r="J333" s="145" t="s">
        <v>21</v>
      </c>
      <c r="K333" s="147">
        <f>L333+M333+N333</f>
        <v>2101000</v>
      </c>
      <c r="L333" s="147">
        <f t="shared" si="97"/>
        <v>2101000</v>
      </c>
      <c r="M333" s="147">
        <f t="shared" si="97"/>
        <v>0</v>
      </c>
      <c r="N333" s="148">
        <f t="shared" si="97"/>
        <v>0</v>
      </c>
    </row>
    <row r="334" spans="1:14" s="144" customFormat="1" ht="16.5" thickBot="1">
      <c r="A334" s="1353"/>
      <c r="B334" s="1356"/>
      <c r="C334" s="1359"/>
      <c r="D334" s="150" t="s">
        <v>22</v>
      </c>
      <c r="E334" s="151">
        <f>E332+E333</f>
        <v>52566000</v>
      </c>
      <c r="F334" s="151">
        <f>F332+F333</f>
        <v>51166000</v>
      </c>
      <c r="G334" s="151">
        <f>G332+G333</f>
        <v>1400000</v>
      </c>
      <c r="H334" s="1362"/>
      <c r="I334" s="1365"/>
      <c r="J334" s="149" t="s">
        <v>22</v>
      </c>
      <c r="K334" s="151">
        <f>K332+K333</f>
        <v>52836531</v>
      </c>
      <c r="L334" s="151">
        <f>L332+L333</f>
        <v>51166000</v>
      </c>
      <c r="M334" s="151">
        <f>M332+M333</f>
        <v>1400000</v>
      </c>
      <c r="N334" s="152">
        <f>N332+N333</f>
        <v>270531</v>
      </c>
    </row>
    <row r="335" spans="1:14" ht="13.5" customHeight="1">
      <c r="A335" s="247" t="s">
        <v>18</v>
      </c>
      <c r="C335" s="239"/>
      <c r="D335" s="240"/>
      <c r="E335" s="239"/>
      <c r="F335" s="239"/>
      <c r="G335" s="239"/>
      <c r="H335" s="239"/>
      <c r="I335" s="241" t="s">
        <v>187</v>
      </c>
      <c r="J335" s="242"/>
      <c r="K335" s="241"/>
      <c r="L335" s="241"/>
      <c r="M335" s="241"/>
      <c r="N335" s="241"/>
    </row>
    <row r="336" spans="1:14" ht="12.75">
      <c r="A336" s="247" t="s">
        <v>51</v>
      </c>
      <c r="C336" s="243"/>
      <c r="D336" s="244"/>
      <c r="E336" s="245"/>
      <c r="F336" s="245"/>
      <c r="G336" s="245"/>
      <c r="H336" s="245"/>
      <c r="I336" s="1347" t="s">
        <v>254</v>
      </c>
      <c r="J336" s="187" t="s">
        <v>20</v>
      </c>
      <c r="K336" s="186">
        <f aca="true" t="shared" si="98" ref="K336:N337">K44+K56+K156+K172+K236+K256+K272+K296</f>
        <v>2784098</v>
      </c>
      <c r="L336" s="186">
        <f t="shared" si="98"/>
        <v>2535732</v>
      </c>
      <c r="M336" s="186">
        <f t="shared" si="98"/>
        <v>0</v>
      </c>
      <c r="N336" s="186">
        <f t="shared" si="98"/>
        <v>248366</v>
      </c>
    </row>
    <row r="337" spans="1:14" ht="12.75">
      <c r="A337" s="247" t="s">
        <v>52</v>
      </c>
      <c r="C337" s="243"/>
      <c r="D337" s="244"/>
      <c r="E337" s="245"/>
      <c r="F337" s="245"/>
      <c r="G337" s="245"/>
      <c r="H337" s="245"/>
      <c r="I337" s="1348"/>
      <c r="J337" s="187" t="s">
        <v>21</v>
      </c>
      <c r="K337" s="186">
        <f t="shared" si="98"/>
        <v>1743119</v>
      </c>
      <c r="L337" s="186">
        <f t="shared" si="98"/>
        <v>1743119</v>
      </c>
      <c r="M337" s="186">
        <f t="shared" si="98"/>
        <v>0</v>
      </c>
      <c r="N337" s="186">
        <f t="shared" si="98"/>
        <v>0</v>
      </c>
    </row>
    <row r="338" spans="1:14" ht="12.75">
      <c r="A338" s="247" t="s">
        <v>53</v>
      </c>
      <c r="C338" s="243"/>
      <c r="D338" s="244"/>
      <c r="E338" s="245"/>
      <c r="F338" s="245"/>
      <c r="G338" s="245"/>
      <c r="H338" s="245"/>
      <c r="I338" s="1349"/>
      <c r="J338" s="187" t="s">
        <v>22</v>
      </c>
      <c r="K338" s="186">
        <f>K336+K337</f>
        <v>4527217</v>
      </c>
      <c r="L338" s="186">
        <f>L336+L337</f>
        <v>4278851</v>
      </c>
      <c r="M338" s="186">
        <f>M336+M337</f>
        <v>0</v>
      </c>
      <c r="N338" s="186">
        <f>N336+N337</f>
        <v>248366</v>
      </c>
    </row>
    <row r="339" spans="1:14" ht="12.75">
      <c r="A339" s="247"/>
      <c r="C339" s="246"/>
      <c r="D339" s="244"/>
      <c r="E339" s="245"/>
      <c r="F339" s="245"/>
      <c r="G339" s="245"/>
      <c r="H339" s="245"/>
      <c r="I339" s="184"/>
      <c r="J339" s="187"/>
      <c r="K339" s="186"/>
      <c r="L339" s="186"/>
      <c r="M339" s="186"/>
      <c r="N339" s="186"/>
    </row>
    <row r="340" spans="1:14" ht="12.75">
      <c r="A340" s="247"/>
      <c r="C340" s="243"/>
      <c r="D340" s="244"/>
      <c r="E340" s="245"/>
      <c r="F340" s="245"/>
      <c r="G340" s="245"/>
      <c r="H340" s="245"/>
      <c r="I340" s="1347" t="s">
        <v>255</v>
      </c>
      <c r="J340" s="187" t="s">
        <v>20</v>
      </c>
      <c r="K340" s="186">
        <f aca="true" t="shared" si="99" ref="K340:N341">K28+K48+K60+K68+K84+K100+K112+K128+K140+K160+K176+K192+K208+K220+K240+K260+K276+K300+K316+K328</f>
        <v>43662453</v>
      </c>
      <c r="L340" s="186">
        <f t="shared" si="99"/>
        <v>43640288</v>
      </c>
      <c r="M340" s="186">
        <f t="shared" si="99"/>
        <v>0</v>
      </c>
      <c r="N340" s="186">
        <f t="shared" si="99"/>
        <v>22165</v>
      </c>
    </row>
    <row r="341" spans="1:14" ht="12.75">
      <c r="A341" s="247"/>
      <c r="C341" s="243"/>
      <c r="D341" s="244"/>
      <c r="E341" s="245"/>
      <c r="F341" s="245"/>
      <c r="G341" s="245"/>
      <c r="H341" s="245"/>
      <c r="I341" s="1348"/>
      <c r="J341" s="187" t="s">
        <v>21</v>
      </c>
      <c r="K341" s="186">
        <f t="shared" si="99"/>
        <v>357881</v>
      </c>
      <c r="L341" s="186">
        <f t="shared" si="99"/>
        <v>357881</v>
      </c>
      <c r="M341" s="186">
        <f t="shared" si="99"/>
        <v>0</v>
      </c>
      <c r="N341" s="186">
        <f t="shared" si="99"/>
        <v>0</v>
      </c>
    </row>
    <row r="342" spans="1:14" ht="12.75">
      <c r="A342" s="247"/>
      <c r="C342" s="243"/>
      <c r="D342" s="244"/>
      <c r="E342" s="245"/>
      <c r="F342" s="245"/>
      <c r="G342" s="245"/>
      <c r="H342" s="245"/>
      <c r="I342" s="1349"/>
      <c r="J342" s="187" t="s">
        <v>22</v>
      </c>
      <c r="K342" s="186">
        <f>K340+K341</f>
        <v>44020334</v>
      </c>
      <c r="L342" s="186">
        <f>L340+L341</f>
        <v>43998169</v>
      </c>
      <c r="M342" s="186">
        <f>M340+M341</f>
        <v>0</v>
      </c>
      <c r="N342" s="186">
        <f>N340+N341</f>
        <v>22165</v>
      </c>
    </row>
    <row r="343" spans="3:14" ht="12.75">
      <c r="C343" s="246"/>
      <c r="D343" s="244"/>
      <c r="E343" s="245"/>
      <c r="F343" s="245"/>
      <c r="G343" s="245"/>
      <c r="H343" s="245"/>
      <c r="I343" s="184"/>
      <c r="J343" s="187"/>
      <c r="K343" s="186"/>
      <c r="L343" s="186"/>
      <c r="M343" s="186"/>
      <c r="N343" s="186"/>
    </row>
    <row r="344" spans="3:14" ht="12.75">
      <c r="C344" s="243"/>
      <c r="D344" s="244"/>
      <c r="E344" s="245"/>
      <c r="F344" s="245"/>
      <c r="G344" s="245"/>
      <c r="H344" s="245"/>
      <c r="I344" s="1347" t="s">
        <v>256</v>
      </c>
      <c r="J344" s="187" t="s">
        <v>20</v>
      </c>
      <c r="K344" s="186">
        <f aca="true" t="shared" si="100" ref="K344:N345">K32+K76</f>
        <v>3350000</v>
      </c>
      <c r="L344" s="186">
        <f t="shared" si="100"/>
        <v>1950000</v>
      </c>
      <c r="M344" s="186">
        <f t="shared" si="100"/>
        <v>1400000</v>
      </c>
      <c r="N344" s="186">
        <f t="shared" si="100"/>
        <v>0</v>
      </c>
    </row>
    <row r="345" spans="3:14" ht="12.75">
      <c r="C345" s="243"/>
      <c r="D345" s="244"/>
      <c r="E345" s="245"/>
      <c r="F345" s="245"/>
      <c r="G345" s="245"/>
      <c r="H345" s="245"/>
      <c r="I345" s="1348"/>
      <c r="J345" s="187" t="s">
        <v>21</v>
      </c>
      <c r="K345" s="186">
        <f t="shared" si="100"/>
        <v>0</v>
      </c>
      <c r="L345" s="186">
        <f t="shared" si="100"/>
        <v>0</v>
      </c>
      <c r="M345" s="186">
        <f t="shared" si="100"/>
        <v>0</v>
      </c>
      <c r="N345" s="186">
        <f t="shared" si="100"/>
        <v>0</v>
      </c>
    </row>
    <row r="346" spans="3:14" ht="12.75">
      <c r="C346" s="243"/>
      <c r="D346" s="244"/>
      <c r="E346" s="245"/>
      <c r="F346" s="245"/>
      <c r="G346" s="245"/>
      <c r="H346" s="245"/>
      <c r="I346" s="1349"/>
      <c r="J346" s="187" t="s">
        <v>22</v>
      </c>
      <c r="K346" s="186">
        <f>K344+K345</f>
        <v>3350000</v>
      </c>
      <c r="L346" s="186">
        <f>L344+L345</f>
        <v>1950000</v>
      </c>
      <c r="M346" s="186">
        <f>M344+M345</f>
        <v>1400000</v>
      </c>
      <c r="N346" s="186">
        <f>N344+N345</f>
        <v>0</v>
      </c>
    </row>
    <row r="347" spans="3:14" ht="12.75">
      <c r="C347" s="246"/>
      <c r="D347" s="244"/>
      <c r="E347" s="245"/>
      <c r="F347" s="245"/>
      <c r="G347" s="245"/>
      <c r="H347" s="245"/>
      <c r="I347" s="184"/>
      <c r="J347" s="187"/>
      <c r="K347" s="186"/>
      <c r="L347" s="186"/>
      <c r="M347" s="186"/>
      <c r="N347" s="186"/>
    </row>
    <row r="348" spans="3:14" ht="12.75" customHeight="1">
      <c r="C348" s="243"/>
      <c r="D348" s="244"/>
      <c r="E348" s="245"/>
      <c r="F348" s="245"/>
      <c r="G348" s="245"/>
      <c r="H348" s="245"/>
      <c r="I348" s="1347" t="s">
        <v>257</v>
      </c>
      <c r="J348" s="187" t="s">
        <v>20</v>
      </c>
      <c r="K348" s="186">
        <f aca="true" t="shared" si="101" ref="K348:N349">K288</f>
        <v>138980</v>
      </c>
      <c r="L348" s="186">
        <f t="shared" si="101"/>
        <v>138980</v>
      </c>
      <c r="M348" s="186">
        <f t="shared" si="101"/>
        <v>0</v>
      </c>
      <c r="N348" s="186">
        <f t="shared" si="101"/>
        <v>0</v>
      </c>
    </row>
    <row r="349" spans="3:14" ht="12.75" customHeight="1">
      <c r="C349" s="243"/>
      <c r="D349" s="244"/>
      <c r="E349" s="245"/>
      <c r="F349" s="245"/>
      <c r="G349" s="245"/>
      <c r="H349" s="245"/>
      <c r="I349" s="1348"/>
      <c r="J349" s="187" t="s">
        <v>21</v>
      </c>
      <c r="K349" s="186">
        <f t="shared" si="101"/>
        <v>0</v>
      </c>
      <c r="L349" s="186">
        <f t="shared" si="101"/>
        <v>0</v>
      </c>
      <c r="M349" s="186">
        <f t="shared" si="101"/>
        <v>0</v>
      </c>
      <c r="N349" s="186">
        <f t="shared" si="101"/>
        <v>0</v>
      </c>
    </row>
    <row r="350" spans="3:14" ht="12.75" customHeight="1">
      <c r="C350" s="243"/>
      <c r="D350" s="244"/>
      <c r="E350" s="245"/>
      <c r="F350" s="245"/>
      <c r="G350" s="245"/>
      <c r="H350" s="245"/>
      <c r="I350" s="1349"/>
      <c r="J350" s="187" t="s">
        <v>22</v>
      </c>
      <c r="K350" s="186">
        <f>K348+K349</f>
        <v>138980</v>
      </c>
      <c r="L350" s="186">
        <f>L348+L349</f>
        <v>138980</v>
      </c>
      <c r="M350" s="186">
        <f>M348+M349</f>
        <v>0</v>
      </c>
      <c r="N350" s="186">
        <f>N348+N349</f>
        <v>0</v>
      </c>
    </row>
    <row r="351" spans="3:14" ht="12.75">
      <c r="C351" s="246"/>
      <c r="D351" s="244"/>
      <c r="E351" s="245"/>
      <c r="F351" s="245"/>
      <c r="G351" s="245"/>
      <c r="H351" s="245"/>
      <c r="I351" s="184"/>
      <c r="J351" s="187"/>
      <c r="K351" s="186"/>
      <c r="L351" s="186"/>
      <c r="M351" s="186"/>
      <c r="N351" s="186"/>
    </row>
    <row r="352" spans="3:14" ht="12.75">
      <c r="C352" s="243"/>
      <c r="D352" s="244"/>
      <c r="E352" s="245"/>
      <c r="F352" s="245"/>
      <c r="G352" s="245"/>
      <c r="H352" s="245"/>
      <c r="I352" s="1350" t="s">
        <v>258</v>
      </c>
      <c r="J352" s="187" t="s">
        <v>20</v>
      </c>
      <c r="K352" s="186">
        <f aca="true" t="shared" si="102" ref="K352:N353">K36</f>
        <v>800000</v>
      </c>
      <c r="L352" s="186">
        <f t="shared" si="102"/>
        <v>800000</v>
      </c>
      <c r="M352" s="186">
        <f t="shared" si="102"/>
        <v>0</v>
      </c>
      <c r="N352" s="186">
        <f t="shared" si="102"/>
        <v>0</v>
      </c>
    </row>
    <row r="353" spans="3:14" ht="12.75">
      <c r="C353" s="243"/>
      <c r="D353" s="244"/>
      <c r="E353" s="245"/>
      <c r="F353" s="245"/>
      <c r="G353" s="245"/>
      <c r="H353" s="245"/>
      <c r="I353" s="1350"/>
      <c r="J353" s="187" t="s">
        <v>21</v>
      </c>
      <c r="K353" s="186">
        <f t="shared" si="102"/>
        <v>0</v>
      </c>
      <c r="L353" s="186">
        <f t="shared" si="102"/>
        <v>0</v>
      </c>
      <c r="M353" s="186">
        <f t="shared" si="102"/>
        <v>0</v>
      </c>
      <c r="N353" s="186">
        <f t="shared" si="102"/>
        <v>0</v>
      </c>
    </row>
    <row r="354" spans="3:14" ht="12.75">
      <c r="C354" s="243"/>
      <c r="D354" s="244"/>
      <c r="E354" s="245"/>
      <c r="F354" s="245"/>
      <c r="G354" s="245"/>
      <c r="H354" s="245"/>
      <c r="I354" s="1350"/>
      <c r="J354" s="187" t="s">
        <v>22</v>
      </c>
      <c r="K354" s="186">
        <f>K352+K353</f>
        <v>800000</v>
      </c>
      <c r="L354" s="186">
        <f>L352+L353</f>
        <v>800000</v>
      </c>
      <c r="M354" s="186">
        <f>M352+M353</f>
        <v>0</v>
      </c>
      <c r="N354" s="186">
        <f>N352+N353</f>
        <v>0</v>
      </c>
    </row>
  </sheetData>
  <sheetProtection password="C25B" sheet="1"/>
  <mergeCells count="367">
    <mergeCell ref="A5:N5"/>
    <mergeCell ref="A7:A9"/>
    <mergeCell ref="B7:B9"/>
    <mergeCell ref="C7:C9"/>
    <mergeCell ref="D7:D9"/>
    <mergeCell ref="E7:G7"/>
    <mergeCell ref="I7:I9"/>
    <mergeCell ref="J7:J9"/>
    <mergeCell ref="K7:N7"/>
    <mergeCell ref="E8:E9"/>
    <mergeCell ref="F8:G8"/>
    <mergeCell ref="K8:K9"/>
    <mergeCell ref="L8:N8"/>
    <mergeCell ref="A12:A14"/>
    <mergeCell ref="B12:B14"/>
    <mergeCell ref="C12:C14"/>
    <mergeCell ref="H12:H14"/>
    <mergeCell ref="I12:I14"/>
    <mergeCell ref="A16:A18"/>
    <mergeCell ref="B16:B18"/>
    <mergeCell ref="C16:C18"/>
    <mergeCell ref="H16:H18"/>
    <mergeCell ref="I16:I18"/>
    <mergeCell ref="A20:A22"/>
    <mergeCell ref="B20:B22"/>
    <mergeCell ref="C20:C22"/>
    <mergeCell ref="I20:I22"/>
    <mergeCell ref="A24:A26"/>
    <mergeCell ref="B24:C26"/>
    <mergeCell ref="I24:I26"/>
    <mergeCell ref="A28:A30"/>
    <mergeCell ref="B28:B30"/>
    <mergeCell ref="C28:C30"/>
    <mergeCell ref="I28:I30"/>
    <mergeCell ref="A32:A34"/>
    <mergeCell ref="B32:B34"/>
    <mergeCell ref="C32:C34"/>
    <mergeCell ref="I32:I34"/>
    <mergeCell ref="A36:A38"/>
    <mergeCell ref="B36:B38"/>
    <mergeCell ref="C36:C38"/>
    <mergeCell ref="D36:D38"/>
    <mergeCell ref="E36:E38"/>
    <mergeCell ref="F36:F38"/>
    <mergeCell ref="G36:G38"/>
    <mergeCell ref="I36:I38"/>
    <mergeCell ref="A40:A42"/>
    <mergeCell ref="B40:C42"/>
    <mergeCell ref="I40:I42"/>
    <mergeCell ref="A44:A46"/>
    <mergeCell ref="B44:B46"/>
    <mergeCell ref="C44:C46"/>
    <mergeCell ref="I44:I46"/>
    <mergeCell ref="I48:I50"/>
    <mergeCell ref="A52:A54"/>
    <mergeCell ref="B52:C54"/>
    <mergeCell ref="I52:I54"/>
    <mergeCell ref="A56:A58"/>
    <mergeCell ref="B56:B58"/>
    <mergeCell ref="C56:C58"/>
    <mergeCell ref="I56:I58"/>
    <mergeCell ref="A48:A50"/>
    <mergeCell ref="B48:B50"/>
    <mergeCell ref="B60:B62"/>
    <mergeCell ref="C60:C62"/>
    <mergeCell ref="D60:D62"/>
    <mergeCell ref="E60:E62"/>
    <mergeCell ref="F60:F62"/>
    <mergeCell ref="G48:G50"/>
    <mergeCell ref="C48:C50"/>
    <mergeCell ref="D48:D50"/>
    <mergeCell ref="E48:E50"/>
    <mergeCell ref="F48:F50"/>
    <mergeCell ref="G60:G62"/>
    <mergeCell ref="I60:I62"/>
    <mergeCell ref="A64:A66"/>
    <mergeCell ref="B64:C66"/>
    <mergeCell ref="I64:I66"/>
    <mergeCell ref="A68:A70"/>
    <mergeCell ref="B68:B70"/>
    <mergeCell ref="C68:C70"/>
    <mergeCell ref="I68:I70"/>
    <mergeCell ref="A60:A62"/>
    <mergeCell ref="A72:A74"/>
    <mergeCell ref="B72:C74"/>
    <mergeCell ref="I72:I74"/>
    <mergeCell ref="A76:A78"/>
    <mergeCell ref="B76:B78"/>
    <mergeCell ref="C76:C78"/>
    <mergeCell ref="I76:I78"/>
    <mergeCell ref="A80:A82"/>
    <mergeCell ref="B80:C82"/>
    <mergeCell ref="I80:I82"/>
    <mergeCell ref="A84:A86"/>
    <mergeCell ref="B84:B86"/>
    <mergeCell ref="C84:C86"/>
    <mergeCell ref="I84:I86"/>
    <mergeCell ref="A88:A90"/>
    <mergeCell ref="B88:B90"/>
    <mergeCell ref="C88:C90"/>
    <mergeCell ref="H88:H90"/>
    <mergeCell ref="I88:I90"/>
    <mergeCell ref="A92:A94"/>
    <mergeCell ref="B92:B94"/>
    <mergeCell ref="C92:C94"/>
    <mergeCell ref="I92:I94"/>
    <mergeCell ref="A96:A98"/>
    <mergeCell ref="B96:C98"/>
    <mergeCell ref="I96:I98"/>
    <mergeCell ref="A100:A102"/>
    <mergeCell ref="B100:B102"/>
    <mergeCell ref="C100:C102"/>
    <mergeCell ref="I100:I102"/>
    <mergeCell ref="A104:A106"/>
    <mergeCell ref="B104:B106"/>
    <mergeCell ref="C104:C106"/>
    <mergeCell ref="I104:I106"/>
    <mergeCell ref="A108:A110"/>
    <mergeCell ref="B108:C110"/>
    <mergeCell ref="I108:I110"/>
    <mergeCell ref="A112:A114"/>
    <mergeCell ref="B112:B114"/>
    <mergeCell ref="C112:C114"/>
    <mergeCell ref="I112:I114"/>
    <mergeCell ref="A116:A118"/>
    <mergeCell ref="B116:B118"/>
    <mergeCell ref="C116:C118"/>
    <mergeCell ref="H116:H118"/>
    <mergeCell ref="I116:I118"/>
    <mergeCell ref="A120:A122"/>
    <mergeCell ref="B120:B122"/>
    <mergeCell ref="C120:C122"/>
    <mergeCell ref="I120:I122"/>
    <mergeCell ref="A124:A126"/>
    <mergeCell ref="B124:C126"/>
    <mergeCell ref="I124:I126"/>
    <mergeCell ref="A128:A130"/>
    <mergeCell ref="B128:B130"/>
    <mergeCell ref="C128:C130"/>
    <mergeCell ref="I128:I130"/>
    <mergeCell ref="A132:A134"/>
    <mergeCell ref="B132:B134"/>
    <mergeCell ref="C132:C134"/>
    <mergeCell ref="I132:I134"/>
    <mergeCell ref="I148:I150"/>
    <mergeCell ref="A136:A138"/>
    <mergeCell ref="B136:C138"/>
    <mergeCell ref="I136:I138"/>
    <mergeCell ref="A140:A142"/>
    <mergeCell ref="B140:B142"/>
    <mergeCell ref="C140:C142"/>
    <mergeCell ref="I140:I142"/>
    <mergeCell ref="G160:G162"/>
    <mergeCell ref="I160:I162"/>
    <mergeCell ref="A144:A146"/>
    <mergeCell ref="B144:B146"/>
    <mergeCell ref="C144:C146"/>
    <mergeCell ref="H144:H146"/>
    <mergeCell ref="I144:I146"/>
    <mergeCell ref="A148:A150"/>
    <mergeCell ref="B148:B150"/>
    <mergeCell ref="C148:C150"/>
    <mergeCell ref="A152:A154"/>
    <mergeCell ref="B152:C154"/>
    <mergeCell ref="I152:I154"/>
    <mergeCell ref="A156:A158"/>
    <mergeCell ref="B156:B158"/>
    <mergeCell ref="C156:C158"/>
    <mergeCell ref="I156:I158"/>
    <mergeCell ref="A164:A166"/>
    <mergeCell ref="B164:B166"/>
    <mergeCell ref="C164:C166"/>
    <mergeCell ref="I164:I166"/>
    <mergeCell ref="A160:A162"/>
    <mergeCell ref="B160:B162"/>
    <mergeCell ref="C160:C162"/>
    <mergeCell ref="D160:D162"/>
    <mergeCell ref="E160:E162"/>
    <mergeCell ref="F160:F162"/>
    <mergeCell ref="D176:D178"/>
    <mergeCell ref="E176:E178"/>
    <mergeCell ref="F176:F178"/>
    <mergeCell ref="A168:A170"/>
    <mergeCell ref="B168:C170"/>
    <mergeCell ref="I168:I170"/>
    <mergeCell ref="A172:A174"/>
    <mergeCell ref="B172:B174"/>
    <mergeCell ref="C172:C174"/>
    <mergeCell ref="I172:I174"/>
    <mergeCell ref="G176:G178"/>
    <mergeCell ref="I176:I178"/>
    <mergeCell ref="A180:A182"/>
    <mergeCell ref="B180:B182"/>
    <mergeCell ref="C180:C182"/>
    <mergeCell ref="H180:H182"/>
    <mergeCell ref="I180:I182"/>
    <mergeCell ref="A176:A178"/>
    <mergeCell ref="B176:B178"/>
    <mergeCell ref="C176:C178"/>
    <mergeCell ref="A184:A186"/>
    <mergeCell ref="B184:B186"/>
    <mergeCell ref="C184:C186"/>
    <mergeCell ref="I184:I186"/>
    <mergeCell ref="A188:A190"/>
    <mergeCell ref="B188:C190"/>
    <mergeCell ref="I188:I190"/>
    <mergeCell ref="A192:A194"/>
    <mergeCell ref="B192:B194"/>
    <mergeCell ref="C192:C194"/>
    <mergeCell ref="I192:I194"/>
    <mergeCell ref="A196:A198"/>
    <mergeCell ref="B196:B198"/>
    <mergeCell ref="C196:C198"/>
    <mergeCell ref="H196:H198"/>
    <mergeCell ref="I196:I198"/>
    <mergeCell ref="A200:A202"/>
    <mergeCell ref="B200:B202"/>
    <mergeCell ref="C200:C202"/>
    <mergeCell ref="I200:I202"/>
    <mergeCell ref="A204:A206"/>
    <mergeCell ref="B204:C206"/>
    <mergeCell ref="I204:I206"/>
    <mergeCell ref="A208:A210"/>
    <mergeCell ref="B208:B210"/>
    <mergeCell ref="C208:C210"/>
    <mergeCell ref="I208:I210"/>
    <mergeCell ref="A212:A214"/>
    <mergeCell ref="B212:B214"/>
    <mergeCell ref="C212:C214"/>
    <mergeCell ref="I212:I214"/>
    <mergeCell ref="A216:A218"/>
    <mergeCell ref="B216:C218"/>
    <mergeCell ref="I216:I218"/>
    <mergeCell ref="A220:A222"/>
    <mergeCell ref="B220:B222"/>
    <mergeCell ref="C220:C222"/>
    <mergeCell ref="I220:I222"/>
    <mergeCell ref="A224:A226"/>
    <mergeCell ref="B224:B226"/>
    <mergeCell ref="C224:C226"/>
    <mergeCell ref="H224:H226"/>
    <mergeCell ref="I224:I226"/>
    <mergeCell ref="A228:A230"/>
    <mergeCell ref="B228:B230"/>
    <mergeCell ref="C228:C230"/>
    <mergeCell ref="I228:I230"/>
    <mergeCell ref="D240:D242"/>
    <mergeCell ref="E240:E242"/>
    <mergeCell ref="F240:F242"/>
    <mergeCell ref="A232:A234"/>
    <mergeCell ref="B232:C234"/>
    <mergeCell ref="I232:I234"/>
    <mergeCell ref="A236:A238"/>
    <mergeCell ref="B236:B238"/>
    <mergeCell ref="C236:C238"/>
    <mergeCell ref="I236:I238"/>
    <mergeCell ref="G240:G242"/>
    <mergeCell ref="I240:I242"/>
    <mergeCell ref="A244:A246"/>
    <mergeCell ref="B244:B246"/>
    <mergeCell ref="C244:C246"/>
    <mergeCell ref="H244:H246"/>
    <mergeCell ref="I244:I246"/>
    <mergeCell ref="A240:A242"/>
    <mergeCell ref="B240:B242"/>
    <mergeCell ref="C240:C242"/>
    <mergeCell ref="A248:A250"/>
    <mergeCell ref="B248:B250"/>
    <mergeCell ref="C248:C250"/>
    <mergeCell ref="I248:I250"/>
    <mergeCell ref="A252:A254"/>
    <mergeCell ref="B252:C254"/>
    <mergeCell ref="I252:I254"/>
    <mergeCell ref="A256:A258"/>
    <mergeCell ref="B256:B258"/>
    <mergeCell ref="C256:C258"/>
    <mergeCell ref="I256:I258"/>
    <mergeCell ref="A260:A262"/>
    <mergeCell ref="B260:B262"/>
    <mergeCell ref="C260:C262"/>
    <mergeCell ref="D260:D262"/>
    <mergeCell ref="E260:E262"/>
    <mergeCell ref="F260:F262"/>
    <mergeCell ref="G276:G278"/>
    <mergeCell ref="I276:I278"/>
    <mergeCell ref="G260:G262"/>
    <mergeCell ref="I260:I262"/>
    <mergeCell ref="A264:A266"/>
    <mergeCell ref="B264:B266"/>
    <mergeCell ref="C264:C266"/>
    <mergeCell ref="I264:I266"/>
    <mergeCell ref="A268:A270"/>
    <mergeCell ref="B268:C270"/>
    <mergeCell ref="I268:I270"/>
    <mergeCell ref="A272:A274"/>
    <mergeCell ref="B272:B274"/>
    <mergeCell ref="C272:C274"/>
    <mergeCell ref="I272:I274"/>
    <mergeCell ref="A280:A282"/>
    <mergeCell ref="B280:B282"/>
    <mergeCell ref="C280:C282"/>
    <mergeCell ref="I280:I282"/>
    <mergeCell ref="A276:A278"/>
    <mergeCell ref="B276:B278"/>
    <mergeCell ref="C276:C278"/>
    <mergeCell ref="D276:D278"/>
    <mergeCell ref="E276:E278"/>
    <mergeCell ref="F276:F278"/>
    <mergeCell ref="A284:A286"/>
    <mergeCell ref="B284:C286"/>
    <mergeCell ref="I284:I286"/>
    <mergeCell ref="A288:A290"/>
    <mergeCell ref="B288:B290"/>
    <mergeCell ref="C288:C290"/>
    <mergeCell ref="I288:I290"/>
    <mergeCell ref="D300:D302"/>
    <mergeCell ref="E300:E302"/>
    <mergeCell ref="F300:F302"/>
    <mergeCell ref="A292:A294"/>
    <mergeCell ref="B292:C294"/>
    <mergeCell ref="I292:I294"/>
    <mergeCell ref="A296:A298"/>
    <mergeCell ref="B296:B298"/>
    <mergeCell ref="C296:C298"/>
    <mergeCell ref="I296:I298"/>
    <mergeCell ref="G300:G302"/>
    <mergeCell ref="I300:I302"/>
    <mergeCell ref="A304:A306"/>
    <mergeCell ref="B304:B306"/>
    <mergeCell ref="C304:C306"/>
    <mergeCell ref="H304:H306"/>
    <mergeCell ref="I304:I306"/>
    <mergeCell ref="A300:A302"/>
    <mergeCell ref="B300:B302"/>
    <mergeCell ref="C300:C302"/>
    <mergeCell ref="A308:A310"/>
    <mergeCell ref="B308:B310"/>
    <mergeCell ref="C308:C310"/>
    <mergeCell ref="I308:I310"/>
    <mergeCell ref="A312:A314"/>
    <mergeCell ref="B312:C314"/>
    <mergeCell ref="I312:I314"/>
    <mergeCell ref="A316:A318"/>
    <mergeCell ref="B316:B318"/>
    <mergeCell ref="C316:C318"/>
    <mergeCell ref="I316:I318"/>
    <mergeCell ref="A320:A322"/>
    <mergeCell ref="B320:B322"/>
    <mergeCell ref="C320:C322"/>
    <mergeCell ref="I320:I322"/>
    <mergeCell ref="A324:A326"/>
    <mergeCell ref="B324:C326"/>
    <mergeCell ref="I324:I326"/>
    <mergeCell ref="A328:A330"/>
    <mergeCell ref="B328:B330"/>
    <mergeCell ref="C328:C330"/>
    <mergeCell ref="I328:I330"/>
    <mergeCell ref="I340:I342"/>
    <mergeCell ref="I344:I346"/>
    <mergeCell ref="I348:I350"/>
    <mergeCell ref="I352:I354"/>
    <mergeCell ref="A332:A334"/>
    <mergeCell ref="B332:B334"/>
    <mergeCell ref="C332:C334"/>
    <mergeCell ref="H332:H334"/>
    <mergeCell ref="I332:I334"/>
    <mergeCell ref="I336:I338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Krzysztof Ryszewski</cp:lastModifiedBy>
  <cp:lastPrinted>2017-02-15T13:27:45Z</cp:lastPrinted>
  <dcterms:created xsi:type="dcterms:W3CDTF">2010-11-02T12:16:55Z</dcterms:created>
  <dcterms:modified xsi:type="dcterms:W3CDTF">2017-02-15T13:28:14Z</dcterms:modified>
  <cp:category/>
  <cp:version/>
  <cp:contentType/>
  <cp:contentStatus/>
</cp:coreProperties>
</file>