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kt budżetu na 2022 r\Do Sejmiku\"/>
    </mc:Choice>
  </mc:AlternateContent>
  <xr:revisionPtr revIDLastSave="0" documentId="13_ncr:1_{2478CBC7-53E2-4D74-B6F9-92DCD3BFEF49}" xr6:coauthVersionLast="47" xr6:coauthVersionMax="47" xr10:uidLastSave="{00000000-0000-0000-0000-000000000000}"/>
  <bookViews>
    <workbookView xWindow="-120" yWindow="-120" windowWidth="29040" windowHeight="15840" tabRatio="889" activeTab="14" xr2:uid="{00000000-000D-0000-FFFF-FFFF00000000}"/>
  </bookViews>
  <sheets>
    <sheet name="zał.1" sheetId="147" r:id="rId1"/>
    <sheet name="zał.2" sheetId="159" r:id="rId2"/>
    <sheet name="zał.3 " sheetId="161" r:id="rId3"/>
    <sheet name="zał.4" sheetId="162" r:id="rId4"/>
    <sheet name="zał.5" sheetId="163" r:id="rId5"/>
    <sheet name="zał.6" sheetId="164" r:id="rId6"/>
    <sheet name="zał.7" sheetId="165" r:id="rId7"/>
    <sheet name="zał.8" sheetId="166" r:id="rId8"/>
    <sheet name="zał.9" sheetId="167" r:id="rId9"/>
    <sheet name="zał.10" sheetId="158" r:id="rId10"/>
    <sheet name="zał.11A" sheetId="168" r:id="rId11"/>
    <sheet name="zał.11B" sheetId="169" r:id="rId12"/>
    <sheet name="zał.12" sheetId="170" r:id="rId13"/>
    <sheet name="zał.13" sheetId="171" r:id="rId14"/>
    <sheet name="zał.14" sheetId="172" r:id="rId15"/>
  </sheets>
  <definedNames>
    <definedName name="_xlnm.Print_Area" localSheetId="0">zał.1!$A$1:$P$46</definedName>
    <definedName name="_xlnm.Print_Area" localSheetId="9">zał.10!$A$1:$E$131</definedName>
    <definedName name="_xlnm.Print_Area" localSheetId="13">zał.13!$A$1:$F$35</definedName>
    <definedName name="_xlnm.Print_Area" localSheetId="1">zał.2!$A$1:$D$232</definedName>
    <definedName name="_xlnm.Print_Area" localSheetId="3">zał.4!$A$1:$D$1595</definedName>
    <definedName name="_xlnm.Print_Area" localSheetId="4">zał.5!$A$1:$D$64</definedName>
    <definedName name="_xlnm.Print_Titles" localSheetId="0">zał.1!$7:$11</definedName>
    <definedName name="_xlnm.Print_Titles" localSheetId="9">zał.10!$9:$10</definedName>
    <definedName name="_xlnm.Print_Titles" localSheetId="10">zał.11A!$9:$11</definedName>
    <definedName name="_xlnm.Print_Titles" localSheetId="12">zał.12!$13:$15</definedName>
    <definedName name="_xlnm.Print_Titles" localSheetId="13">zał.13!$12:$14</definedName>
    <definedName name="_xlnm.Print_Titles" localSheetId="14">zał.14!$9:$11</definedName>
    <definedName name="_xlnm.Print_Titles" localSheetId="1">zał.2!$8:$9</definedName>
    <definedName name="_xlnm.Print_Titles" localSheetId="2">'zał.3 '!$9:$13</definedName>
    <definedName name="_xlnm.Print_Titles" localSheetId="3">zał.4!$8:$9</definedName>
    <definedName name="_xlnm.Print_Titles" localSheetId="5">zał.6!$7:$13</definedName>
    <definedName name="_xlnm.Print_Titles" localSheetId="6">zał.7!$7:$13</definedName>
    <definedName name="_xlnm.Print_Titles" localSheetId="7">zał.8!$9:$13</definedName>
    <definedName name="_xlnm.Print_Titles" localSheetId="8">zał.9!$7:$10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72" l="1"/>
  <c r="G25" i="172"/>
  <c r="F25" i="172"/>
  <c r="E25" i="172"/>
  <c r="D25" i="172"/>
  <c r="G22" i="172"/>
  <c r="F22" i="172"/>
  <c r="E22" i="172"/>
  <c r="D22" i="172"/>
  <c r="G21" i="172"/>
  <c r="G20" i="172"/>
  <c r="G19" i="172"/>
  <c r="G18" i="172"/>
  <c r="G15" i="172"/>
  <c r="F15" i="172"/>
  <c r="E15" i="172"/>
  <c r="D15" i="172"/>
  <c r="D29" i="172" s="1"/>
  <c r="G14" i="172"/>
  <c r="G13" i="172"/>
  <c r="G12" i="172"/>
  <c r="G29" i="172" s="1"/>
  <c r="E29" i="172" l="1"/>
  <c r="F29" i="172"/>
  <c r="F15" i="171"/>
  <c r="E15" i="171"/>
  <c r="F16" i="170"/>
  <c r="E16" i="170"/>
  <c r="D33" i="169"/>
  <c r="D31" i="169" s="1"/>
  <c r="D29" i="169" s="1"/>
  <c r="F31" i="169"/>
  <c r="F29" i="169" s="1"/>
  <c r="E31" i="169"/>
  <c r="E29" i="169" s="1"/>
  <c r="D27" i="169"/>
  <c r="D25" i="169" s="1"/>
  <c r="D23" i="169" s="1"/>
  <c r="F25" i="169"/>
  <c r="F23" i="169" s="1"/>
  <c r="E25" i="169"/>
  <c r="E23" i="169"/>
  <c r="D21" i="169"/>
  <c r="D19" i="169" s="1"/>
  <c r="D17" i="169" s="1"/>
  <c r="F19" i="169"/>
  <c r="F17" i="169" s="1"/>
  <c r="E19" i="169"/>
  <c r="E17" i="169" s="1"/>
  <c r="D15" i="169"/>
  <c r="F13" i="169"/>
  <c r="F11" i="169" s="1"/>
  <c r="E13" i="169"/>
  <c r="E11" i="169" s="1"/>
  <c r="D13" i="169"/>
  <c r="D11" i="169" s="1"/>
  <c r="G163" i="168"/>
  <c r="G153" i="168"/>
  <c r="G151" i="168" s="1"/>
  <c r="D153" i="168"/>
  <c r="D151" i="168" s="1"/>
  <c r="G147" i="168"/>
  <c r="G145" i="168" s="1"/>
  <c r="D147" i="168"/>
  <c r="D145" i="168" s="1"/>
  <c r="G141" i="168"/>
  <c r="G139" i="168" s="1"/>
  <c r="D141" i="168"/>
  <c r="D139" i="168" s="1"/>
  <c r="G135" i="168"/>
  <c r="G133" i="168" s="1"/>
  <c r="D135" i="168"/>
  <c r="D133" i="168" s="1"/>
  <c r="G129" i="168"/>
  <c r="G127" i="168"/>
  <c r="D125" i="168"/>
  <c r="G121" i="168"/>
  <c r="D121" i="168"/>
  <c r="G111" i="168"/>
  <c r="G109" i="168" s="1"/>
  <c r="G107" i="168" s="1"/>
  <c r="D111" i="168"/>
  <c r="D109" i="168" s="1"/>
  <c r="D107" i="168" s="1"/>
  <c r="G103" i="168"/>
  <c r="G101" i="168" s="1"/>
  <c r="D103" i="168"/>
  <c r="D101" i="168" s="1"/>
  <c r="G97" i="168"/>
  <c r="G95" i="168" s="1"/>
  <c r="D97" i="168"/>
  <c r="D95" i="168" s="1"/>
  <c r="G91" i="168"/>
  <c r="D91" i="168"/>
  <c r="D89" i="168" s="1"/>
  <c r="G89" i="168"/>
  <c r="G83" i="168"/>
  <c r="G81" i="168" s="1"/>
  <c r="G79" i="168" s="1"/>
  <c r="D83" i="168"/>
  <c r="D81" i="168" s="1"/>
  <c r="D79" i="168" s="1"/>
  <c r="G77" i="168"/>
  <c r="G161" i="168" s="1"/>
  <c r="G75" i="168"/>
  <c r="D73" i="168"/>
  <c r="D71" i="168"/>
  <c r="D69" i="168" s="1"/>
  <c r="G65" i="168"/>
  <c r="G63" i="168" s="1"/>
  <c r="D65" i="168"/>
  <c r="D63" i="168" s="1"/>
  <c r="G59" i="168"/>
  <c r="G57" i="168" s="1"/>
  <c r="D59" i="168"/>
  <c r="D57" i="168" s="1"/>
  <c r="G51" i="168"/>
  <c r="G49" i="168" s="1"/>
  <c r="G47" i="168" s="1"/>
  <c r="D51" i="168"/>
  <c r="D49" i="168" s="1"/>
  <c r="D47" i="168" s="1"/>
  <c r="G41" i="168"/>
  <c r="G39" i="168" s="1"/>
  <c r="D41" i="168"/>
  <c r="D39" i="168" s="1"/>
  <c r="G35" i="168"/>
  <c r="G33" i="168" s="1"/>
  <c r="D35" i="168"/>
  <c r="D33" i="168" s="1"/>
  <c r="G27" i="168"/>
  <c r="G25" i="168" s="1"/>
  <c r="G23" i="168" s="1"/>
  <c r="D27" i="168"/>
  <c r="D25" i="168" s="1"/>
  <c r="D23" i="168" s="1"/>
  <c r="G19" i="168"/>
  <c r="G17" i="168" s="1"/>
  <c r="G15" i="168" s="1"/>
  <c r="D19" i="168"/>
  <c r="D17" i="168" s="1"/>
  <c r="D15" i="168" s="1"/>
  <c r="K218" i="167"/>
  <c r="H218" i="167"/>
  <c r="K217" i="167"/>
  <c r="H217" i="167"/>
  <c r="K216" i="167"/>
  <c r="G216" i="167" s="1"/>
  <c r="H216" i="167"/>
  <c r="K215" i="167"/>
  <c r="H215" i="167"/>
  <c r="G215" i="167"/>
  <c r="K214" i="167"/>
  <c r="G214" i="167" s="1"/>
  <c r="H214" i="167"/>
  <c r="K213" i="167"/>
  <c r="H213" i="167"/>
  <c r="K212" i="167"/>
  <c r="H212" i="167"/>
  <c r="G212" i="167" s="1"/>
  <c r="K211" i="167"/>
  <c r="H211" i="167"/>
  <c r="G211" i="167" s="1"/>
  <c r="K210" i="167"/>
  <c r="G210" i="167" s="1"/>
  <c r="H210" i="167"/>
  <c r="K209" i="167"/>
  <c r="H209" i="167"/>
  <c r="G209" i="167" s="1"/>
  <c r="K208" i="167"/>
  <c r="H208" i="167"/>
  <c r="G208" i="167"/>
  <c r="K207" i="167"/>
  <c r="H207" i="167"/>
  <c r="G207" i="167" s="1"/>
  <c r="K206" i="167"/>
  <c r="H206" i="167"/>
  <c r="K205" i="167"/>
  <c r="H205" i="167"/>
  <c r="K204" i="167"/>
  <c r="G204" i="167" s="1"/>
  <c r="H204" i="167"/>
  <c r="K203" i="167"/>
  <c r="H203" i="167"/>
  <c r="G203" i="167" s="1"/>
  <c r="K202" i="167"/>
  <c r="H202" i="167"/>
  <c r="K201" i="167"/>
  <c r="H201" i="167"/>
  <c r="K200" i="167"/>
  <c r="H200" i="167"/>
  <c r="G200" i="167" s="1"/>
  <c r="K199" i="167"/>
  <c r="H199" i="167"/>
  <c r="G199" i="167"/>
  <c r="K198" i="167"/>
  <c r="G198" i="167" s="1"/>
  <c r="H198" i="167"/>
  <c r="K197" i="167"/>
  <c r="H197" i="167"/>
  <c r="K196" i="167"/>
  <c r="H196" i="167"/>
  <c r="G196" i="167"/>
  <c r="K195" i="167"/>
  <c r="H195" i="167"/>
  <c r="G195" i="167" s="1"/>
  <c r="K194" i="167"/>
  <c r="G194" i="167" s="1"/>
  <c r="H194" i="167"/>
  <c r="K193" i="167"/>
  <c r="H193" i="167"/>
  <c r="G193" i="167" s="1"/>
  <c r="K192" i="167"/>
  <c r="H192" i="167"/>
  <c r="G192" i="167"/>
  <c r="K191" i="167"/>
  <c r="H191" i="167"/>
  <c r="G191" i="167" s="1"/>
  <c r="K190" i="167"/>
  <c r="H190" i="167"/>
  <c r="K189" i="167"/>
  <c r="H189" i="167"/>
  <c r="G189" i="167" s="1"/>
  <c r="K188" i="167"/>
  <c r="G188" i="167" s="1"/>
  <c r="H188" i="167"/>
  <c r="K187" i="167"/>
  <c r="H187" i="167"/>
  <c r="K186" i="167"/>
  <c r="H186" i="167"/>
  <c r="G186" i="167"/>
  <c r="K185" i="167"/>
  <c r="H185" i="167"/>
  <c r="G185" i="167" s="1"/>
  <c r="K184" i="167"/>
  <c r="H184" i="167"/>
  <c r="G184" i="167" s="1"/>
  <c r="K183" i="167"/>
  <c r="H183" i="167"/>
  <c r="G183" i="167"/>
  <c r="K182" i="167"/>
  <c r="H182" i="167"/>
  <c r="G182" i="167"/>
  <c r="K181" i="167"/>
  <c r="H181" i="167"/>
  <c r="K180" i="167"/>
  <c r="H180" i="167"/>
  <c r="G180" i="167" s="1"/>
  <c r="K179" i="167"/>
  <c r="H179" i="167"/>
  <c r="G179" i="167"/>
  <c r="K178" i="167"/>
  <c r="H178" i="167"/>
  <c r="K177" i="167"/>
  <c r="H177" i="167"/>
  <c r="G177" i="167" s="1"/>
  <c r="K176" i="167"/>
  <c r="H176" i="167"/>
  <c r="G176" i="167"/>
  <c r="K175" i="167"/>
  <c r="G175" i="167" s="1"/>
  <c r="H175" i="167"/>
  <c r="K174" i="167"/>
  <c r="G174" i="167" s="1"/>
  <c r="H174" i="167"/>
  <c r="K173" i="167"/>
  <c r="H173" i="167"/>
  <c r="G173" i="167" s="1"/>
  <c r="K172" i="167"/>
  <c r="H172" i="167"/>
  <c r="K171" i="167"/>
  <c r="H171" i="167"/>
  <c r="G171" i="167" s="1"/>
  <c r="K170" i="167"/>
  <c r="H170" i="167"/>
  <c r="G170" i="167"/>
  <c r="K169" i="167"/>
  <c r="H169" i="167"/>
  <c r="G169" i="167" s="1"/>
  <c r="K168" i="167"/>
  <c r="H168" i="167"/>
  <c r="K167" i="167"/>
  <c r="H167" i="167"/>
  <c r="G167" i="167" s="1"/>
  <c r="K166" i="167"/>
  <c r="H166" i="167"/>
  <c r="G166" i="167"/>
  <c r="K165" i="167"/>
  <c r="H165" i="167"/>
  <c r="K164" i="167"/>
  <c r="H164" i="167"/>
  <c r="G164" i="167" s="1"/>
  <c r="K163" i="167"/>
  <c r="H163" i="167"/>
  <c r="G163" i="167"/>
  <c r="K162" i="167"/>
  <c r="G162" i="167" s="1"/>
  <c r="H162" i="167"/>
  <c r="K161" i="167"/>
  <c r="H161" i="167"/>
  <c r="K160" i="167"/>
  <c r="H160" i="167"/>
  <c r="G160" i="167" s="1"/>
  <c r="K159" i="167"/>
  <c r="H159" i="167"/>
  <c r="G159" i="167" s="1"/>
  <c r="K158" i="167"/>
  <c r="G158" i="167" s="1"/>
  <c r="H158" i="167"/>
  <c r="K157" i="167"/>
  <c r="H157" i="167"/>
  <c r="G157" i="167" s="1"/>
  <c r="K156" i="167"/>
  <c r="H156" i="167"/>
  <c r="K155" i="167"/>
  <c r="H155" i="167"/>
  <c r="K154" i="167"/>
  <c r="G154" i="167" s="1"/>
  <c r="H154" i="167"/>
  <c r="K153" i="167"/>
  <c r="H153" i="167"/>
  <c r="G153" i="167" s="1"/>
  <c r="K152" i="167"/>
  <c r="H152" i="167"/>
  <c r="G152" i="167" s="1"/>
  <c r="K151" i="167"/>
  <c r="H151" i="167"/>
  <c r="G151" i="167" s="1"/>
  <c r="K150" i="167"/>
  <c r="H150" i="167"/>
  <c r="G150" i="167"/>
  <c r="K149" i="167"/>
  <c r="H149" i="167"/>
  <c r="K148" i="167"/>
  <c r="H148" i="167"/>
  <c r="G148" i="167" s="1"/>
  <c r="K147" i="167"/>
  <c r="H147" i="167"/>
  <c r="G147" i="167"/>
  <c r="K146" i="167"/>
  <c r="H146" i="167"/>
  <c r="K145" i="167"/>
  <c r="H145" i="167"/>
  <c r="G145" i="167" s="1"/>
  <c r="M143" i="167"/>
  <c r="L143" i="167"/>
  <c r="K143" i="167" s="1"/>
  <c r="J143" i="167"/>
  <c r="I143" i="167"/>
  <c r="H143" i="167"/>
  <c r="G143" i="167" s="1"/>
  <c r="K141" i="167"/>
  <c r="G141" i="167" s="1"/>
  <c r="H141" i="167"/>
  <c r="M139" i="167"/>
  <c r="L139" i="167"/>
  <c r="J139" i="167"/>
  <c r="I139" i="167"/>
  <c r="H139" i="167" s="1"/>
  <c r="K137" i="167"/>
  <c r="H137" i="167"/>
  <c r="G137" i="167" s="1"/>
  <c r="K136" i="167"/>
  <c r="H136" i="167"/>
  <c r="G136" i="167" s="1"/>
  <c r="M134" i="167"/>
  <c r="L134" i="167"/>
  <c r="K134" i="167"/>
  <c r="J134" i="167"/>
  <c r="H134" i="167" s="1"/>
  <c r="G134" i="167" s="1"/>
  <c r="I134" i="167"/>
  <c r="K132" i="167"/>
  <c r="H132" i="167"/>
  <c r="G132" i="167"/>
  <c r="K131" i="167"/>
  <c r="J131" i="167"/>
  <c r="H131" i="167" s="1"/>
  <c r="G131" i="167" s="1"/>
  <c r="I131" i="167"/>
  <c r="K130" i="167"/>
  <c r="I130" i="167"/>
  <c r="H130" i="167"/>
  <c r="G130" i="167"/>
  <c r="K129" i="167"/>
  <c r="J129" i="167"/>
  <c r="I129" i="167"/>
  <c r="H129" i="167" s="1"/>
  <c r="G129" i="167" s="1"/>
  <c r="K128" i="167"/>
  <c r="H128" i="167"/>
  <c r="G128" i="167"/>
  <c r="K127" i="167"/>
  <c r="H127" i="167"/>
  <c r="G127" i="167" s="1"/>
  <c r="K126" i="167"/>
  <c r="H126" i="167"/>
  <c r="K125" i="167"/>
  <c r="H125" i="167"/>
  <c r="G125" i="167"/>
  <c r="K124" i="167"/>
  <c r="H124" i="167"/>
  <c r="G124" i="167" s="1"/>
  <c r="K123" i="167"/>
  <c r="G123" i="167" s="1"/>
  <c r="H123" i="167"/>
  <c r="K122" i="167"/>
  <c r="H122" i="167"/>
  <c r="K121" i="167"/>
  <c r="H121" i="167"/>
  <c r="G121" i="167"/>
  <c r="K120" i="167"/>
  <c r="H120" i="167"/>
  <c r="G120" i="167" s="1"/>
  <c r="K119" i="167"/>
  <c r="G119" i="167" s="1"/>
  <c r="H119" i="167"/>
  <c r="K118" i="167"/>
  <c r="J118" i="167"/>
  <c r="I118" i="167"/>
  <c r="K117" i="167"/>
  <c r="H117" i="167"/>
  <c r="K116" i="167"/>
  <c r="J116" i="167"/>
  <c r="H116" i="167" s="1"/>
  <c r="G116" i="167" s="1"/>
  <c r="K115" i="167"/>
  <c r="H115" i="167"/>
  <c r="G115" i="167" s="1"/>
  <c r="K114" i="167"/>
  <c r="H114" i="167"/>
  <c r="K113" i="167"/>
  <c r="H113" i="167"/>
  <c r="G113" i="167" s="1"/>
  <c r="K112" i="167"/>
  <c r="H112" i="167"/>
  <c r="G112" i="167"/>
  <c r="K111" i="167"/>
  <c r="H111" i="167"/>
  <c r="K110" i="167"/>
  <c r="J110" i="167"/>
  <c r="H110" i="167"/>
  <c r="K109" i="167"/>
  <c r="J109" i="167"/>
  <c r="I109" i="167"/>
  <c r="H109" i="167" s="1"/>
  <c r="G109" i="167"/>
  <c r="M108" i="167"/>
  <c r="M79" i="167" s="1"/>
  <c r="L108" i="167"/>
  <c r="K108" i="167" s="1"/>
  <c r="G108" i="167" s="1"/>
  <c r="H108" i="167"/>
  <c r="K107" i="167"/>
  <c r="H107" i="167"/>
  <c r="G107" i="167"/>
  <c r="K106" i="167"/>
  <c r="H106" i="167"/>
  <c r="K105" i="167"/>
  <c r="H105" i="167"/>
  <c r="G105" i="167" s="1"/>
  <c r="K104" i="167"/>
  <c r="J104" i="167"/>
  <c r="I104" i="167"/>
  <c r="H104" i="167"/>
  <c r="G104" i="167" s="1"/>
  <c r="K103" i="167"/>
  <c r="J103" i="167"/>
  <c r="J79" i="167" s="1"/>
  <c r="J77" i="167" s="1"/>
  <c r="I103" i="167"/>
  <c r="K102" i="167"/>
  <c r="H102" i="167"/>
  <c r="G102" i="167" s="1"/>
  <c r="K101" i="167"/>
  <c r="H101" i="167"/>
  <c r="G101" i="167" s="1"/>
  <c r="K100" i="167"/>
  <c r="H100" i="167"/>
  <c r="G100" i="167" s="1"/>
  <c r="K99" i="167"/>
  <c r="J99" i="167"/>
  <c r="I99" i="167"/>
  <c r="H99" i="167"/>
  <c r="G99" i="167" s="1"/>
  <c r="K98" i="167"/>
  <c r="G98" i="167" s="1"/>
  <c r="H98" i="167"/>
  <c r="K97" i="167"/>
  <c r="H97" i="167"/>
  <c r="G97" i="167" s="1"/>
  <c r="K96" i="167"/>
  <c r="H96" i="167"/>
  <c r="K95" i="167"/>
  <c r="G95" i="167" s="1"/>
  <c r="H95" i="167"/>
  <c r="K94" i="167"/>
  <c r="H94" i="167"/>
  <c r="G94" i="167"/>
  <c r="K93" i="167"/>
  <c r="H93" i="167"/>
  <c r="K92" i="167"/>
  <c r="H92" i="167"/>
  <c r="K91" i="167"/>
  <c r="I91" i="167"/>
  <c r="H91" i="167"/>
  <c r="K90" i="167"/>
  <c r="H90" i="167"/>
  <c r="K89" i="167"/>
  <c r="H89" i="167"/>
  <c r="G89" i="167" s="1"/>
  <c r="K88" i="167"/>
  <c r="H88" i="167"/>
  <c r="G88" i="167" s="1"/>
  <c r="K87" i="167"/>
  <c r="H87" i="167"/>
  <c r="G87" i="167" s="1"/>
  <c r="K86" i="167"/>
  <c r="H86" i="167"/>
  <c r="G86" i="167" s="1"/>
  <c r="K85" i="167"/>
  <c r="G85" i="167" s="1"/>
  <c r="H85" i="167"/>
  <c r="K84" i="167"/>
  <c r="J84" i="167"/>
  <c r="H84" i="167"/>
  <c r="G84" i="167"/>
  <c r="K83" i="167"/>
  <c r="H83" i="167"/>
  <c r="G83" i="167" s="1"/>
  <c r="K82" i="167"/>
  <c r="H82" i="167"/>
  <c r="K81" i="167"/>
  <c r="H81" i="167"/>
  <c r="G81" i="167"/>
  <c r="K75" i="167"/>
  <c r="H75" i="167"/>
  <c r="G75" i="167" s="1"/>
  <c r="M74" i="167"/>
  <c r="L74" i="167"/>
  <c r="K74" i="167" s="1"/>
  <c r="J74" i="167"/>
  <c r="I74" i="167"/>
  <c r="H74" i="167"/>
  <c r="G74" i="167" s="1"/>
  <c r="K73" i="167"/>
  <c r="G73" i="167" s="1"/>
  <c r="H73" i="167"/>
  <c r="M72" i="167"/>
  <c r="K72" i="167" s="1"/>
  <c r="L72" i="167"/>
  <c r="J72" i="167"/>
  <c r="I72" i="167"/>
  <c r="H72" i="167" s="1"/>
  <c r="K71" i="167"/>
  <c r="H71" i="167"/>
  <c r="G71" i="167" s="1"/>
  <c r="K70" i="167"/>
  <c r="H70" i="167"/>
  <c r="G70" i="167" s="1"/>
  <c r="M69" i="167"/>
  <c r="L69" i="167"/>
  <c r="K69" i="167"/>
  <c r="J69" i="167"/>
  <c r="H69" i="167" s="1"/>
  <c r="G69" i="167" s="1"/>
  <c r="I69" i="167"/>
  <c r="K68" i="167"/>
  <c r="H68" i="167"/>
  <c r="G68" i="167" s="1"/>
  <c r="H67" i="167"/>
  <c r="G67" i="167" s="1"/>
  <c r="H66" i="167"/>
  <c r="G66" i="167" s="1"/>
  <c r="M65" i="167"/>
  <c r="M64" i="167" s="1"/>
  <c r="K64" i="167" s="1"/>
  <c r="L65" i="167"/>
  <c r="J65" i="167"/>
  <c r="J64" i="167" s="1"/>
  <c r="I65" i="167"/>
  <c r="H65" i="167" s="1"/>
  <c r="L64" i="167"/>
  <c r="I64" i="167"/>
  <c r="H64" i="167" s="1"/>
  <c r="G64" i="167" s="1"/>
  <c r="H63" i="167"/>
  <c r="G63" i="167"/>
  <c r="H62" i="167"/>
  <c r="G62" i="167" s="1"/>
  <c r="M61" i="167"/>
  <c r="L61" i="167"/>
  <c r="L60" i="167" s="1"/>
  <c r="J61" i="167"/>
  <c r="J60" i="167" s="1"/>
  <c r="I61" i="167"/>
  <c r="I60" i="167" s="1"/>
  <c r="M60" i="167"/>
  <c r="K59" i="167"/>
  <c r="H59" i="167"/>
  <c r="G59" i="167" s="1"/>
  <c r="M58" i="167"/>
  <c r="L58" i="167"/>
  <c r="K58" i="167" s="1"/>
  <c r="J58" i="167"/>
  <c r="I58" i="167"/>
  <c r="H58" i="167" s="1"/>
  <c r="G58" i="167" s="1"/>
  <c r="K57" i="167"/>
  <c r="H57" i="167"/>
  <c r="G57" i="167"/>
  <c r="K56" i="167"/>
  <c r="H56" i="167"/>
  <c r="M55" i="167"/>
  <c r="L55" i="167"/>
  <c r="K55" i="167" s="1"/>
  <c r="J55" i="167"/>
  <c r="I55" i="167"/>
  <c r="K54" i="167"/>
  <c r="H54" i="167"/>
  <c r="G54" i="167" s="1"/>
  <c r="M53" i="167"/>
  <c r="L53" i="167"/>
  <c r="K53" i="167" s="1"/>
  <c r="G53" i="167" s="1"/>
  <c r="J53" i="167"/>
  <c r="I53" i="167"/>
  <c r="H53" i="167"/>
  <c r="K52" i="167"/>
  <c r="G52" i="167" s="1"/>
  <c r="H52" i="167"/>
  <c r="M51" i="167"/>
  <c r="L51" i="167"/>
  <c r="J51" i="167"/>
  <c r="I51" i="167"/>
  <c r="H51" i="167"/>
  <c r="H50" i="167"/>
  <c r="G50" i="167" s="1"/>
  <c r="H49" i="167"/>
  <c r="G49" i="167" s="1"/>
  <c r="M48" i="167"/>
  <c r="M47" i="167" s="1"/>
  <c r="L48" i="167"/>
  <c r="J48" i="167"/>
  <c r="I48" i="167"/>
  <c r="I47" i="167" s="1"/>
  <c r="H47" i="167" s="1"/>
  <c r="L47" i="167"/>
  <c r="K47" i="167"/>
  <c r="J47" i="167"/>
  <c r="K46" i="167"/>
  <c r="G46" i="167" s="1"/>
  <c r="H46" i="167"/>
  <c r="M45" i="167"/>
  <c r="L45" i="167"/>
  <c r="K45" i="167" s="1"/>
  <c r="J45" i="167"/>
  <c r="I45" i="167"/>
  <c r="H45" i="167"/>
  <c r="K44" i="167"/>
  <c r="H44" i="167"/>
  <c r="M43" i="167"/>
  <c r="L43" i="167"/>
  <c r="K43" i="167" s="1"/>
  <c r="J43" i="167"/>
  <c r="I43" i="167"/>
  <c r="H43" i="167"/>
  <c r="K42" i="167"/>
  <c r="G42" i="167" s="1"/>
  <c r="H42" i="167"/>
  <c r="M41" i="167"/>
  <c r="L41" i="167"/>
  <c r="K41" i="167" s="1"/>
  <c r="J41" i="167"/>
  <c r="I41" i="167"/>
  <c r="H41" i="167" s="1"/>
  <c r="G41" i="167" s="1"/>
  <c r="K40" i="167"/>
  <c r="H40" i="167"/>
  <c r="G40" i="167" s="1"/>
  <c r="M39" i="167"/>
  <c r="K39" i="167" s="1"/>
  <c r="L39" i="167"/>
  <c r="J39" i="167"/>
  <c r="H39" i="167" s="1"/>
  <c r="I39" i="167"/>
  <c r="K38" i="167"/>
  <c r="H38" i="167"/>
  <c r="M37" i="167"/>
  <c r="L37" i="167"/>
  <c r="K37" i="167" s="1"/>
  <c r="J37" i="167"/>
  <c r="I37" i="167"/>
  <c r="H37" i="167"/>
  <c r="K36" i="167"/>
  <c r="H36" i="167"/>
  <c r="M35" i="167"/>
  <c r="L35" i="167"/>
  <c r="J35" i="167"/>
  <c r="I35" i="167"/>
  <c r="H35" i="167" s="1"/>
  <c r="K34" i="167"/>
  <c r="H34" i="167"/>
  <c r="G34" i="167"/>
  <c r="K33" i="167"/>
  <c r="H33" i="167"/>
  <c r="M32" i="167"/>
  <c r="L32" i="167"/>
  <c r="J32" i="167"/>
  <c r="I32" i="167"/>
  <c r="H32" i="167" s="1"/>
  <c r="K26" i="167"/>
  <c r="H26" i="167"/>
  <c r="K25" i="167"/>
  <c r="G25" i="167" s="1"/>
  <c r="H25" i="167"/>
  <c r="K24" i="167"/>
  <c r="H24" i="167"/>
  <c r="G24" i="167"/>
  <c r="K23" i="167"/>
  <c r="G23" i="167" s="1"/>
  <c r="H23" i="167"/>
  <c r="K22" i="167"/>
  <c r="H22" i="167"/>
  <c r="K21" i="167"/>
  <c r="H21" i="167"/>
  <c r="G21" i="167" s="1"/>
  <c r="K20" i="167"/>
  <c r="H20" i="167"/>
  <c r="G20" i="167" s="1"/>
  <c r="K19" i="167"/>
  <c r="G19" i="167" s="1"/>
  <c r="H19" i="167"/>
  <c r="K18" i="167"/>
  <c r="H18" i="167"/>
  <c r="G18" i="167" s="1"/>
  <c r="K17" i="167"/>
  <c r="H17" i="167"/>
  <c r="K16" i="167"/>
  <c r="H16" i="167"/>
  <c r="M14" i="167"/>
  <c r="K14" i="167" s="1"/>
  <c r="L14" i="167"/>
  <c r="J14" i="167"/>
  <c r="I14" i="167"/>
  <c r="H121" i="166"/>
  <c r="H117" i="166"/>
  <c r="H111" i="166"/>
  <c r="H110" i="166"/>
  <c r="G110" i="166"/>
  <c r="H109" i="166"/>
  <c r="G109" i="166"/>
  <c r="H108" i="166"/>
  <c r="H107" i="166"/>
  <c r="G107" i="166"/>
  <c r="H106" i="166"/>
  <c r="G106" i="166"/>
  <c r="H105" i="166"/>
  <c r="G105" i="166"/>
  <c r="H104" i="166"/>
  <c r="J103" i="166"/>
  <c r="I103" i="166"/>
  <c r="H103" i="166"/>
  <c r="F103" i="166"/>
  <c r="H102" i="166"/>
  <c r="H101" i="166" s="1"/>
  <c r="J101" i="166"/>
  <c r="I101" i="166"/>
  <c r="G101" i="166"/>
  <c r="F101" i="166"/>
  <c r="H100" i="166"/>
  <c r="J99" i="166"/>
  <c r="I99" i="166"/>
  <c r="H99" i="166"/>
  <c r="G99" i="166"/>
  <c r="F99" i="166"/>
  <c r="H98" i="166"/>
  <c r="H97" i="166" s="1"/>
  <c r="G98" i="166"/>
  <c r="J97" i="166"/>
  <c r="I97" i="166"/>
  <c r="G97" i="166"/>
  <c r="F97" i="166"/>
  <c r="H96" i="166"/>
  <c r="G96" i="166"/>
  <c r="G95" i="166" s="1"/>
  <c r="J95" i="166"/>
  <c r="I95" i="166"/>
  <c r="H95" i="166"/>
  <c r="F95" i="166"/>
  <c r="H94" i="166"/>
  <c r="H93" i="166"/>
  <c r="G93" i="166"/>
  <c r="G92" i="166" s="1"/>
  <c r="J92" i="166"/>
  <c r="I92" i="166"/>
  <c r="H92" i="166"/>
  <c r="F92" i="166"/>
  <c r="F113" i="166" s="1"/>
  <c r="H91" i="166"/>
  <c r="G91" i="166"/>
  <c r="H90" i="166"/>
  <c r="H89" i="166"/>
  <c r="G89" i="166"/>
  <c r="H88" i="166"/>
  <c r="H87" i="166"/>
  <c r="H86" i="166"/>
  <c r="H85" i="166"/>
  <c r="H84" i="166"/>
  <c r="H83" i="166"/>
  <c r="H82" i="166"/>
  <c r="H81" i="166"/>
  <c r="H80" i="166"/>
  <c r="H79" i="166"/>
  <c r="G79" i="166"/>
  <c r="H78" i="166"/>
  <c r="H77" i="166"/>
  <c r="H76" i="166"/>
  <c r="H75" i="166"/>
  <c r="H74" i="166"/>
  <c r="G74" i="166"/>
  <c r="H73" i="166"/>
  <c r="H72" i="166"/>
  <c r="G72" i="166"/>
  <c r="H71" i="166"/>
  <c r="J70" i="166"/>
  <c r="I70" i="166"/>
  <c r="F70" i="166"/>
  <c r="H64" i="166"/>
  <c r="H63" i="166" s="1"/>
  <c r="J63" i="166"/>
  <c r="I63" i="166"/>
  <c r="G63" i="166"/>
  <c r="F63" i="166"/>
  <c r="H62" i="166"/>
  <c r="H61" i="166"/>
  <c r="H60" i="166"/>
  <c r="H59" i="166"/>
  <c r="H58" i="166"/>
  <c r="H57" i="166"/>
  <c r="H56" i="166"/>
  <c r="H55" i="166"/>
  <c r="H54" i="166"/>
  <c r="J53" i="166"/>
  <c r="I53" i="166"/>
  <c r="G53" i="166"/>
  <c r="F53" i="166"/>
  <c r="H52" i="166"/>
  <c r="H51" i="166" s="1"/>
  <c r="J51" i="166"/>
  <c r="I51" i="166"/>
  <c r="G51" i="166"/>
  <c r="F51" i="166"/>
  <c r="H50" i="166"/>
  <c r="H49" i="166" s="1"/>
  <c r="J49" i="166"/>
  <c r="I49" i="166"/>
  <c r="G49" i="166"/>
  <c r="F49" i="166"/>
  <c r="H48" i="166"/>
  <c r="H47" i="166" s="1"/>
  <c r="J47" i="166"/>
  <c r="I47" i="166"/>
  <c r="G47" i="166"/>
  <c r="F47" i="166"/>
  <c r="H46" i="166"/>
  <c r="H45" i="166" s="1"/>
  <c r="J45" i="166"/>
  <c r="I45" i="166"/>
  <c r="G45" i="166"/>
  <c r="F45" i="166"/>
  <c r="H44" i="166"/>
  <c r="H43" i="166" s="1"/>
  <c r="J43" i="166"/>
  <c r="I43" i="166"/>
  <c r="G43" i="166"/>
  <c r="F43" i="166"/>
  <c r="H42" i="166"/>
  <c r="H41" i="166"/>
  <c r="H40" i="166"/>
  <c r="J39" i="166"/>
  <c r="I39" i="166"/>
  <c r="F39" i="166"/>
  <c r="H38" i="166"/>
  <c r="H37" i="166" s="1"/>
  <c r="J37" i="166"/>
  <c r="I37" i="166"/>
  <c r="F37" i="166"/>
  <c r="H36" i="166"/>
  <c r="H35" i="166"/>
  <c r="H34" i="166" s="1"/>
  <c r="J34" i="166"/>
  <c r="I34" i="166"/>
  <c r="F34" i="166"/>
  <c r="H33" i="166"/>
  <c r="H32" i="166"/>
  <c r="H31" i="166"/>
  <c r="H30" i="166"/>
  <c r="H29" i="166"/>
  <c r="H28" i="166"/>
  <c r="H27" i="166"/>
  <c r="H26" i="166"/>
  <c r="H25" i="166"/>
  <c r="H24" i="166"/>
  <c r="H23" i="166"/>
  <c r="H22" i="166"/>
  <c r="J21" i="166"/>
  <c r="I21" i="166"/>
  <c r="F21" i="166"/>
  <c r="H20" i="166"/>
  <c r="H19" i="166" s="1"/>
  <c r="J19" i="166"/>
  <c r="I19" i="166"/>
  <c r="F19" i="166"/>
  <c r="H101" i="165"/>
  <c r="G101" i="165"/>
  <c r="H100" i="165"/>
  <c r="G100" i="165"/>
  <c r="H99" i="165"/>
  <c r="G99" i="165"/>
  <c r="H98" i="165"/>
  <c r="G98" i="165"/>
  <c r="V97" i="165"/>
  <c r="U97" i="165"/>
  <c r="S97" i="165"/>
  <c r="R97" i="165"/>
  <c r="P97" i="165"/>
  <c r="O97" i="165"/>
  <c r="L97" i="165"/>
  <c r="K97" i="165"/>
  <c r="T92" i="165"/>
  <c r="Q92" i="165"/>
  <c r="N92" i="165"/>
  <c r="M92" i="165"/>
  <c r="J92" i="165"/>
  <c r="H92" i="165"/>
  <c r="G92" i="165"/>
  <c r="T87" i="165"/>
  <c r="Q87" i="165"/>
  <c r="N87" i="165"/>
  <c r="M87" i="165" s="1"/>
  <c r="I87" i="165" s="1"/>
  <c r="J87" i="165"/>
  <c r="H87" i="165"/>
  <c r="G87" i="165"/>
  <c r="T82" i="165"/>
  <c r="Q82" i="165"/>
  <c r="N82" i="165"/>
  <c r="M82" i="165"/>
  <c r="I82" i="165" s="1"/>
  <c r="J82" i="165"/>
  <c r="H82" i="165"/>
  <c r="G82" i="165"/>
  <c r="T77" i="165"/>
  <c r="Q77" i="165"/>
  <c r="M77" i="165" s="1"/>
  <c r="I77" i="165" s="1"/>
  <c r="N77" i="165"/>
  <c r="J77" i="165"/>
  <c r="H77" i="165"/>
  <c r="G77" i="165"/>
  <c r="T72" i="165"/>
  <c r="Q72" i="165"/>
  <c r="N72" i="165"/>
  <c r="M72" i="165" s="1"/>
  <c r="I72" i="165" s="1"/>
  <c r="J72" i="165"/>
  <c r="H72" i="165"/>
  <c r="G72" i="165"/>
  <c r="T67" i="165"/>
  <c r="Q67" i="165"/>
  <c r="N67" i="165"/>
  <c r="M67" i="165" s="1"/>
  <c r="I67" i="165" s="1"/>
  <c r="J67" i="165"/>
  <c r="H67" i="165"/>
  <c r="G67" i="165"/>
  <c r="T62" i="165"/>
  <c r="Q62" i="165"/>
  <c r="N62" i="165"/>
  <c r="M62" i="165" s="1"/>
  <c r="I62" i="165" s="1"/>
  <c r="J62" i="165"/>
  <c r="H62" i="165"/>
  <c r="G62" i="165"/>
  <c r="T57" i="165"/>
  <c r="Q57" i="165"/>
  <c r="N57" i="165"/>
  <c r="M57" i="165"/>
  <c r="I57" i="165" s="1"/>
  <c r="J57" i="165"/>
  <c r="H57" i="165"/>
  <c r="G57" i="165"/>
  <c r="T52" i="165"/>
  <c r="Q52" i="165"/>
  <c r="N52" i="165"/>
  <c r="M52" i="165"/>
  <c r="J52" i="165"/>
  <c r="H52" i="165"/>
  <c r="G52" i="165"/>
  <c r="T47" i="165"/>
  <c r="Q47" i="165"/>
  <c r="N47" i="165"/>
  <c r="M47" i="165" s="1"/>
  <c r="I47" i="165" s="1"/>
  <c r="J47" i="165"/>
  <c r="H47" i="165"/>
  <c r="G47" i="165"/>
  <c r="T42" i="165"/>
  <c r="Q42" i="165"/>
  <c r="N42" i="165"/>
  <c r="M42" i="165"/>
  <c r="I42" i="165" s="1"/>
  <c r="J42" i="165"/>
  <c r="H42" i="165"/>
  <c r="G42" i="165"/>
  <c r="T37" i="165"/>
  <c r="Q37" i="165"/>
  <c r="M37" i="165" s="1"/>
  <c r="I37" i="165" s="1"/>
  <c r="N37" i="165"/>
  <c r="J37" i="165"/>
  <c r="H37" i="165"/>
  <c r="G37" i="165"/>
  <c r="T32" i="165"/>
  <c r="Q32" i="165"/>
  <c r="N32" i="165"/>
  <c r="M32" i="165" s="1"/>
  <c r="I32" i="165" s="1"/>
  <c r="J32" i="165"/>
  <c r="H32" i="165"/>
  <c r="G32" i="165"/>
  <c r="T27" i="165"/>
  <c r="Q27" i="165"/>
  <c r="M27" i="165" s="1"/>
  <c r="I27" i="165" s="1"/>
  <c r="N27" i="165"/>
  <c r="J27" i="165"/>
  <c r="H27" i="165"/>
  <c r="G27" i="165"/>
  <c r="T22" i="165"/>
  <c r="Q22" i="165"/>
  <c r="N22" i="165"/>
  <c r="M22" i="165" s="1"/>
  <c r="I22" i="165" s="1"/>
  <c r="J22" i="165"/>
  <c r="H22" i="165"/>
  <c r="G22" i="165"/>
  <c r="T17" i="165"/>
  <c r="T97" i="165" s="1"/>
  <c r="Q17" i="165"/>
  <c r="N17" i="165"/>
  <c r="M17" i="165"/>
  <c r="J17" i="165"/>
  <c r="H17" i="165"/>
  <c r="G17" i="165"/>
  <c r="I495" i="164"/>
  <c r="W488" i="164"/>
  <c r="V488" i="164"/>
  <c r="T488" i="164"/>
  <c r="S488" i="164"/>
  <c r="Q488" i="164"/>
  <c r="P488" i="164"/>
  <c r="M488" i="164"/>
  <c r="L488" i="164"/>
  <c r="L493" i="164" s="1"/>
  <c r="U483" i="164"/>
  <c r="R483" i="164"/>
  <c r="O483" i="164"/>
  <c r="N483" i="164" s="1"/>
  <c r="K483" i="164"/>
  <c r="U478" i="164"/>
  <c r="R478" i="164"/>
  <c r="O478" i="164"/>
  <c r="N478" i="164" s="1"/>
  <c r="K478" i="164"/>
  <c r="U473" i="164"/>
  <c r="R473" i="164"/>
  <c r="O473" i="164"/>
  <c r="K473" i="164"/>
  <c r="U468" i="164"/>
  <c r="R468" i="164"/>
  <c r="O468" i="164"/>
  <c r="K468" i="164"/>
  <c r="U463" i="164"/>
  <c r="R463" i="164"/>
  <c r="O463" i="164"/>
  <c r="N463" i="164" s="1"/>
  <c r="K463" i="164"/>
  <c r="U458" i="164"/>
  <c r="R458" i="164"/>
  <c r="O458" i="164"/>
  <c r="N458" i="164" s="1"/>
  <c r="K458" i="164"/>
  <c r="U453" i="164"/>
  <c r="R453" i="164"/>
  <c r="O453" i="164"/>
  <c r="K453" i="164"/>
  <c r="U448" i="164"/>
  <c r="R448" i="164"/>
  <c r="O448" i="164"/>
  <c r="K448" i="164"/>
  <c r="U443" i="164"/>
  <c r="R443" i="164"/>
  <c r="O443" i="164"/>
  <c r="N443" i="164" s="1"/>
  <c r="K443" i="164"/>
  <c r="U438" i="164"/>
  <c r="R438" i="164"/>
  <c r="O438" i="164"/>
  <c r="N438" i="164" s="1"/>
  <c r="K438" i="164"/>
  <c r="U433" i="164"/>
  <c r="R433" i="164"/>
  <c r="O433" i="164"/>
  <c r="K433" i="164"/>
  <c r="U428" i="164"/>
  <c r="R428" i="164"/>
  <c r="O428" i="164"/>
  <c r="K428" i="164"/>
  <c r="U423" i="164"/>
  <c r="R423" i="164"/>
  <c r="O423" i="164"/>
  <c r="N423" i="164" s="1"/>
  <c r="K423" i="164"/>
  <c r="U418" i="164"/>
  <c r="R418" i="164"/>
  <c r="O418" i="164"/>
  <c r="N418" i="164" s="1"/>
  <c r="K418" i="164"/>
  <c r="U413" i="164"/>
  <c r="R413" i="164"/>
  <c r="O413" i="164"/>
  <c r="K413" i="164"/>
  <c r="U408" i="164"/>
  <c r="R408" i="164"/>
  <c r="O408" i="164"/>
  <c r="K408" i="164"/>
  <c r="U403" i="164"/>
  <c r="R403" i="164"/>
  <c r="O403" i="164"/>
  <c r="N403" i="164" s="1"/>
  <c r="K403" i="164"/>
  <c r="U398" i="164"/>
  <c r="R398" i="164"/>
  <c r="O398" i="164"/>
  <c r="N398" i="164" s="1"/>
  <c r="K398" i="164"/>
  <c r="U393" i="164"/>
  <c r="R393" i="164"/>
  <c r="O393" i="164"/>
  <c r="K393" i="164"/>
  <c r="U388" i="164"/>
  <c r="R388" i="164"/>
  <c r="O388" i="164"/>
  <c r="K388" i="164"/>
  <c r="U383" i="164"/>
  <c r="R383" i="164"/>
  <c r="O383" i="164"/>
  <c r="N383" i="164" s="1"/>
  <c r="K383" i="164"/>
  <c r="U378" i="164"/>
  <c r="R378" i="164"/>
  <c r="O378" i="164"/>
  <c r="N378" i="164" s="1"/>
  <c r="K378" i="164"/>
  <c r="U373" i="164"/>
  <c r="R373" i="164"/>
  <c r="O373" i="164"/>
  <c r="K373" i="164"/>
  <c r="U368" i="164"/>
  <c r="R368" i="164"/>
  <c r="O368" i="164"/>
  <c r="K368" i="164"/>
  <c r="U363" i="164"/>
  <c r="R363" i="164"/>
  <c r="O363" i="164"/>
  <c r="N363" i="164" s="1"/>
  <c r="K363" i="164"/>
  <c r="U358" i="164"/>
  <c r="R358" i="164"/>
  <c r="O358" i="164"/>
  <c r="N358" i="164" s="1"/>
  <c r="K358" i="164"/>
  <c r="U353" i="164"/>
  <c r="R353" i="164"/>
  <c r="O353" i="164"/>
  <c r="K353" i="164"/>
  <c r="U348" i="164"/>
  <c r="R348" i="164"/>
  <c r="O348" i="164"/>
  <c r="K348" i="164"/>
  <c r="U343" i="164"/>
  <c r="R343" i="164"/>
  <c r="O343" i="164"/>
  <c r="N343" i="164" s="1"/>
  <c r="K343" i="164"/>
  <c r="I339" i="164"/>
  <c r="I497" i="164" s="1"/>
  <c r="H339" i="164"/>
  <c r="I338" i="164"/>
  <c r="H338" i="164"/>
  <c r="I337" i="164"/>
  <c r="H337" i="164"/>
  <c r="H495" i="164" s="1"/>
  <c r="I336" i="164"/>
  <c r="I494" i="164" s="1"/>
  <c r="H336" i="164"/>
  <c r="W335" i="164"/>
  <c r="V335" i="164"/>
  <c r="T335" i="164"/>
  <c r="S335" i="164"/>
  <c r="Q335" i="164"/>
  <c r="P335" i="164"/>
  <c r="M335" i="164"/>
  <c r="L335" i="164"/>
  <c r="U330" i="164"/>
  <c r="R330" i="164"/>
  <c r="O330" i="164"/>
  <c r="K330" i="164"/>
  <c r="I330" i="164"/>
  <c r="H330" i="164"/>
  <c r="U325" i="164"/>
  <c r="R325" i="164"/>
  <c r="O325" i="164"/>
  <c r="K325" i="164"/>
  <c r="I325" i="164"/>
  <c r="H325" i="164"/>
  <c r="U320" i="164"/>
  <c r="R320" i="164"/>
  <c r="O320" i="164"/>
  <c r="N320" i="164" s="1"/>
  <c r="K320" i="164"/>
  <c r="I320" i="164"/>
  <c r="H320" i="164"/>
  <c r="U315" i="164"/>
  <c r="R315" i="164"/>
  <c r="O315" i="164"/>
  <c r="K315" i="164"/>
  <c r="I315" i="164"/>
  <c r="H315" i="164"/>
  <c r="U310" i="164"/>
  <c r="R310" i="164"/>
  <c r="O310" i="164"/>
  <c r="K310" i="164"/>
  <c r="I310" i="164"/>
  <c r="H310" i="164"/>
  <c r="U305" i="164"/>
  <c r="R305" i="164"/>
  <c r="O305" i="164"/>
  <c r="K305" i="164"/>
  <c r="I305" i="164"/>
  <c r="H305" i="164"/>
  <c r="I301" i="164"/>
  <c r="H301" i="164"/>
  <c r="I300" i="164"/>
  <c r="H300" i="164"/>
  <c r="I299" i="164"/>
  <c r="H299" i="164"/>
  <c r="I298" i="164"/>
  <c r="H298" i="164"/>
  <c r="W297" i="164"/>
  <c r="V297" i="164"/>
  <c r="T297" i="164"/>
  <c r="S297" i="164"/>
  <c r="Q297" i="164"/>
  <c r="P297" i="164"/>
  <c r="M297" i="164"/>
  <c r="L297" i="164"/>
  <c r="U292" i="164"/>
  <c r="R292" i="164"/>
  <c r="O292" i="164"/>
  <c r="K292" i="164"/>
  <c r="I292" i="164"/>
  <c r="H292" i="164"/>
  <c r="U287" i="164"/>
  <c r="R287" i="164"/>
  <c r="O287" i="164"/>
  <c r="N287" i="164"/>
  <c r="K287" i="164"/>
  <c r="I287" i="164"/>
  <c r="H287" i="164"/>
  <c r="U282" i="164"/>
  <c r="R282" i="164"/>
  <c r="O282" i="164"/>
  <c r="K282" i="164"/>
  <c r="I282" i="164"/>
  <c r="H282" i="164"/>
  <c r="U277" i="164"/>
  <c r="N277" i="164" s="1"/>
  <c r="R277" i="164"/>
  <c r="O277" i="164"/>
  <c r="K277" i="164"/>
  <c r="I277" i="164"/>
  <c r="H277" i="164"/>
  <c r="U272" i="164"/>
  <c r="R272" i="164"/>
  <c r="O272" i="164"/>
  <c r="K272" i="164"/>
  <c r="I272" i="164"/>
  <c r="H272" i="164"/>
  <c r="U267" i="164"/>
  <c r="R267" i="164"/>
  <c r="O267" i="164"/>
  <c r="N267" i="164" s="1"/>
  <c r="K267" i="164"/>
  <c r="I267" i="164"/>
  <c r="H267" i="164"/>
  <c r="U262" i="164"/>
  <c r="R262" i="164"/>
  <c r="O262" i="164"/>
  <c r="K262" i="164"/>
  <c r="I262" i="164"/>
  <c r="H262" i="164"/>
  <c r="U257" i="164"/>
  <c r="R257" i="164"/>
  <c r="O257" i="164"/>
  <c r="K257" i="164"/>
  <c r="I257" i="164"/>
  <c r="H257" i="164"/>
  <c r="U252" i="164"/>
  <c r="R252" i="164"/>
  <c r="O252" i="164"/>
  <c r="K252" i="164"/>
  <c r="I252" i="164"/>
  <c r="H252" i="164"/>
  <c r="U247" i="164"/>
  <c r="R247" i="164"/>
  <c r="O247" i="164"/>
  <c r="N247" i="164" s="1"/>
  <c r="K247" i="164"/>
  <c r="I247" i="164"/>
  <c r="H247" i="164"/>
  <c r="U242" i="164"/>
  <c r="R242" i="164"/>
  <c r="O242" i="164"/>
  <c r="K242" i="164"/>
  <c r="I242" i="164"/>
  <c r="H242" i="164"/>
  <c r="U237" i="164"/>
  <c r="R237" i="164"/>
  <c r="O237" i="164"/>
  <c r="K237" i="164"/>
  <c r="I237" i="164"/>
  <c r="H237" i="164"/>
  <c r="U232" i="164"/>
  <c r="R232" i="164"/>
  <c r="O232" i="164"/>
  <c r="K232" i="164"/>
  <c r="I232" i="164"/>
  <c r="H232" i="164"/>
  <c r="U227" i="164"/>
  <c r="R227" i="164"/>
  <c r="O227" i="164"/>
  <c r="N227" i="164" s="1"/>
  <c r="K227" i="164"/>
  <c r="I227" i="164"/>
  <c r="H227" i="164"/>
  <c r="U222" i="164"/>
  <c r="R222" i="164"/>
  <c r="O222" i="164"/>
  <c r="K222" i="164"/>
  <c r="I222" i="164"/>
  <c r="H222" i="164"/>
  <c r="U217" i="164"/>
  <c r="R217" i="164"/>
  <c r="O217" i="164"/>
  <c r="K217" i="164"/>
  <c r="I217" i="164"/>
  <c r="H217" i="164"/>
  <c r="U212" i="164"/>
  <c r="R212" i="164"/>
  <c r="O212" i="164"/>
  <c r="N212" i="164" s="1"/>
  <c r="K212" i="164"/>
  <c r="I212" i="164"/>
  <c r="H212" i="164"/>
  <c r="U207" i="164"/>
  <c r="R207" i="164"/>
  <c r="N207" i="164" s="1"/>
  <c r="O207" i="164"/>
  <c r="K207" i="164"/>
  <c r="I207" i="164"/>
  <c r="H207" i="164"/>
  <c r="U202" i="164"/>
  <c r="N202" i="164" s="1"/>
  <c r="R202" i="164"/>
  <c r="O202" i="164"/>
  <c r="K202" i="164"/>
  <c r="I202" i="164"/>
  <c r="H202" i="164"/>
  <c r="U197" i="164"/>
  <c r="R197" i="164"/>
  <c r="O197" i="164"/>
  <c r="K197" i="164"/>
  <c r="I197" i="164"/>
  <c r="H197" i="164"/>
  <c r="U192" i="164"/>
  <c r="R192" i="164"/>
  <c r="O192" i="164"/>
  <c r="K192" i="164"/>
  <c r="I192" i="164"/>
  <c r="H192" i="164"/>
  <c r="U187" i="164"/>
  <c r="R187" i="164"/>
  <c r="O187" i="164"/>
  <c r="N187" i="164"/>
  <c r="K187" i="164"/>
  <c r="I187" i="164"/>
  <c r="H187" i="164"/>
  <c r="U182" i="164"/>
  <c r="N182" i="164" s="1"/>
  <c r="R182" i="164"/>
  <c r="O182" i="164"/>
  <c r="K182" i="164"/>
  <c r="I182" i="164"/>
  <c r="H182" i="164"/>
  <c r="U177" i="164"/>
  <c r="R177" i="164"/>
  <c r="O177" i="164"/>
  <c r="K177" i="164"/>
  <c r="I177" i="164"/>
  <c r="H177" i="164"/>
  <c r="U172" i="164"/>
  <c r="R172" i="164"/>
  <c r="O172" i="164"/>
  <c r="N172" i="164" s="1"/>
  <c r="K172" i="164"/>
  <c r="I172" i="164"/>
  <c r="H172" i="164"/>
  <c r="U167" i="164"/>
  <c r="R167" i="164"/>
  <c r="O167" i="164"/>
  <c r="N167" i="164" s="1"/>
  <c r="K167" i="164"/>
  <c r="I167" i="164"/>
  <c r="H167" i="164"/>
  <c r="U162" i="164"/>
  <c r="N162" i="164" s="1"/>
  <c r="R162" i="164"/>
  <c r="O162" i="164"/>
  <c r="K162" i="164"/>
  <c r="I162" i="164"/>
  <c r="H162" i="164"/>
  <c r="U157" i="164"/>
  <c r="N157" i="164" s="1"/>
  <c r="R157" i="164"/>
  <c r="O157" i="164"/>
  <c r="K157" i="164"/>
  <c r="I157" i="164"/>
  <c r="H157" i="164"/>
  <c r="U152" i="164"/>
  <c r="R152" i="164"/>
  <c r="O152" i="164"/>
  <c r="N152" i="164" s="1"/>
  <c r="K152" i="164"/>
  <c r="I152" i="164"/>
  <c r="H152" i="164"/>
  <c r="U147" i="164"/>
  <c r="R147" i="164"/>
  <c r="O147" i="164"/>
  <c r="N147" i="164"/>
  <c r="K147" i="164"/>
  <c r="I147" i="164"/>
  <c r="H147" i="164"/>
  <c r="U142" i="164"/>
  <c r="R142" i="164"/>
  <c r="O142" i="164"/>
  <c r="K142" i="164"/>
  <c r="I142" i="164"/>
  <c r="H142" i="164"/>
  <c r="U137" i="164"/>
  <c r="N137" i="164" s="1"/>
  <c r="R137" i="164"/>
  <c r="O137" i="164"/>
  <c r="K137" i="164"/>
  <c r="I137" i="164"/>
  <c r="H137" i="164"/>
  <c r="U132" i="164"/>
  <c r="R132" i="164"/>
  <c r="O132" i="164"/>
  <c r="K132" i="164"/>
  <c r="I132" i="164"/>
  <c r="H132" i="164"/>
  <c r="U127" i="164"/>
  <c r="R127" i="164"/>
  <c r="O127" i="164"/>
  <c r="N127" i="164"/>
  <c r="K127" i="164"/>
  <c r="I127" i="164"/>
  <c r="H127" i="164"/>
  <c r="U122" i="164"/>
  <c r="R122" i="164"/>
  <c r="O122" i="164"/>
  <c r="K122" i="164"/>
  <c r="I122" i="164"/>
  <c r="H122" i="164"/>
  <c r="U117" i="164"/>
  <c r="R117" i="164"/>
  <c r="O117" i="164"/>
  <c r="K117" i="164"/>
  <c r="I117" i="164"/>
  <c r="H117" i="164"/>
  <c r="U112" i="164"/>
  <c r="R112" i="164"/>
  <c r="O112" i="164"/>
  <c r="K112" i="164"/>
  <c r="I112" i="164"/>
  <c r="H112" i="164"/>
  <c r="U107" i="164"/>
  <c r="R107" i="164"/>
  <c r="O107" i="164"/>
  <c r="K107" i="164"/>
  <c r="I107" i="164"/>
  <c r="H107" i="164"/>
  <c r="U102" i="164"/>
  <c r="R102" i="164"/>
  <c r="O102" i="164"/>
  <c r="K102" i="164"/>
  <c r="I102" i="164"/>
  <c r="H102" i="164"/>
  <c r="U97" i="164"/>
  <c r="R97" i="164"/>
  <c r="O97" i="164"/>
  <c r="K97" i="164"/>
  <c r="I97" i="164"/>
  <c r="H97" i="164"/>
  <c r="U92" i="164"/>
  <c r="R92" i="164"/>
  <c r="O92" i="164"/>
  <c r="K92" i="164"/>
  <c r="I92" i="164"/>
  <c r="H92" i="164"/>
  <c r="U87" i="164"/>
  <c r="R87" i="164"/>
  <c r="N87" i="164" s="1"/>
  <c r="O87" i="164"/>
  <c r="K87" i="164"/>
  <c r="J87" i="164" s="1"/>
  <c r="I87" i="164"/>
  <c r="H87" i="164"/>
  <c r="U82" i="164"/>
  <c r="R82" i="164"/>
  <c r="O82" i="164"/>
  <c r="K82" i="164"/>
  <c r="I82" i="164"/>
  <c r="H82" i="164"/>
  <c r="U77" i="164"/>
  <c r="R77" i="164"/>
  <c r="N77" i="164" s="1"/>
  <c r="O77" i="164"/>
  <c r="K77" i="164"/>
  <c r="I77" i="164"/>
  <c r="H77" i="164"/>
  <c r="U72" i="164"/>
  <c r="R72" i="164"/>
  <c r="O72" i="164"/>
  <c r="K72" i="164"/>
  <c r="I72" i="164"/>
  <c r="H72" i="164"/>
  <c r="U67" i="164"/>
  <c r="R67" i="164"/>
  <c r="O67" i="164"/>
  <c r="K67" i="164"/>
  <c r="I67" i="164"/>
  <c r="H67" i="164"/>
  <c r="U62" i="164"/>
  <c r="R62" i="164"/>
  <c r="N62" i="164" s="1"/>
  <c r="J62" i="164" s="1"/>
  <c r="O62" i="164"/>
  <c r="K62" i="164"/>
  <c r="I62" i="164"/>
  <c r="H62" i="164"/>
  <c r="U57" i="164"/>
  <c r="R57" i="164"/>
  <c r="O57" i="164"/>
  <c r="K57" i="164"/>
  <c r="I57" i="164"/>
  <c r="H57" i="164"/>
  <c r="U52" i="164"/>
  <c r="R52" i="164"/>
  <c r="O52" i="164"/>
  <c r="K52" i="164"/>
  <c r="I52" i="164"/>
  <c r="H52" i="164"/>
  <c r="U47" i="164"/>
  <c r="R47" i="164"/>
  <c r="O47" i="164"/>
  <c r="K47" i="164"/>
  <c r="I47" i="164"/>
  <c r="H47" i="164"/>
  <c r="U42" i="164"/>
  <c r="R42" i="164"/>
  <c r="O42" i="164"/>
  <c r="K42" i="164"/>
  <c r="I42" i="164"/>
  <c r="H42" i="164"/>
  <c r="U37" i="164"/>
  <c r="R37" i="164"/>
  <c r="O37" i="164"/>
  <c r="K37" i="164"/>
  <c r="I37" i="164"/>
  <c r="H37" i="164"/>
  <c r="U32" i="164"/>
  <c r="R32" i="164"/>
  <c r="N32" i="164" s="1"/>
  <c r="O32" i="164"/>
  <c r="K32" i="164"/>
  <c r="I32" i="164"/>
  <c r="H32" i="164"/>
  <c r="U27" i="164"/>
  <c r="R27" i="164"/>
  <c r="O27" i="164"/>
  <c r="K27" i="164"/>
  <c r="I27" i="164"/>
  <c r="H27" i="164"/>
  <c r="U22" i="164"/>
  <c r="R22" i="164"/>
  <c r="O22" i="164"/>
  <c r="K22" i="164"/>
  <c r="I22" i="164"/>
  <c r="H22" i="164"/>
  <c r="U17" i="164"/>
  <c r="R17" i="164"/>
  <c r="O17" i="164"/>
  <c r="K17" i="164"/>
  <c r="I17" i="164"/>
  <c r="H17" i="164"/>
  <c r="J30" i="167" l="1"/>
  <c r="J28" i="167" s="1"/>
  <c r="J12" i="167" s="1"/>
  <c r="J220" i="167" s="1"/>
  <c r="G70" i="166"/>
  <c r="N222" i="164"/>
  <c r="J222" i="164" s="1"/>
  <c r="I52" i="165"/>
  <c r="I92" i="165"/>
  <c r="N57" i="164"/>
  <c r="J57" i="164" s="1"/>
  <c r="N102" i="164"/>
  <c r="J102" i="164" s="1"/>
  <c r="N192" i="164"/>
  <c r="N197" i="164"/>
  <c r="J197" i="164" s="1"/>
  <c r="N242" i="164"/>
  <c r="H335" i="164"/>
  <c r="W493" i="164"/>
  <c r="Q97" i="165"/>
  <c r="G16" i="167"/>
  <c r="G33" i="167"/>
  <c r="K35" i="167"/>
  <c r="G44" i="167"/>
  <c r="G56" i="167"/>
  <c r="H61" i="167"/>
  <c r="G92" i="167"/>
  <c r="G114" i="167"/>
  <c r="G117" i="167"/>
  <c r="G155" i="167"/>
  <c r="G168" i="167"/>
  <c r="G178" i="167"/>
  <c r="G201" i="167"/>
  <c r="G217" i="167"/>
  <c r="J77" i="164"/>
  <c r="N217" i="164"/>
  <c r="N315" i="164"/>
  <c r="N52" i="164"/>
  <c r="J52" i="164" s="1"/>
  <c r="N232" i="164"/>
  <c r="I496" i="164"/>
  <c r="M493" i="164"/>
  <c r="J66" i="166"/>
  <c r="G38" i="167"/>
  <c r="H118" i="167"/>
  <c r="G118" i="167" s="1"/>
  <c r="G146" i="167"/>
  <c r="G172" i="167"/>
  <c r="M97" i="165"/>
  <c r="N37" i="164"/>
  <c r="J37" i="164" s="1"/>
  <c r="N82" i="164"/>
  <c r="J82" i="164" s="1"/>
  <c r="V493" i="164"/>
  <c r="H297" i="164"/>
  <c r="H493" i="164" s="1"/>
  <c r="N97" i="164"/>
  <c r="J97" i="164" s="1"/>
  <c r="N122" i="164"/>
  <c r="J182" i="164"/>
  <c r="N237" i="164"/>
  <c r="N282" i="164"/>
  <c r="J282" i="164" s="1"/>
  <c r="N27" i="164"/>
  <c r="J27" i="164" s="1"/>
  <c r="N72" i="164"/>
  <c r="J72" i="164" s="1"/>
  <c r="N117" i="164"/>
  <c r="J117" i="164" s="1"/>
  <c r="N142" i="164"/>
  <c r="N252" i="164"/>
  <c r="N257" i="164"/>
  <c r="O335" i="164"/>
  <c r="N310" i="164"/>
  <c r="J310" i="164" s="1"/>
  <c r="H497" i="164"/>
  <c r="P493" i="164"/>
  <c r="G97" i="165"/>
  <c r="H21" i="166"/>
  <c r="H66" i="166" s="1"/>
  <c r="H15" i="166" s="1"/>
  <c r="H123" i="166" s="1"/>
  <c r="I113" i="166"/>
  <c r="J113" i="166"/>
  <c r="H14" i="167"/>
  <c r="G14" i="167" s="1"/>
  <c r="G17" i="167"/>
  <c r="G36" i="167"/>
  <c r="G47" i="167"/>
  <c r="K60" i="167"/>
  <c r="G93" i="167"/>
  <c r="G156" i="167"/>
  <c r="G202" i="167"/>
  <c r="G218" i="167"/>
  <c r="N107" i="164"/>
  <c r="J107" i="164" s="1"/>
  <c r="N97" i="165"/>
  <c r="N262" i="164"/>
  <c r="I335" i="164"/>
  <c r="N22" i="164"/>
  <c r="J22" i="164" s="1"/>
  <c r="N47" i="164"/>
  <c r="J47" i="164" s="1"/>
  <c r="N92" i="164"/>
  <c r="J92" i="164" s="1"/>
  <c r="N272" i="164"/>
  <c r="H496" i="164"/>
  <c r="R335" i="164"/>
  <c r="N325" i="164"/>
  <c r="N330" i="164"/>
  <c r="N348" i="164"/>
  <c r="N368" i="164"/>
  <c r="N388" i="164"/>
  <c r="N408" i="164"/>
  <c r="N428" i="164"/>
  <c r="J428" i="164" s="1"/>
  <c r="N448" i="164"/>
  <c r="J448" i="164" s="1"/>
  <c r="N468" i="164"/>
  <c r="Q493" i="164"/>
  <c r="H97" i="165"/>
  <c r="F66" i="166"/>
  <c r="H39" i="166"/>
  <c r="H53" i="166"/>
  <c r="G39" i="167"/>
  <c r="H55" i="167"/>
  <c r="G55" i="167" s="1"/>
  <c r="G72" i="167"/>
  <c r="G90" i="167"/>
  <c r="G122" i="167"/>
  <c r="K139" i="167"/>
  <c r="G139" i="167" s="1"/>
  <c r="F9" i="169"/>
  <c r="N177" i="164"/>
  <c r="J32" i="164"/>
  <c r="N42" i="164"/>
  <c r="J42" i="164" s="1"/>
  <c r="N67" i="164"/>
  <c r="J67" i="164" s="1"/>
  <c r="N112" i="164"/>
  <c r="J112" i="164" s="1"/>
  <c r="N292" i="164"/>
  <c r="T493" i="164"/>
  <c r="H494" i="164"/>
  <c r="J343" i="164"/>
  <c r="J363" i="164"/>
  <c r="J383" i="164"/>
  <c r="J403" i="164"/>
  <c r="J423" i="164"/>
  <c r="J443" i="164"/>
  <c r="J463" i="164"/>
  <c r="J483" i="164"/>
  <c r="S493" i="164"/>
  <c r="J97" i="165"/>
  <c r="I66" i="166"/>
  <c r="H70" i="166"/>
  <c r="G103" i="166"/>
  <c r="G91" i="167"/>
  <c r="G110" i="167"/>
  <c r="G190" i="167"/>
  <c r="G206" i="167"/>
  <c r="G22" i="167"/>
  <c r="K32" i="167"/>
  <c r="G32" i="167" s="1"/>
  <c r="H103" i="167"/>
  <c r="G103" i="167" s="1"/>
  <c r="G161" i="167"/>
  <c r="G187" i="167"/>
  <c r="G125" i="168"/>
  <c r="G119" i="168" s="1"/>
  <c r="G117" i="168" s="1"/>
  <c r="G55" i="168"/>
  <c r="D119" i="168"/>
  <c r="D117" i="168" s="1"/>
  <c r="G87" i="168"/>
  <c r="G31" i="168"/>
  <c r="G73" i="168"/>
  <c r="G71" i="168" s="1"/>
  <c r="G69" i="168" s="1"/>
  <c r="D131" i="168"/>
  <c r="D55" i="168"/>
  <c r="G159" i="168"/>
  <c r="G157" i="168" s="1"/>
  <c r="G131" i="168"/>
  <c r="D87" i="168"/>
  <c r="D9" i="169"/>
  <c r="D31" i="168"/>
  <c r="E9" i="169"/>
  <c r="G35" i="167"/>
  <c r="G43" i="167"/>
  <c r="I30" i="167"/>
  <c r="M30" i="167"/>
  <c r="M28" i="167" s="1"/>
  <c r="M12" i="167" s="1"/>
  <c r="M220" i="167" s="1"/>
  <c r="G37" i="167"/>
  <c r="G45" i="167"/>
  <c r="L30" i="167"/>
  <c r="K48" i="167"/>
  <c r="M77" i="167"/>
  <c r="I79" i="167"/>
  <c r="G26" i="167"/>
  <c r="H48" i="167"/>
  <c r="K51" i="167"/>
  <c r="G51" i="167" s="1"/>
  <c r="H60" i="167"/>
  <c r="G60" i="167" s="1"/>
  <c r="K61" i="167"/>
  <c r="G61" i="167" s="1"/>
  <c r="K65" i="167"/>
  <c r="G65" i="167" s="1"/>
  <c r="L79" i="167"/>
  <c r="G82" i="167"/>
  <c r="G96" i="167"/>
  <c r="G106" i="167"/>
  <c r="G111" i="167"/>
  <c r="G126" i="167"/>
  <c r="G149" i="167"/>
  <c r="G165" i="167"/>
  <c r="G181" i="167"/>
  <c r="G197" i="167"/>
  <c r="G205" i="167"/>
  <c r="G213" i="167"/>
  <c r="I15" i="166"/>
  <c r="I123" i="166" s="1"/>
  <c r="H113" i="166"/>
  <c r="J15" i="166"/>
  <c r="J123" i="166" s="1"/>
  <c r="I17" i="165"/>
  <c r="R297" i="164"/>
  <c r="N17" i="164"/>
  <c r="J122" i="164"/>
  <c r="U297" i="164"/>
  <c r="J142" i="164"/>
  <c r="K297" i="164"/>
  <c r="N132" i="164"/>
  <c r="J132" i="164" s="1"/>
  <c r="O297" i="164"/>
  <c r="I297" i="164"/>
  <c r="I493" i="164" s="1"/>
  <c r="J162" i="164"/>
  <c r="J202" i="164"/>
  <c r="J242" i="164"/>
  <c r="J262" i="164"/>
  <c r="J315" i="164"/>
  <c r="K335" i="164"/>
  <c r="U335" i="164"/>
  <c r="J348" i="164"/>
  <c r="J368" i="164"/>
  <c r="J388" i="164"/>
  <c r="J408" i="164"/>
  <c r="J468" i="164"/>
  <c r="K488" i="164"/>
  <c r="U488" i="164"/>
  <c r="J137" i="164"/>
  <c r="J157" i="164"/>
  <c r="J177" i="164"/>
  <c r="J217" i="164"/>
  <c r="J237" i="164"/>
  <c r="J257" i="164"/>
  <c r="J277" i="164"/>
  <c r="J330" i="164"/>
  <c r="J152" i="164"/>
  <c r="J172" i="164"/>
  <c r="J192" i="164"/>
  <c r="J212" i="164"/>
  <c r="J232" i="164"/>
  <c r="J252" i="164"/>
  <c r="J272" i="164"/>
  <c r="J292" i="164"/>
  <c r="J325" i="164"/>
  <c r="R488" i="164"/>
  <c r="J358" i="164"/>
  <c r="J378" i="164"/>
  <c r="J398" i="164"/>
  <c r="J418" i="164"/>
  <c r="J438" i="164"/>
  <c r="J458" i="164"/>
  <c r="J478" i="164"/>
  <c r="J127" i="164"/>
  <c r="J147" i="164"/>
  <c r="J167" i="164"/>
  <c r="J187" i="164"/>
  <c r="J207" i="164"/>
  <c r="J227" i="164"/>
  <c r="J247" i="164"/>
  <c r="J267" i="164"/>
  <c r="J287" i="164"/>
  <c r="N305" i="164"/>
  <c r="J320" i="164"/>
  <c r="N353" i="164"/>
  <c r="J353" i="164" s="1"/>
  <c r="N373" i="164"/>
  <c r="J373" i="164" s="1"/>
  <c r="N393" i="164"/>
  <c r="J393" i="164" s="1"/>
  <c r="N413" i="164"/>
  <c r="J413" i="164" s="1"/>
  <c r="N433" i="164"/>
  <c r="J433" i="164" s="1"/>
  <c r="N453" i="164"/>
  <c r="J453" i="164" s="1"/>
  <c r="N473" i="164"/>
  <c r="J473" i="164" s="1"/>
  <c r="O488" i="164"/>
  <c r="J488" i="164" l="1"/>
  <c r="K493" i="164"/>
  <c r="G113" i="166"/>
  <c r="N335" i="164"/>
  <c r="G48" i="167"/>
  <c r="R493" i="164"/>
  <c r="J305" i="164"/>
  <c r="I97" i="165"/>
  <c r="G13" i="168"/>
  <c r="D13" i="168"/>
  <c r="D157" i="168" s="1"/>
  <c r="L28" i="167"/>
  <c r="K30" i="167"/>
  <c r="I77" i="167"/>
  <c r="H77" i="167" s="1"/>
  <c r="H79" i="167"/>
  <c r="H30" i="167"/>
  <c r="I28" i="167"/>
  <c r="L77" i="167"/>
  <c r="K77" i="167" s="1"/>
  <c r="K79" i="167"/>
  <c r="N488" i="164"/>
  <c r="O493" i="164"/>
  <c r="J335" i="164"/>
  <c r="J493" i="164" s="1"/>
  <c r="U493" i="164"/>
  <c r="N297" i="164"/>
  <c r="J17" i="164"/>
  <c r="J297" i="164" s="1"/>
  <c r="G79" i="167" l="1"/>
  <c r="G77" i="167"/>
  <c r="H28" i="167"/>
  <c r="I12" i="167"/>
  <c r="G30" i="167"/>
  <c r="L12" i="167"/>
  <c r="K28" i="167"/>
  <c r="N493" i="164"/>
  <c r="I220" i="167" l="1"/>
  <c r="H12" i="167"/>
  <c r="G28" i="167"/>
  <c r="K12" i="167"/>
  <c r="K220" i="167" s="1"/>
  <c r="L220" i="167"/>
  <c r="D59" i="163"/>
  <c r="D57" i="163"/>
  <c r="D55" i="163"/>
  <c r="D54" i="163"/>
  <c r="D49" i="163"/>
  <c r="D45" i="163"/>
  <c r="D44" i="163"/>
  <c r="D43" i="163"/>
  <c r="D42" i="163"/>
  <c r="D32" i="163"/>
  <c r="D28" i="163"/>
  <c r="D27" i="163" s="1"/>
  <c r="D22" i="163"/>
  <c r="D19" i="163"/>
  <c r="D61" i="163" s="1"/>
  <c r="D16" i="163"/>
  <c r="D12" i="163"/>
  <c r="D53" i="163" s="1"/>
  <c r="D1585" i="162"/>
  <c r="D1584" i="162" s="1"/>
  <c r="D1558" i="162"/>
  <c r="D1557" i="162" s="1"/>
  <c r="D1534" i="162"/>
  <c r="D1527" i="162"/>
  <c r="D1523" i="162"/>
  <c r="D1519" i="162"/>
  <c r="D1517" i="162"/>
  <c r="D1515" i="162"/>
  <c r="D1511" i="162"/>
  <c r="D1508" i="162"/>
  <c r="D1503" i="162"/>
  <c r="D1484" i="162"/>
  <c r="D1468" i="162"/>
  <c r="D1466" i="162"/>
  <c r="D1457" i="162"/>
  <c r="D1447" i="162"/>
  <c r="D1444" i="162"/>
  <c r="D1442" i="162"/>
  <c r="D1440" i="162"/>
  <c r="D1436" i="162"/>
  <c r="D1433" i="162"/>
  <c r="D1389" i="162"/>
  <c r="D1366" i="162"/>
  <c r="D1365" i="162" s="1"/>
  <c r="D1359" i="162"/>
  <c r="D1357" i="162"/>
  <c r="D1340" i="162"/>
  <c r="D1338" i="162"/>
  <c r="D1320" i="162"/>
  <c r="D1304" i="162"/>
  <c r="D1287" i="162"/>
  <c r="D1214" i="162"/>
  <c r="D1143" i="162"/>
  <c r="D1123" i="162"/>
  <c r="D1112" i="162"/>
  <c r="D1108" i="162"/>
  <c r="D1061" i="162"/>
  <c r="D1059" i="162"/>
  <c r="D1030" i="162"/>
  <c r="D1020" i="162"/>
  <c r="D1018" i="162"/>
  <c r="D979" i="162"/>
  <c r="D977" i="162"/>
  <c r="D975" i="162"/>
  <c r="D969" i="162"/>
  <c r="D963" i="162"/>
  <c r="D955" i="162"/>
  <c r="D953" i="162"/>
  <c r="D951" i="162"/>
  <c r="D949" i="162"/>
  <c r="D944" i="162"/>
  <c r="D905" i="162"/>
  <c r="D889" i="162"/>
  <c r="D867" i="162"/>
  <c r="D842" i="162"/>
  <c r="D807" i="162"/>
  <c r="D766" i="162"/>
  <c r="D748" i="162"/>
  <c r="D725" i="162"/>
  <c r="D723" i="162"/>
  <c r="D721" i="162"/>
  <c r="D690" i="162"/>
  <c r="D688" i="162"/>
  <c r="D666" i="162"/>
  <c r="D662" i="162"/>
  <c r="D661" i="162" s="1"/>
  <c r="D658" i="162"/>
  <c r="D655" i="162" s="1"/>
  <c r="D656" i="162"/>
  <c r="D650" i="162"/>
  <c r="D648" i="162"/>
  <c r="D644" i="162"/>
  <c r="D643" i="162" s="1"/>
  <c r="D585" i="162"/>
  <c r="D572" i="162"/>
  <c r="D531" i="162"/>
  <c r="D518" i="162"/>
  <c r="D434" i="162"/>
  <c r="D420" i="162"/>
  <c r="D417" i="162"/>
  <c r="D415" i="162"/>
  <c r="D414" i="162"/>
  <c r="D373" i="162"/>
  <c r="D372" i="162" s="1"/>
  <c r="D369" i="162"/>
  <c r="D363" i="162"/>
  <c r="D357" i="162"/>
  <c r="D352" i="162"/>
  <c r="D329" i="162"/>
  <c r="D326" i="162"/>
  <c r="D304" i="162"/>
  <c r="D263" i="162"/>
  <c r="D262" i="162"/>
  <c r="D252" i="162"/>
  <c r="D250" i="162"/>
  <c r="D248" i="162"/>
  <c r="D245" i="162"/>
  <c r="D242" i="162"/>
  <c r="D216" i="162"/>
  <c r="D214" i="162"/>
  <c r="D210" i="162"/>
  <c r="D200" i="162"/>
  <c r="D192" i="162"/>
  <c r="D161" i="162"/>
  <c r="D160" i="162" s="1"/>
  <c r="D143" i="162"/>
  <c r="D127" i="162"/>
  <c r="D126" i="162"/>
  <c r="D121" i="162"/>
  <c r="D85" i="162"/>
  <c r="D84" i="162"/>
  <c r="D74" i="162"/>
  <c r="D63" i="162"/>
  <c r="D14" i="162"/>
  <c r="D11" i="162" s="1"/>
  <c r="D12" i="162"/>
  <c r="D419" i="162" l="1"/>
  <c r="D328" i="162"/>
  <c r="D56" i="163"/>
  <c r="D58" i="163" s="1"/>
  <c r="D60" i="163" s="1"/>
  <c r="D64" i="163" s="1"/>
  <c r="D1248" i="162"/>
  <c r="D41" i="163"/>
  <c r="D40" i="163" s="1"/>
  <c r="D665" i="162"/>
  <c r="D647" i="162"/>
  <c r="G12" i="167"/>
  <c r="G220" i="167" s="1"/>
  <c r="H220" i="167"/>
  <c r="D34" i="163"/>
  <c r="D38" i="163"/>
  <c r="D50" i="163"/>
  <c r="D51" i="163" s="1"/>
  <c r="D15" i="163"/>
  <c r="D25" i="163" s="1"/>
  <c r="D36" i="163" s="1"/>
  <c r="D303" i="162"/>
  <c r="D1017" i="162"/>
  <c r="D1502" i="162"/>
  <c r="D191" i="162"/>
  <c r="D1432" i="162"/>
  <c r="D943" i="162"/>
  <c r="D1107" i="162"/>
  <c r="D10" i="162" l="1"/>
  <c r="L147" i="161"/>
  <c r="L146" i="161" s="1"/>
  <c r="G147" i="161"/>
  <c r="E147" i="161"/>
  <c r="O146" i="161"/>
  <c r="N146" i="161"/>
  <c r="M146" i="161"/>
  <c r="K146" i="161"/>
  <c r="J146" i="161"/>
  <c r="I146" i="161"/>
  <c r="H146" i="161"/>
  <c r="G146" i="161"/>
  <c r="F146" i="161"/>
  <c r="L145" i="161"/>
  <c r="L144" i="161" s="1"/>
  <c r="G145" i="161"/>
  <c r="G144" i="161" s="1"/>
  <c r="E145" i="161"/>
  <c r="D145" i="161" s="1"/>
  <c r="O144" i="161"/>
  <c r="N144" i="161"/>
  <c r="M144" i="161"/>
  <c r="K144" i="161"/>
  <c r="J144" i="161"/>
  <c r="I144" i="161"/>
  <c r="H144" i="161"/>
  <c r="F144" i="161"/>
  <c r="L143" i="161"/>
  <c r="J143" i="161"/>
  <c r="J134" i="161" s="1"/>
  <c r="G143" i="161"/>
  <c r="L142" i="161"/>
  <c r="G142" i="161"/>
  <c r="E142" i="161" s="1"/>
  <c r="D142" i="161" s="1"/>
  <c r="L141" i="161"/>
  <c r="E141" i="161"/>
  <c r="D141" i="161" s="1"/>
  <c r="C141" i="161" s="1"/>
  <c r="L140" i="161"/>
  <c r="E140" i="161"/>
  <c r="D140" i="161" s="1"/>
  <c r="L139" i="161"/>
  <c r="E139" i="161"/>
  <c r="D139" i="161" s="1"/>
  <c r="C139" i="161" s="1"/>
  <c r="L138" i="161"/>
  <c r="E138" i="161"/>
  <c r="D138" i="161" s="1"/>
  <c r="C138" i="161" s="1"/>
  <c r="L137" i="161"/>
  <c r="E137" i="161"/>
  <c r="D137" i="161" s="1"/>
  <c r="C137" i="161" s="1"/>
  <c r="L136" i="161"/>
  <c r="E136" i="161"/>
  <c r="D136" i="161" s="1"/>
  <c r="L135" i="161"/>
  <c r="E135" i="161"/>
  <c r="O134" i="161"/>
  <c r="N134" i="161"/>
  <c r="M134" i="161"/>
  <c r="K134" i="161"/>
  <c r="I134" i="161"/>
  <c r="H134" i="161"/>
  <c r="F134" i="161"/>
  <c r="N133" i="161"/>
  <c r="N123" i="161" s="1"/>
  <c r="M133" i="161"/>
  <c r="L133" i="161" s="1"/>
  <c r="J133" i="161"/>
  <c r="G133" i="161"/>
  <c r="E133" i="161"/>
  <c r="D133" i="161" s="1"/>
  <c r="L132" i="161"/>
  <c r="J132" i="161"/>
  <c r="J123" i="161" s="1"/>
  <c r="G132" i="161"/>
  <c r="E132" i="161" s="1"/>
  <c r="D132" i="161" s="1"/>
  <c r="C132" i="161" s="1"/>
  <c r="L131" i="161"/>
  <c r="E131" i="161"/>
  <c r="D131" i="161" s="1"/>
  <c r="C131" i="161" s="1"/>
  <c r="L130" i="161"/>
  <c r="G130" i="161"/>
  <c r="E130" i="161" s="1"/>
  <c r="D130" i="161" s="1"/>
  <c r="C130" i="161" s="1"/>
  <c r="L129" i="161"/>
  <c r="G129" i="161"/>
  <c r="L128" i="161"/>
  <c r="E128" i="161"/>
  <c r="D128" i="161" s="1"/>
  <c r="L127" i="161"/>
  <c r="E127" i="161"/>
  <c r="D127" i="161" s="1"/>
  <c r="C127" i="161" s="1"/>
  <c r="L126" i="161"/>
  <c r="E126" i="161"/>
  <c r="D126" i="161"/>
  <c r="L125" i="161"/>
  <c r="E125" i="161"/>
  <c r="D125" i="161"/>
  <c r="L124" i="161"/>
  <c r="E124" i="161"/>
  <c r="D124" i="161" s="1"/>
  <c r="O123" i="161"/>
  <c r="K123" i="161"/>
  <c r="I123" i="161"/>
  <c r="H123" i="161"/>
  <c r="F123" i="161"/>
  <c r="L122" i="161"/>
  <c r="L120" i="161" s="1"/>
  <c r="J122" i="161"/>
  <c r="G122" i="161"/>
  <c r="E122" i="161" s="1"/>
  <c r="E120" i="161" s="1"/>
  <c r="L121" i="161"/>
  <c r="G121" i="161"/>
  <c r="E121" i="161" s="1"/>
  <c r="D121" i="161"/>
  <c r="O120" i="161"/>
  <c r="N120" i="161"/>
  <c r="M120" i="161"/>
  <c r="K120" i="161"/>
  <c r="J120" i="161"/>
  <c r="I120" i="161"/>
  <c r="H120" i="161"/>
  <c r="G120" i="161"/>
  <c r="F120" i="161"/>
  <c r="L119" i="161"/>
  <c r="G119" i="161"/>
  <c r="E119" i="161" s="1"/>
  <c r="D119" i="161" s="1"/>
  <c r="C119" i="161" s="1"/>
  <c r="L118" i="161"/>
  <c r="E118" i="161"/>
  <c r="D118" i="161"/>
  <c r="L117" i="161"/>
  <c r="J117" i="161"/>
  <c r="E117" i="161"/>
  <c r="L116" i="161"/>
  <c r="E116" i="161"/>
  <c r="D116" i="161" s="1"/>
  <c r="C116" i="161" s="1"/>
  <c r="L115" i="161"/>
  <c r="G115" i="161"/>
  <c r="E115" i="161" s="1"/>
  <c r="D115" i="161"/>
  <c r="C115" i="161" s="1"/>
  <c r="L114" i="161"/>
  <c r="G114" i="161"/>
  <c r="E114" i="161" s="1"/>
  <c r="D114" i="161" s="1"/>
  <c r="C114" i="161" s="1"/>
  <c r="L113" i="161"/>
  <c r="G113" i="161"/>
  <c r="E113" i="161" s="1"/>
  <c r="D113" i="161" s="1"/>
  <c r="N112" i="161"/>
  <c r="N111" i="161" s="1"/>
  <c r="L112" i="161"/>
  <c r="J112" i="161"/>
  <c r="J111" i="161" s="1"/>
  <c r="G112" i="161"/>
  <c r="E112" i="161"/>
  <c r="O111" i="161"/>
  <c r="M111" i="161"/>
  <c r="K111" i="161"/>
  <c r="I111" i="161"/>
  <c r="H111" i="161"/>
  <c r="F111" i="161"/>
  <c r="L110" i="161"/>
  <c r="J110" i="161"/>
  <c r="G110" i="161"/>
  <c r="E110" i="161"/>
  <c r="D110" i="161" s="1"/>
  <c r="L109" i="161"/>
  <c r="J109" i="161"/>
  <c r="J105" i="161" s="1"/>
  <c r="G109" i="161"/>
  <c r="E109" i="161" s="1"/>
  <c r="D109" i="161" s="1"/>
  <c r="L108" i="161"/>
  <c r="G108" i="161"/>
  <c r="E108" i="161" s="1"/>
  <c r="D108" i="161" s="1"/>
  <c r="C108" i="161" s="1"/>
  <c r="L107" i="161"/>
  <c r="G107" i="161"/>
  <c r="G105" i="161" s="1"/>
  <c r="E107" i="161"/>
  <c r="D107" i="161" s="1"/>
  <c r="C107" i="161" s="1"/>
  <c r="L106" i="161"/>
  <c r="E106" i="161"/>
  <c r="D106" i="161"/>
  <c r="O105" i="161"/>
  <c r="N105" i="161"/>
  <c r="M105" i="161"/>
  <c r="K105" i="161"/>
  <c r="I105" i="161"/>
  <c r="H105" i="161"/>
  <c r="F105" i="161"/>
  <c r="L104" i="161"/>
  <c r="J104" i="161"/>
  <c r="E104" i="161"/>
  <c r="L103" i="161"/>
  <c r="E103" i="161"/>
  <c r="D103" i="161" s="1"/>
  <c r="N102" i="161"/>
  <c r="N99" i="161" s="1"/>
  <c r="L102" i="161"/>
  <c r="G102" i="161"/>
  <c r="E102" i="161"/>
  <c r="D102" i="161"/>
  <c r="C102" i="161" s="1"/>
  <c r="L101" i="161"/>
  <c r="L99" i="161" s="1"/>
  <c r="G101" i="161"/>
  <c r="G99" i="161" s="1"/>
  <c r="F101" i="161"/>
  <c r="L100" i="161"/>
  <c r="J100" i="161"/>
  <c r="J99" i="161" s="1"/>
  <c r="E100" i="161"/>
  <c r="D100" i="161" s="1"/>
  <c r="O99" i="161"/>
  <c r="M99" i="161"/>
  <c r="K99" i="161"/>
  <c r="I99" i="161"/>
  <c r="H99" i="161"/>
  <c r="F99" i="161"/>
  <c r="M98" i="161"/>
  <c r="L98" i="161" s="1"/>
  <c r="J98" i="161"/>
  <c r="D98" i="161" s="1"/>
  <c r="E98" i="161"/>
  <c r="L97" i="161"/>
  <c r="E97" i="161"/>
  <c r="D97" i="161"/>
  <c r="L96" i="161"/>
  <c r="E96" i="161"/>
  <c r="D96" i="161" s="1"/>
  <c r="L95" i="161"/>
  <c r="G95" i="161"/>
  <c r="E95" i="161" s="1"/>
  <c r="D95" i="161" s="1"/>
  <c r="C95" i="161" s="1"/>
  <c r="L94" i="161"/>
  <c r="G94" i="161"/>
  <c r="E94" i="161" s="1"/>
  <c r="D94" i="161" s="1"/>
  <c r="C94" i="161" s="1"/>
  <c r="L93" i="161"/>
  <c r="J93" i="161"/>
  <c r="G93" i="161"/>
  <c r="E93" i="161" s="1"/>
  <c r="D93" i="161"/>
  <c r="C93" i="161" s="1"/>
  <c r="L92" i="161"/>
  <c r="L88" i="161" s="1"/>
  <c r="E92" i="161"/>
  <c r="D92" i="161"/>
  <c r="C92" i="161" s="1"/>
  <c r="L91" i="161"/>
  <c r="E91" i="161"/>
  <c r="D91" i="161"/>
  <c r="C91" i="161" s="1"/>
  <c r="L90" i="161"/>
  <c r="E90" i="161"/>
  <c r="D90" i="161"/>
  <c r="C90" i="161" s="1"/>
  <c r="L89" i="161"/>
  <c r="E89" i="161"/>
  <c r="D89" i="161"/>
  <c r="O88" i="161"/>
  <c r="N88" i="161"/>
  <c r="K88" i="161"/>
  <c r="I88" i="161"/>
  <c r="H88" i="161"/>
  <c r="F88" i="161"/>
  <c r="L87" i="161"/>
  <c r="J87" i="161"/>
  <c r="G87" i="161"/>
  <c r="E87" i="161" s="1"/>
  <c r="D87" i="161" s="1"/>
  <c r="C87" i="161" s="1"/>
  <c r="L86" i="161"/>
  <c r="G86" i="161"/>
  <c r="E86" i="161" s="1"/>
  <c r="D86" i="161"/>
  <c r="L85" i="161"/>
  <c r="G85" i="161"/>
  <c r="E85" i="161"/>
  <c r="D85" i="161" s="1"/>
  <c r="L84" i="161"/>
  <c r="G84" i="161"/>
  <c r="E84" i="161" s="1"/>
  <c r="D84" i="161"/>
  <c r="C84" i="161" s="1"/>
  <c r="N83" i="161"/>
  <c r="N74" i="161" s="1"/>
  <c r="L83" i="161"/>
  <c r="J83" i="161"/>
  <c r="G83" i="161"/>
  <c r="E83" i="161"/>
  <c r="D83" i="161"/>
  <c r="C83" i="161" s="1"/>
  <c r="L82" i="161"/>
  <c r="J82" i="161"/>
  <c r="G82" i="161"/>
  <c r="E82" i="161" s="1"/>
  <c r="L81" i="161"/>
  <c r="G81" i="161"/>
  <c r="E81" i="161" s="1"/>
  <c r="D81" i="161" s="1"/>
  <c r="C81" i="161"/>
  <c r="L80" i="161"/>
  <c r="G80" i="161"/>
  <c r="F80" i="161"/>
  <c r="E80" i="161" s="1"/>
  <c r="D80" i="161" s="1"/>
  <c r="C80" i="161" s="1"/>
  <c r="L79" i="161"/>
  <c r="E79" i="161"/>
  <c r="D79" i="161"/>
  <c r="C79" i="161" s="1"/>
  <c r="L78" i="161"/>
  <c r="E78" i="161"/>
  <c r="D78" i="161" s="1"/>
  <c r="L77" i="161"/>
  <c r="J77" i="161"/>
  <c r="G77" i="161"/>
  <c r="L76" i="161"/>
  <c r="E76" i="161"/>
  <c r="D76" i="161"/>
  <c r="L75" i="161"/>
  <c r="G75" i="161"/>
  <c r="F75" i="161"/>
  <c r="E75" i="161" s="1"/>
  <c r="D75" i="161" s="1"/>
  <c r="O74" i="161"/>
  <c r="M74" i="161"/>
  <c r="K74" i="161"/>
  <c r="I74" i="161"/>
  <c r="H74" i="161"/>
  <c r="F74" i="161"/>
  <c r="L73" i="161"/>
  <c r="L72" i="161" s="1"/>
  <c r="E73" i="161"/>
  <c r="O72" i="161"/>
  <c r="N72" i="161"/>
  <c r="M72" i="161"/>
  <c r="K72" i="161"/>
  <c r="J72" i="161"/>
  <c r="I72" i="161"/>
  <c r="H72" i="161"/>
  <c r="G72" i="161"/>
  <c r="F72" i="161"/>
  <c r="L71" i="161"/>
  <c r="E71" i="161"/>
  <c r="D71" i="161"/>
  <c r="L70" i="161"/>
  <c r="E70" i="161"/>
  <c r="D70" i="161" s="1"/>
  <c r="O69" i="161"/>
  <c r="N69" i="161"/>
  <c r="M69" i="161"/>
  <c r="K69" i="161"/>
  <c r="J69" i="161"/>
  <c r="I69" i="161"/>
  <c r="H69" i="161"/>
  <c r="G69" i="161"/>
  <c r="F69" i="161"/>
  <c r="L68" i="161"/>
  <c r="E68" i="161"/>
  <c r="L67" i="161"/>
  <c r="L66" i="161" s="1"/>
  <c r="E67" i="161"/>
  <c r="D67" i="161" s="1"/>
  <c r="C67" i="161"/>
  <c r="O66" i="161"/>
  <c r="N66" i="161"/>
  <c r="M66" i="161"/>
  <c r="K66" i="161"/>
  <c r="J66" i="161"/>
  <c r="I66" i="161"/>
  <c r="H66" i="161"/>
  <c r="G66" i="161"/>
  <c r="F66" i="161"/>
  <c r="L65" i="161"/>
  <c r="L64" i="161" s="1"/>
  <c r="E65" i="161"/>
  <c r="O64" i="161"/>
  <c r="N64" i="161"/>
  <c r="M64" i="161"/>
  <c r="K64" i="161"/>
  <c r="J64" i="161"/>
  <c r="I64" i="161"/>
  <c r="H64" i="161"/>
  <c r="G64" i="161"/>
  <c r="F64" i="161"/>
  <c r="L63" i="161"/>
  <c r="J63" i="161"/>
  <c r="G63" i="161"/>
  <c r="E63" i="161" s="1"/>
  <c r="L62" i="161"/>
  <c r="G62" i="161"/>
  <c r="E62" i="161" s="1"/>
  <c r="D62" i="161" s="1"/>
  <c r="C62" i="161" s="1"/>
  <c r="L61" i="161"/>
  <c r="J61" i="161"/>
  <c r="D61" i="161" s="1"/>
  <c r="G61" i="161"/>
  <c r="E61" i="161" s="1"/>
  <c r="L60" i="161"/>
  <c r="L57" i="161" s="1"/>
  <c r="G60" i="161"/>
  <c r="E60" i="161" s="1"/>
  <c r="D60" i="161" s="1"/>
  <c r="C60" i="161" s="1"/>
  <c r="N59" i="161"/>
  <c r="N57" i="161" s="1"/>
  <c r="L59" i="161"/>
  <c r="J59" i="161"/>
  <c r="G59" i="161"/>
  <c r="L58" i="161"/>
  <c r="G58" i="161"/>
  <c r="E58" i="161" s="1"/>
  <c r="D58" i="161" s="1"/>
  <c r="C58" i="161" s="1"/>
  <c r="O57" i="161"/>
  <c r="M57" i="161"/>
  <c r="K57" i="161"/>
  <c r="I57" i="161"/>
  <c r="H57" i="161"/>
  <c r="F57" i="161"/>
  <c r="L56" i="161"/>
  <c r="L54" i="161" s="1"/>
  <c r="E56" i="161"/>
  <c r="D56" i="161" s="1"/>
  <c r="L55" i="161"/>
  <c r="E55" i="161"/>
  <c r="E54" i="161" s="1"/>
  <c r="O54" i="161"/>
  <c r="N54" i="161"/>
  <c r="M54" i="161"/>
  <c r="K54" i="161"/>
  <c r="J54" i="161"/>
  <c r="I54" i="161"/>
  <c r="H54" i="161"/>
  <c r="G54" i="161"/>
  <c r="F54" i="161"/>
  <c r="N53" i="161"/>
  <c r="N52" i="161" s="1"/>
  <c r="M53" i="161"/>
  <c r="J53" i="161"/>
  <c r="J52" i="161" s="1"/>
  <c r="G53" i="161"/>
  <c r="G52" i="161" s="1"/>
  <c r="O52" i="161"/>
  <c r="K52" i="161"/>
  <c r="I52" i="161"/>
  <c r="H52" i="161"/>
  <c r="F52" i="161"/>
  <c r="L51" i="161"/>
  <c r="E51" i="161"/>
  <c r="D51" i="161" s="1"/>
  <c r="C51" i="161" s="1"/>
  <c r="L50" i="161"/>
  <c r="G50" i="161"/>
  <c r="E50" i="161"/>
  <c r="D50" i="161" s="1"/>
  <c r="C50" i="161" s="1"/>
  <c r="L49" i="161"/>
  <c r="E49" i="161"/>
  <c r="D49" i="161" s="1"/>
  <c r="C49" i="161" s="1"/>
  <c r="L48" i="161"/>
  <c r="G48" i="161"/>
  <c r="E48" i="161" s="1"/>
  <c r="D48" i="161" s="1"/>
  <c r="C48" i="161" s="1"/>
  <c r="L47" i="161"/>
  <c r="G47" i="161"/>
  <c r="E47" i="161" s="1"/>
  <c r="O46" i="161"/>
  <c r="N46" i="161"/>
  <c r="M46" i="161"/>
  <c r="K46" i="161"/>
  <c r="J46" i="161"/>
  <c r="I46" i="161"/>
  <c r="H46" i="161"/>
  <c r="F46" i="161"/>
  <c r="L45" i="161"/>
  <c r="L43" i="161" s="1"/>
  <c r="E45" i="161"/>
  <c r="D45" i="161"/>
  <c r="C45" i="161" s="1"/>
  <c r="N44" i="161"/>
  <c r="N43" i="161" s="1"/>
  <c r="L44" i="161"/>
  <c r="J44" i="161"/>
  <c r="J43" i="161" s="1"/>
  <c r="G44" i="161"/>
  <c r="E44" i="161"/>
  <c r="O43" i="161"/>
  <c r="M43" i="161"/>
  <c r="K43" i="161"/>
  <c r="I43" i="161"/>
  <c r="H43" i="161"/>
  <c r="G43" i="161"/>
  <c r="F43" i="161"/>
  <c r="L42" i="161"/>
  <c r="L41" i="161" s="1"/>
  <c r="J42" i="161"/>
  <c r="J41" i="161" s="1"/>
  <c r="G42" i="161"/>
  <c r="G41" i="161" s="1"/>
  <c r="E42" i="161"/>
  <c r="D42" i="161" s="1"/>
  <c r="O41" i="161"/>
  <c r="N41" i="161"/>
  <c r="M41" i="161"/>
  <c r="K41" i="161"/>
  <c r="I41" i="161"/>
  <c r="H41" i="161"/>
  <c r="F41" i="161"/>
  <c r="L40" i="161"/>
  <c r="G40" i="161"/>
  <c r="E40" i="161" s="1"/>
  <c r="D40" i="161" s="1"/>
  <c r="C40" i="161" s="1"/>
  <c r="L39" i="161"/>
  <c r="E39" i="161"/>
  <c r="D39" i="161"/>
  <c r="C39" i="161" s="1"/>
  <c r="L38" i="161"/>
  <c r="E38" i="161"/>
  <c r="D38" i="161" s="1"/>
  <c r="C38" i="161" s="1"/>
  <c r="N37" i="161"/>
  <c r="L37" i="161"/>
  <c r="E37" i="161"/>
  <c r="D37" i="161" s="1"/>
  <c r="C37" i="161" s="1"/>
  <c r="N36" i="161"/>
  <c r="L36" i="161"/>
  <c r="E36" i="161"/>
  <c r="D36" i="161" s="1"/>
  <c r="N35" i="161"/>
  <c r="L35" i="161"/>
  <c r="J35" i="161"/>
  <c r="G35" i="161"/>
  <c r="E35" i="161" s="1"/>
  <c r="L34" i="161"/>
  <c r="E34" i="161"/>
  <c r="D34" i="161" s="1"/>
  <c r="C34" i="161" s="1"/>
  <c r="L33" i="161"/>
  <c r="E33" i="161"/>
  <c r="D33" i="161"/>
  <c r="C33" i="161" s="1"/>
  <c r="N32" i="161"/>
  <c r="N30" i="161" s="1"/>
  <c r="L32" i="161"/>
  <c r="J32" i="161"/>
  <c r="E32" i="161"/>
  <c r="D32" i="161" s="1"/>
  <c r="C32" i="161" s="1"/>
  <c r="L31" i="161"/>
  <c r="G31" i="161"/>
  <c r="O30" i="161"/>
  <c r="M30" i="161"/>
  <c r="K30" i="161"/>
  <c r="I30" i="161"/>
  <c r="H30" i="161"/>
  <c r="F30" i="161"/>
  <c r="N29" i="161"/>
  <c r="N28" i="161" s="1"/>
  <c r="L29" i="161"/>
  <c r="L28" i="161" s="1"/>
  <c r="J29" i="161"/>
  <c r="E29" i="161"/>
  <c r="O28" i="161"/>
  <c r="M28" i="161"/>
  <c r="K28" i="161"/>
  <c r="I28" i="161"/>
  <c r="H28" i="161"/>
  <c r="G28" i="161"/>
  <c r="F28" i="161"/>
  <c r="E28" i="161"/>
  <c r="L27" i="161"/>
  <c r="J27" i="161"/>
  <c r="E27" i="161"/>
  <c r="D27" i="161" s="1"/>
  <c r="C27" i="161" s="1"/>
  <c r="L26" i="161"/>
  <c r="L25" i="161" s="1"/>
  <c r="J26" i="161"/>
  <c r="J25" i="161" s="1"/>
  <c r="E26" i="161"/>
  <c r="O25" i="161"/>
  <c r="N25" i="161"/>
  <c r="M25" i="161"/>
  <c r="K25" i="161"/>
  <c r="I25" i="161"/>
  <c r="H25" i="161"/>
  <c r="G25" i="161"/>
  <c r="F25" i="161"/>
  <c r="L24" i="161"/>
  <c r="E24" i="161"/>
  <c r="D24" i="161"/>
  <c r="C24" i="161" s="1"/>
  <c r="L23" i="161"/>
  <c r="E23" i="161"/>
  <c r="E22" i="161" s="1"/>
  <c r="D23" i="161"/>
  <c r="O22" i="161"/>
  <c r="N22" i="161"/>
  <c r="M22" i="161"/>
  <c r="K22" i="161"/>
  <c r="J22" i="161"/>
  <c r="I22" i="161"/>
  <c r="H22" i="161"/>
  <c r="G22" i="161"/>
  <c r="F22" i="161"/>
  <c r="L21" i="161"/>
  <c r="G21" i="161"/>
  <c r="E21" i="161" s="1"/>
  <c r="D21" i="161" s="1"/>
  <c r="C21" i="161" s="1"/>
  <c r="L20" i="161"/>
  <c r="G20" i="161"/>
  <c r="G17" i="161" s="1"/>
  <c r="E20" i="161"/>
  <c r="D20" i="161" s="1"/>
  <c r="C20" i="161" s="1"/>
  <c r="N19" i="161"/>
  <c r="L19" i="161"/>
  <c r="J19" i="161"/>
  <c r="J17" i="161" s="1"/>
  <c r="E19" i="161"/>
  <c r="L18" i="161"/>
  <c r="L17" i="161" s="1"/>
  <c r="E18" i="161"/>
  <c r="O17" i="161"/>
  <c r="O15" i="161" s="1"/>
  <c r="O149" i="161" s="1"/>
  <c r="N17" i="161"/>
  <c r="M17" i="161"/>
  <c r="K17" i="161"/>
  <c r="I17" i="161"/>
  <c r="I15" i="161" s="1"/>
  <c r="I149" i="161" s="1"/>
  <c r="H17" i="161"/>
  <c r="F17" i="161"/>
  <c r="C145" i="161" l="1"/>
  <c r="C144" i="161" s="1"/>
  <c r="D144" i="161"/>
  <c r="D88" i="161"/>
  <c r="E88" i="161"/>
  <c r="D35" i="161"/>
  <c r="C35" i="161" s="1"/>
  <c r="E53" i="161"/>
  <c r="E52" i="161" s="1"/>
  <c r="J57" i="161"/>
  <c r="G88" i="161"/>
  <c r="C89" i="161"/>
  <c r="C96" i="161"/>
  <c r="E99" i="161"/>
  <c r="C103" i="161"/>
  <c r="C117" i="161"/>
  <c r="K15" i="161"/>
  <c r="K149" i="161" s="1"/>
  <c r="D19" i="161"/>
  <c r="C19" i="161" s="1"/>
  <c r="J30" i="161"/>
  <c r="C36" i="161"/>
  <c r="G46" i="161"/>
  <c r="C97" i="161"/>
  <c r="C109" i="161"/>
  <c r="C136" i="161"/>
  <c r="D104" i="161"/>
  <c r="C104" i="161" s="1"/>
  <c r="E69" i="161"/>
  <c r="C76" i="161"/>
  <c r="C85" i="161"/>
  <c r="C110" i="161"/>
  <c r="E105" i="161"/>
  <c r="L46" i="161"/>
  <c r="C86" i="161"/>
  <c r="M88" i="161"/>
  <c r="C98" i="161"/>
  <c r="C113" i="161"/>
  <c r="L134" i="161"/>
  <c r="H15" i="161"/>
  <c r="H149" i="161" s="1"/>
  <c r="C61" i="161"/>
  <c r="E144" i="161"/>
  <c r="E41" i="161"/>
  <c r="D55" i="161"/>
  <c r="C55" i="161" s="1"/>
  <c r="J74" i="161"/>
  <c r="D82" i="161"/>
  <c r="C82" i="161" s="1"/>
  <c r="E101" i="161"/>
  <c r="D101" i="161" s="1"/>
  <c r="C101" i="161" s="1"/>
  <c r="D117" i="161"/>
  <c r="C140" i="161"/>
  <c r="E31" i="161"/>
  <c r="G30" i="161"/>
  <c r="G15" i="161" s="1"/>
  <c r="G149" i="161" s="1"/>
  <c r="E59" i="161"/>
  <c r="G57" i="161"/>
  <c r="E77" i="161"/>
  <c r="D77" i="161" s="1"/>
  <c r="C77" i="161" s="1"/>
  <c r="G74" i="161"/>
  <c r="C100" i="161"/>
  <c r="C126" i="161"/>
  <c r="D135" i="161"/>
  <c r="C23" i="161"/>
  <c r="C22" i="161" s="1"/>
  <c r="D22" i="161"/>
  <c r="D26" i="161"/>
  <c r="E25" i="161"/>
  <c r="D47" i="161"/>
  <c r="E46" i="161"/>
  <c r="L69" i="161"/>
  <c r="C106" i="161"/>
  <c r="C105" i="161" s="1"/>
  <c r="D105" i="161"/>
  <c r="M123" i="161"/>
  <c r="C133" i="161"/>
  <c r="D18" i="161"/>
  <c r="E17" i="161"/>
  <c r="J28" i="161"/>
  <c r="D29" i="161"/>
  <c r="C42" i="161"/>
  <c r="C41" i="161" s="1"/>
  <c r="D41" i="161"/>
  <c r="D65" i="161"/>
  <c r="E64" i="161"/>
  <c r="C142" i="161"/>
  <c r="F15" i="161"/>
  <c r="F149" i="161" s="1"/>
  <c r="N15" i="161"/>
  <c r="N149" i="161" s="1"/>
  <c r="L22" i="161"/>
  <c r="L30" i="161"/>
  <c r="L111" i="161"/>
  <c r="D112" i="161"/>
  <c r="E111" i="161"/>
  <c r="C124" i="161"/>
  <c r="D63" i="161"/>
  <c r="C63" i="161" s="1"/>
  <c r="D68" i="161"/>
  <c r="E66" i="161"/>
  <c r="C71" i="161"/>
  <c r="C75" i="161"/>
  <c r="C74" i="161" s="1"/>
  <c r="L74" i="161"/>
  <c r="G111" i="161"/>
  <c r="C118" i="161"/>
  <c r="C121" i="161"/>
  <c r="D122" i="161"/>
  <c r="C122" i="161" s="1"/>
  <c r="C125" i="161"/>
  <c r="E129" i="161"/>
  <c r="D129" i="161" s="1"/>
  <c r="C129" i="161" s="1"/>
  <c r="G123" i="161"/>
  <c r="E143" i="161"/>
  <c r="D143" i="161" s="1"/>
  <c r="C143" i="161" s="1"/>
  <c r="G134" i="161"/>
  <c r="D44" i="161"/>
  <c r="E43" i="161"/>
  <c r="C56" i="161"/>
  <c r="C54" i="161" s="1"/>
  <c r="C70" i="161"/>
  <c r="C69" i="161" s="1"/>
  <c r="D69" i="161"/>
  <c r="D73" i="161"/>
  <c r="E72" i="161"/>
  <c r="C78" i="161"/>
  <c r="L105" i="161"/>
  <c r="C128" i="161"/>
  <c r="D147" i="161"/>
  <c r="E146" i="161"/>
  <c r="L53" i="161"/>
  <c r="L52" i="161" s="1"/>
  <c r="M52" i="161"/>
  <c r="J88" i="161"/>
  <c r="L123" i="161"/>
  <c r="D81" i="159"/>
  <c r="D80" i="159" s="1"/>
  <c r="D54" i="161" l="1"/>
  <c r="E74" i="161"/>
  <c r="D53" i="161"/>
  <c r="M15" i="161"/>
  <c r="M149" i="161" s="1"/>
  <c r="D99" i="161"/>
  <c r="C120" i="161"/>
  <c r="J15" i="161"/>
  <c r="J149" i="161" s="1"/>
  <c r="C99" i="161"/>
  <c r="L15" i="161"/>
  <c r="L149" i="161" s="1"/>
  <c r="D74" i="161"/>
  <c r="C88" i="161"/>
  <c r="D146" i="161"/>
  <c r="C147" i="161"/>
  <c r="C146" i="161" s="1"/>
  <c r="C44" i="161"/>
  <c r="C43" i="161" s="1"/>
  <c r="D43" i="161"/>
  <c r="D66" i="161"/>
  <c r="C68" i="161"/>
  <c r="C66" i="161" s="1"/>
  <c r="D28" i="161"/>
  <c r="C29" i="161"/>
  <c r="C28" i="161" s="1"/>
  <c r="D123" i="161"/>
  <c r="D111" i="161"/>
  <c r="C112" i="161"/>
  <c r="C111" i="161" s="1"/>
  <c r="C65" i="161"/>
  <c r="C64" i="161" s="1"/>
  <c r="D64" i="161"/>
  <c r="E123" i="161"/>
  <c r="C47" i="161"/>
  <c r="C46" i="161" s="1"/>
  <c r="D46" i="161"/>
  <c r="C123" i="161"/>
  <c r="D31" i="161"/>
  <c r="E30" i="161"/>
  <c r="C73" i="161"/>
  <c r="C72" i="161" s="1"/>
  <c r="D72" i="161"/>
  <c r="E134" i="161"/>
  <c r="D120" i="161"/>
  <c r="D17" i="161"/>
  <c r="C18" i="161"/>
  <c r="C17" i="161" s="1"/>
  <c r="C53" i="161"/>
  <c r="C52" i="161" s="1"/>
  <c r="D52" i="161"/>
  <c r="C26" i="161"/>
  <c r="C25" i="161" s="1"/>
  <c r="D25" i="161"/>
  <c r="D134" i="161"/>
  <c r="C135" i="161"/>
  <c r="C134" i="161" s="1"/>
  <c r="D59" i="161"/>
  <c r="E57" i="161"/>
  <c r="D39" i="159"/>
  <c r="E15" i="161" l="1"/>
  <c r="E149" i="161" s="1"/>
  <c r="C31" i="161"/>
  <c r="C30" i="161" s="1"/>
  <c r="D30" i="161"/>
  <c r="D15" i="161" s="1"/>
  <c r="D149" i="161" s="1"/>
  <c r="C59" i="161"/>
  <c r="C57" i="161" s="1"/>
  <c r="D57" i="161"/>
  <c r="C15" i="161" l="1"/>
  <c r="C149" i="161" s="1"/>
  <c r="D230" i="159"/>
  <c r="D229" i="159"/>
  <c r="D227" i="159"/>
  <c r="D225" i="159"/>
  <c r="D223" i="159"/>
  <c r="D219" i="159"/>
  <c r="D217" i="159"/>
  <c r="D215" i="159"/>
  <c r="D213" i="159"/>
  <c r="D211" i="159"/>
  <c r="D209" i="159"/>
  <c r="D207" i="159"/>
  <c r="D205" i="159"/>
  <c r="D202" i="159"/>
  <c r="D201" i="159" s="1"/>
  <c r="D199" i="159"/>
  <c r="D197" i="159"/>
  <c r="D195" i="159"/>
  <c r="D189" i="159"/>
  <c r="D187" i="159"/>
  <c r="D185" i="159"/>
  <c r="D179" i="159"/>
  <c r="D177" i="159"/>
  <c r="D174" i="159"/>
  <c r="D171" i="159"/>
  <c r="D169" i="159"/>
  <c r="D167" i="159"/>
  <c r="D164" i="159"/>
  <c r="D161" i="159"/>
  <c r="D156" i="159"/>
  <c r="D154" i="159"/>
  <c r="D152" i="159"/>
  <c r="D150" i="159"/>
  <c r="D148" i="159"/>
  <c r="D121" i="159"/>
  <c r="D118" i="159"/>
  <c r="D112" i="159"/>
  <c r="D109" i="159"/>
  <c r="D108" i="159"/>
  <c r="D102" i="159"/>
  <c r="D100" i="159"/>
  <c r="D98" i="159"/>
  <c r="D96" i="159"/>
  <c r="D88" i="159"/>
  <c r="D77" i="159"/>
  <c r="D74" i="159"/>
  <c r="D71" i="159"/>
  <c r="D64" i="159"/>
  <c r="D63" i="159" s="1"/>
  <c r="D59" i="159"/>
  <c r="D58" i="159" s="1"/>
  <c r="D54" i="159"/>
  <c r="D37" i="159"/>
  <c r="D35" i="159"/>
  <c r="D32" i="159"/>
  <c r="D31" i="159" s="1"/>
  <c r="D29" i="159"/>
  <c r="D26" i="159"/>
  <c r="D22" i="159"/>
  <c r="D19" i="159"/>
  <c r="D12" i="159"/>
  <c r="D204" i="159" l="1"/>
  <c r="D34" i="159"/>
  <c r="D166" i="159"/>
  <c r="D194" i="159"/>
  <c r="D173" i="159"/>
  <c r="D184" i="159"/>
  <c r="D222" i="159"/>
  <c r="D147" i="159"/>
  <c r="D111" i="159"/>
  <c r="D87" i="159"/>
  <c r="D11" i="159"/>
  <c r="D48" i="147"/>
  <c r="D10" i="159" l="1"/>
  <c r="L42" i="147"/>
  <c r="M23" i="147"/>
  <c r="D73" i="147" l="1"/>
  <c r="N34" i="147"/>
  <c r="E33" i="147"/>
  <c r="M33" i="147"/>
  <c r="H30" i="147"/>
  <c r="E30" i="147"/>
  <c r="H29" i="147"/>
  <c r="F29" i="147"/>
  <c r="N27" i="147"/>
  <c r="E27" i="147"/>
  <c r="D26" i="147"/>
  <c r="H26" i="147"/>
  <c r="F26" i="147"/>
  <c r="H43" i="147"/>
  <c r="G26" i="147"/>
  <c r="F43" i="147"/>
  <c r="D25" i="147"/>
  <c r="E25" i="147"/>
  <c r="H23" i="147"/>
  <c r="G23" i="147"/>
  <c r="E23" i="147"/>
  <c r="I40" i="147"/>
  <c r="M21" i="147"/>
  <c r="E21" i="147"/>
  <c r="E41" i="147" l="1"/>
  <c r="E37" i="147" s="1"/>
  <c r="E20" i="147"/>
  <c r="E18" i="147"/>
  <c r="M18" i="147"/>
  <c r="I37" i="147"/>
  <c r="N40" i="147"/>
  <c r="N37" i="147" s="1"/>
  <c r="E15" i="147"/>
  <c r="F37" i="147"/>
  <c r="G37" i="147"/>
  <c r="H37" i="147"/>
  <c r="J37" i="147"/>
  <c r="K37" i="147"/>
  <c r="L37" i="147"/>
  <c r="M37" i="147"/>
  <c r="O37" i="147"/>
  <c r="P37" i="147"/>
  <c r="D37" i="147"/>
  <c r="C39" i="147"/>
  <c r="H15" i="147"/>
  <c r="G15" i="147"/>
  <c r="E29" i="158" l="1"/>
  <c r="E26" i="158" s="1"/>
  <c r="D29" i="158"/>
  <c r="D27" i="158"/>
  <c r="D26" i="158" s="1"/>
  <c r="E15" i="158" l="1"/>
  <c r="E122" i="158"/>
  <c r="E107" i="158"/>
  <c r="E91" i="158"/>
  <c r="D100" i="158"/>
  <c r="E80" i="158"/>
  <c r="E67" i="158" l="1"/>
  <c r="E43" i="158"/>
  <c r="D51" i="158"/>
  <c r="D50" i="158" s="1"/>
  <c r="D105" i="158"/>
  <c r="D104" i="158" s="1"/>
  <c r="E119" i="158" l="1"/>
  <c r="D120" i="158"/>
  <c r="D119" i="158" s="1"/>
  <c r="E117" i="158"/>
  <c r="E114" i="158" s="1"/>
  <c r="D115" i="158"/>
  <c r="D114" i="158" s="1"/>
  <c r="E112" i="158"/>
  <c r="E109" i="158" s="1"/>
  <c r="D110" i="158"/>
  <c r="D109" i="158" s="1"/>
  <c r="E104" i="158"/>
  <c r="E102" i="158"/>
  <c r="E99" i="158" s="1"/>
  <c r="D99" i="158"/>
  <c r="E77" i="158"/>
  <c r="D89" i="158"/>
  <c r="D78" i="158"/>
  <c r="E64" i="158"/>
  <c r="D65" i="158"/>
  <c r="D64" i="158" s="1"/>
  <c r="E53" i="158"/>
  <c r="E50" i="158" s="1"/>
  <c r="E45" i="158"/>
  <c r="E41" i="158"/>
  <c r="E39" i="158"/>
  <c r="E34" i="158"/>
  <c r="D32" i="158"/>
  <c r="D31" i="158" s="1"/>
  <c r="E11" i="158"/>
  <c r="D12" i="158"/>
  <c r="D11" i="158" s="1"/>
  <c r="D77" i="158" l="1"/>
  <c r="D131" i="158" s="1"/>
  <c r="E31" i="158"/>
  <c r="E131" i="158" s="1"/>
  <c r="C45" i="147" l="1"/>
  <c r="C44" i="147"/>
  <c r="C42" i="147"/>
  <c r="C41" i="147"/>
  <c r="C35" i="147"/>
  <c r="C72" i="147" s="1"/>
  <c r="E72" i="147" s="1"/>
  <c r="C34" i="147"/>
  <c r="C71" i="147" s="1"/>
  <c r="C33" i="147"/>
  <c r="C70" i="147" s="1"/>
  <c r="E70" i="147" s="1"/>
  <c r="C32" i="147"/>
  <c r="C69" i="147" s="1"/>
  <c r="E69" i="147" s="1"/>
  <c r="C31" i="147"/>
  <c r="C68" i="147" s="1"/>
  <c r="E68" i="147" s="1"/>
  <c r="C30" i="147"/>
  <c r="C67" i="147" s="1"/>
  <c r="E67" i="147" s="1"/>
  <c r="C28" i="147"/>
  <c r="C65" i="147" s="1"/>
  <c r="E65" i="147" s="1"/>
  <c r="N13" i="147"/>
  <c r="E13" i="147"/>
  <c r="C24" i="147"/>
  <c r="C61" i="147" s="1"/>
  <c r="E61" i="147" s="1"/>
  <c r="G13" i="147"/>
  <c r="C22" i="147"/>
  <c r="C21" i="147"/>
  <c r="C58" i="147" s="1"/>
  <c r="E58" i="147" s="1"/>
  <c r="C19" i="147"/>
  <c r="C56" i="147" s="1"/>
  <c r="E56" i="147" s="1"/>
  <c r="O13" i="147"/>
  <c r="C17" i="147"/>
  <c r="C54" i="147" s="1"/>
  <c r="E54" i="147" s="1"/>
  <c r="C16" i="147"/>
  <c r="C53" i="147" s="1"/>
  <c r="E53" i="147" s="1"/>
  <c r="P13" i="147"/>
  <c r="P46" i="147" s="1"/>
  <c r="K13" i="147"/>
  <c r="K46" i="147" s="1"/>
  <c r="K49" i="147" s="1"/>
  <c r="J13" i="147"/>
  <c r="J46" i="147" s="1"/>
  <c r="J49" i="147" s="1"/>
  <c r="I13" i="147"/>
  <c r="F13" i="147"/>
  <c r="L13" i="147"/>
  <c r="C15" i="147"/>
  <c r="C52" i="147" s="1"/>
  <c r="E52" i="147" s="1"/>
  <c r="C43" i="147"/>
  <c r="C18" i="147"/>
  <c r="H13" i="147"/>
  <c r="H46" i="147" s="1"/>
  <c r="H49" i="147" s="1"/>
  <c r="C20" i="147"/>
  <c r="C57" i="147" s="1"/>
  <c r="E57" i="147" s="1"/>
  <c r="C59" i="147" l="1"/>
  <c r="E59" i="147" s="1"/>
  <c r="E71" i="147"/>
  <c r="N46" i="147"/>
  <c r="N49" i="147" s="1"/>
  <c r="I46" i="147"/>
  <c r="I49" i="147" s="1"/>
  <c r="G46" i="147"/>
  <c r="F46" i="147"/>
  <c r="E46" i="147"/>
  <c r="E49" i="147" s="1"/>
  <c r="C27" i="147"/>
  <c r="C64" i="147" s="1"/>
  <c r="E64" i="147" s="1"/>
  <c r="L46" i="147"/>
  <c r="L49" i="147" s="1"/>
  <c r="M13" i="147"/>
  <c r="M46" i="147" s="1"/>
  <c r="M49" i="147" s="1"/>
  <c r="C29" i="147"/>
  <c r="C66" i="147" s="1"/>
  <c r="E66" i="147" s="1"/>
  <c r="C40" i="147"/>
  <c r="C37" i="147" s="1"/>
  <c r="O46" i="147"/>
  <c r="O49" i="147" s="1"/>
  <c r="C23" i="147"/>
  <c r="C60" i="147" s="1"/>
  <c r="E60" i="147" s="1"/>
  <c r="C25" i="147"/>
  <c r="C62" i="147" s="1"/>
  <c r="E62" i="147" s="1"/>
  <c r="D13" i="147"/>
  <c r="D46" i="147" s="1"/>
  <c r="D49" i="147" s="1"/>
  <c r="C26" i="147"/>
  <c r="F49" i="147" l="1"/>
  <c r="C63" i="147"/>
  <c r="E63" i="147" s="1"/>
  <c r="C55" i="147"/>
  <c r="C13" i="147"/>
  <c r="C46" i="147" s="1"/>
  <c r="C49" i="147" s="1"/>
  <c r="E55" i="147" l="1"/>
  <c r="C73" i="147"/>
  <c r="E73" i="147" l="1"/>
  <c r="C75" i="147"/>
</calcChain>
</file>

<file path=xl/sharedStrings.xml><?xml version="1.0" encoding="utf-8"?>
<sst xmlns="http://schemas.openxmlformats.org/spreadsheetml/2006/main" count="6542" uniqueCount="1279">
  <si>
    <t>11</t>
  </si>
  <si>
    <t>12</t>
  </si>
  <si>
    <t>13</t>
  </si>
  <si>
    <t>14</t>
  </si>
  <si>
    <t>0970</t>
  </si>
  <si>
    <t>Wpływy z różnych dochodów</t>
  </si>
  <si>
    <t>4</t>
  </si>
  <si>
    <t>854</t>
  </si>
  <si>
    <t>EDUKACYJNA OPIEKA WYCHOWAWCZA</t>
  </si>
  <si>
    <t>5</t>
  </si>
  <si>
    <t>6</t>
  </si>
  <si>
    <t>7</t>
  </si>
  <si>
    <t>8</t>
  </si>
  <si>
    <t>9</t>
  </si>
  <si>
    <t>10</t>
  </si>
  <si>
    <t>w złotych</t>
  </si>
  <si>
    <t>Nazwa</t>
  </si>
  <si>
    <t>Ogółem</t>
  </si>
  <si>
    <t>1</t>
  </si>
  <si>
    <t>2</t>
  </si>
  <si>
    <t>3</t>
  </si>
  <si>
    <t>050</t>
  </si>
  <si>
    <t>RYBOŁÓWSTWO I RYBACTWO</t>
  </si>
  <si>
    <t>600</t>
  </si>
  <si>
    <t>TRANSPORT I ŁĄCZNOŚĆ</t>
  </si>
  <si>
    <t>700</t>
  </si>
  <si>
    <t>GOSPODARKA MIESZKANIOWA</t>
  </si>
  <si>
    <t>710</t>
  </si>
  <si>
    <t>DZIAŁALNOŚĆ USŁUGOWA</t>
  </si>
  <si>
    <t>750</t>
  </si>
  <si>
    <t>ADMINISTRACJA PUBLICZNA</t>
  </si>
  <si>
    <t>752</t>
  </si>
  <si>
    <t>OBRONA NARODOWA</t>
  </si>
  <si>
    <t>801</t>
  </si>
  <si>
    <t>OŚWIATA I WYCHOWANIE</t>
  </si>
  <si>
    <t>851</t>
  </si>
  <si>
    <t>OCHRONA ZDROWIA</t>
  </si>
  <si>
    <t>853</t>
  </si>
  <si>
    <t>900</t>
  </si>
  <si>
    <t>GOSPODARKA KOMUNALNA I OCHRONA ŚRODOWISKA</t>
  </si>
  <si>
    <t>921</t>
  </si>
  <si>
    <t>KULTURA I OCHRONA DZIEDZICTWA NARODOWEGO</t>
  </si>
  <si>
    <t>POZOSTAŁE ZADANIA W ZAKRESIE POLITYKI SPOŁECZNEJ</t>
  </si>
  <si>
    <t>Wojewódzkie urzędy pracy</t>
  </si>
  <si>
    <t>Ochrona powietrza atmosferycznego i klimatu</t>
  </si>
  <si>
    <t>Zmniejszenie hałasu i wibracji</t>
  </si>
  <si>
    <t>Pozostała działalność</t>
  </si>
  <si>
    <t>0690</t>
  </si>
  <si>
    <t>Wpływy z różnych opłat</t>
  </si>
  <si>
    <t>Krajowe pasażerskie przewozy autobusowe</t>
  </si>
  <si>
    <t>Prace geologiczne (nieinwestycyjne)</t>
  </si>
  <si>
    <t>Zadania z zakresu geodezji i kartografii</t>
  </si>
  <si>
    <t>855</t>
  </si>
  <si>
    <t>RODZINA</t>
  </si>
  <si>
    <t>Działalność ośrodków adopcyjnych</t>
  </si>
  <si>
    <t>630</t>
  </si>
  <si>
    <t>TURYSTYKA</t>
  </si>
  <si>
    <t>15</t>
  </si>
  <si>
    <t>16</t>
  </si>
  <si>
    <t>Pozostałe wydatki obronne</t>
  </si>
  <si>
    <t>05095</t>
  </si>
  <si>
    <t>010</t>
  </si>
  <si>
    <t>ROLNICTWO I ŁOWIECTWO</t>
  </si>
  <si>
    <t>01009</t>
  </si>
  <si>
    <t>Spółki wodne</t>
  </si>
  <si>
    <t>01041</t>
  </si>
  <si>
    <t>01042</t>
  </si>
  <si>
    <t>Wyłączenie z produkcji gruntów rolnych</t>
  </si>
  <si>
    <t>01095</t>
  </si>
  <si>
    <t>05011</t>
  </si>
  <si>
    <t>Program Operacyjny Zrównoważony rozwój sektora rybołówstwa i nadbrzeżnych obszarów rybackich 2007-2013 oraz Program Operacyjny Rybactwo i Morze 2014-2020</t>
  </si>
  <si>
    <t>150</t>
  </si>
  <si>
    <t>PRZETWÓRSTWO PRZEMYSŁOWE</t>
  </si>
  <si>
    <t>Rozwój kadr nowoczesnej gospodarki i przedsiębiorczości</t>
  </si>
  <si>
    <t>500</t>
  </si>
  <si>
    <t>HANDEL</t>
  </si>
  <si>
    <t>Promocja eksportu</t>
  </si>
  <si>
    <t>Krajowe pasażerskie przewozy kolejowe</t>
  </si>
  <si>
    <t>Infrastruktura kolejowa</t>
  </si>
  <si>
    <t>Lokalny transport zbiorowy</t>
  </si>
  <si>
    <t>Drogi publiczne wojewódzkie</t>
  </si>
  <si>
    <t>Drogi publiczne powiatowe</t>
  </si>
  <si>
    <t>Gospodarka gruntami i nieruchomościami</t>
  </si>
  <si>
    <t>Biura planowania przestrzennego</t>
  </si>
  <si>
    <t>Plany zagospodarowania przestrzennego</t>
  </si>
  <si>
    <t>720</t>
  </si>
  <si>
    <t>INFORMATYKA</t>
  </si>
  <si>
    <t>730</t>
  </si>
  <si>
    <t>SZKOLNICTWO WYŻSZE I NAUKA</t>
  </si>
  <si>
    <t>Działalność dydaktyczna i badawcza</t>
  </si>
  <si>
    <t>Samorządowe sejmiki województw</t>
  </si>
  <si>
    <t>Urzędy marszałkowskie</t>
  </si>
  <si>
    <t>Działalność informacyjna i kulturalna prowadzona za granicą</t>
  </si>
  <si>
    <t>Promocja jednostek samorządu terytorialnego</t>
  </si>
  <si>
    <t>754</t>
  </si>
  <si>
    <t>BEZPIECZEŃSTWO PUBLICZNE I OCHRONA PRZECIWPOŻAROWA</t>
  </si>
  <si>
    <t>757</t>
  </si>
  <si>
    <t>OBSŁUGA DŁUGU PUBLICZNEGO</t>
  </si>
  <si>
    <t>Rozliczenia z tytułu poręczeń i gwarancji udzielonych przez Skarb Państwa lub jednostkę samorządu terytorialnego</t>
  </si>
  <si>
    <t>758</t>
  </si>
  <si>
    <t>RÓŻNE ROZLICZENIA</t>
  </si>
  <si>
    <t>Rezerwy ogólne i celowe</t>
  </si>
  <si>
    <t>Szkoły podstawowe specjalne</t>
  </si>
  <si>
    <t>Przedszkola specjalne</t>
  </si>
  <si>
    <t>Dowożenie uczniów do szkół</t>
  </si>
  <si>
    <t>Szkoły policealne</t>
  </si>
  <si>
    <t>Licea ogólnokształcące specjalne</t>
  </si>
  <si>
    <t>Szkoły zawodowe specjalne</t>
  </si>
  <si>
    <t>Placówki kształcenia ustawicznego i centra kształcenia zawodowego</t>
  </si>
  <si>
    <t>Dokształcanie i doskonalenie nauczycieli</t>
  </si>
  <si>
    <t>Biblioteki pedagogiczne</t>
  </si>
  <si>
    <t>Realizacja zadań wymagających stosowania specjalnej organizacji nauki i metod pracy dla dzieci w przedszkolach, oddziałach przedszkolnych w szkołach podstawowych i innych formach wychowania przedszkolnego</t>
  </si>
  <si>
    <t>Szpitale ogólne</t>
  </si>
  <si>
    <t>Medycyna pracy</t>
  </si>
  <si>
    <t>Programy polityki zdrowotnej</t>
  </si>
  <si>
    <t>Zwalczanie narkomanii</t>
  </si>
  <si>
    <t>Przeciwdziałanie alkoholizmowi</t>
  </si>
  <si>
    <t>POMOC SPOŁECZNA</t>
  </si>
  <si>
    <t>Ośrodki wsparcia</t>
  </si>
  <si>
    <t>Zadania w zakresie przeciwdziałania przemocy w rodzinie</t>
  </si>
  <si>
    <t>Regionalne ośrodki polityki społecznej</t>
  </si>
  <si>
    <t>Usługi opiekuńcze i specjalistyczne usługi opiekuńcze</t>
  </si>
  <si>
    <t>Rehabilitacja zawodowa i społeczna osób niepełnosprawnych</t>
  </si>
  <si>
    <t>Państwowy Fundusz Rehabilitacji Osób Niepełnosprawnych</t>
  </si>
  <si>
    <t>Fundusz Gwarantowanych Świadczeń Pracowniczych</t>
  </si>
  <si>
    <t>Specjalne ośrodki szkolno-wychowawcze</t>
  </si>
  <si>
    <t>Wczesne wspomaganie rozwoju dziecka</t>
  </si>
  <si>
    <t>Placówki wychowania pozaszkolnego</t>
  </si>
  <si>
    <t>Internaty i bursy szkolne</t>
  </si>
  <si>
    <t>Pomoc materialna dla uczniów o charakterze socjalnym</t>
  </si>
  <si>
    <t>Pomoc materialna dla uczniów o charakterze motywacyjnym</t>
  </si>
  <si>
    <t>Wpływy i wydatki związane z gromadzeniem środków z opłat i kar za korzystanie ze środowiska</t>
  </si>
  <si>
    <t>Wpływy i wydatki związane z gromadzeniem środków z opłat produktowych</t>
  </si>
  <si>
    <t>Pozostałe działania związane z gospodarką odpadami</t>
  </si>
  <si>
    <t>Filharmonie, orkiestry, chóry i kapele</t>
  </si>
  <si>
    <t>Domy i ośrodki kultury, świetlice i kluby</t>
  </si>
  <si>
    <t>Galerie i biura wystaw artystycznych</t>
  </si>
  <si>
    <t>Centra kultury i sztuki</t>
  </si>
  <si>
    <t>Biblioteki</t>
  </si>
  <si>
    <t>Muzea</t>
  </si>
  <si>
    <t>Ochrona zabytków i opieka nad zabytkami</t>
  </si>
  <si>
    <t>OGRODY BOTANICZNE I ZOOLOGICZNE ORAZ NATURALNE OBSZARY I OBIEKTY CHRONIONEJ PRZYRODY</t>
  </si>
  <si>
    <t>Parki krajobrazowe</t>
  </si>
  <si>
    <t>Zadania w zakresie kultury fizycznej</t>
  </si>
  <si>
    <t>Gospodarka odpadami komunalnymi</t>
  </si>
  <si>
    <t>Dział</t>
  </si>
  <si>
    <t>852</t>
  </si>
  <si>
    <t>926</t>
  </si>
  <si>
    <t>KULTURA FIZYCZNA</t>
  </si>
  <si>
    <t>Technika</t>
  </si>
  <si>
    <t>Zakłady opiekuńczo-lecznicze i pielęgnacyjno-opiekuńcze</t>
  </si>
  <si>
    <t>Gospodarka ściekowa i ochrona wód</t>
  </si>
  <si>
    <t>Oświetlenie ulic, placów i dróg</t>
  </si>
  <si>
    <t>Załącznik nr 1 do Uchwały budżetowej</t>
  </si>
  <si>
    <t>Dochody budżetu Województwa Kujawsko-Pomorskiego wg źródeł pochodzenia</t>
  </si>
  <si>
    <t>Udziały 
w podatkach
 i   
subwencje</t>
  </si>
  <si>
    <t>Pozostałe dochody własne uzyskiwane  przez Województwo      i jednostki budżetowe</t>
  </si>
  <si>
    <t>Dotacje i środki na finansowanie:</t>
  </si>
  <si>
    <t xml:space="preserve"> zadań z udziałem środków z budżetu Unii Europejskiej i innych źródeł zagranicznych</t>
  </si>
  <si>
    <t>zadań pozostałych</t>
  </si>
  <si>
    <t>od jednostek  samorządu  terytorialnego</t>
  </si>
  <si>
    <t>z funduszy celowych</t>
  </si>
  <si>
    <t xml:space="preserve"> z innych źródeł zagranicznych</t>
  </si>
  <si>
    <t xml:space="preserve"> z pozostałych źródeł </t>
  </si>
  <si>
    <t xml:space="preserve">z budżetu państwa </t>
  </si>
  <si>
    <t>na finansowanie części unijnej</t>
  </si>
  <si>
    <t>na finansowanie części krajowej</t>
  </si>
  <si>
    <t>DOCHODY BIEŻĄCE</t>
  </si>
  <si>
    <t>ROLNICTWO I  ŁOWIECTWO</t>
  </si>
  <si>
    <t>756</t>
  </si>
  <si>
    <t>DOCHODY OD OSÓB PRAWNYCH, OD OSÓB FIZYCZNYCH I OD INNYCH JEDNOSTEK NIEPOSIADAJĄCYCH OSOBOWOŚCI PRAWNEJ ORAZ WYDATKI ZWIĄZANE Z ICH POBOREM</t>
  </si>
  <si>
    <t>POZOSTAŁE  ZADANIA W ZAKRESIE POLITYKI SPOŁECZNEJ</t>
  </si>
  <si>
    <t>925</t>
  </si>
  <si>
    <t>DOCHODY MAJĄTKOWE</t>
  </si>
  <si>
    <t>o g ó ł e m :</t>
  </si>
  <si>
    <t>Dochody budżetu Województwa Kujawsko - Pomorskiego wg klasyfikacji budżetowej</t>
  </si>
  <si>
    <t>Dział
Rozdział</t>
  </si>
  <si>
    <t>§</t>
  </si>
  <si>
    <t>Kwota</t>
  </si>
  <si>
    <t>DOCHODY OGÓŁEM</t>
  </si>
  <si>
    <t xml:space="preserve"> </t>
  </si>
  <si>
    <t>Program Rozwoju Obszarów Wiejskich</t>
  </si>
  <si>
    <t>Dotacja celowa w ramach programów finansowanych z udziałem środków europejskich oraz środków, o których mowa w art.5 ust.1 pkt 3 oraz ust. 3 pkt 5 i 6 ustawy, lub płatności w ramach budżetu środków europejskich, z wyłączeniem dochodów klasyfikowanych w paragrafie 205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</si>
  <si>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</si>
  <si>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0910</t>
  </si>
  <si>
    <t>Wpływy z odsetek od nieterminowych wpłat z tytułu podatków i opłat</t>
  </si>
  <si>
    <t>Dotacja celowa otrzymana z budżetu państwa na zadania bieżące z zakresu administracji rządowej oraz inne zadania zlecone ustawami realizowane przez samorząd województwa</t>
  </si>
  <si>
    <t>Środki otrzymane od pozostałych jednostek zaliczanych do sektora finansów publicznych na realizacje zadań bieżących jednostek zaliczanych do sektora finansów publicznych</t>
  </si>
  <si>
    <t>0750</t>
  </si>
  <si>
    <t>Wpływy z najmu i dzierżawy składników majątkowych Skarbu Państwa, jednostek samorządu terytorialnego lub innych jednostek zaliczanych do sektora finansów publicznych oraz innych umów o podobnym charakterze</t>
  </si>
  <si>
    <t>0620</t>
  </si>
  <si>
    <t>Wpływy z opłat za zezwolenia, akredytacje oraz opłaty ewidencyjne, w tym opłaty za częstotliwości</t>
  </si>
  <si>
    <t>0640</t>
  </si>
  <si>
    <t>Wpływy z tytułu kosztów egzekucyjnych, opłaty komorniczej i kosztów upomnień</t>
  </si>
  <si>
    <t>0870</t>
  </si>
  <si>
    <t>Wpływy ze sprzedaży składników majątkowych</t>
  </si>
  <si>
    <t>0940</t>
  </si>
  <si>
    <t>Wpływy z rozliczeń/zwrotów z lat ubiegłych</t>
  </si>
  <si>
    <t>0950</t>
  </si>
  <si>
    <t>Wpływy z tytułu kar i odszkodowań wynikających z umów</t>
  </si>
  <si>
    <t>Dotacja celowa otrzymana z tytułu pomocy finansowej udzielanej między jednostkami samorządu terytorialnego na dofinansowanie własnych zadań inwestycyjnych i zakupów inwestycyjnych</t>
  </si>
  <si>
    <t>Środki otrzymane z państwowych funduszy celowych na finansowanie lub dofinansowanie kosztów realizacji inwestycji i zakupów inwestycyjnych jednostek sektora finansów publicznych</t>
  </si>
  <si>
    <t>Dotacja celowa otrzymana z gminy na inwestycje i zakupy inwestycyjne realizowane na podstawie porozumień (umów) między jednostkami samorządu terytorialnego</t>
  </si>
  <si>
    <t>Dotacja celowa otrzymana z powiatu na inwestycje i zakupy inwestycyjne realizowane na podstawie porozumień (umów) między jednostkami samorządu terytorialnego</t>
  </si>
  <si>
    <t>Dochody jednostek samorządu terytorialnego związane z realizacją zadań z zakresu administracji rządowej oraz innych zadań zleconych ustawami</t>
  </si>
  <si>
    <t>0470</t>
  </si>
  <si>
    <t>Wpływy z opłat za trwały zarząd, użytkowanie i służebności</t>
  </si>
  <si>
    <t>0550</t>
  </si>
  <si>
    <t>Wpływy z opłat z tytułu użytkowania wieczystego nieruchomości</t>
  </si>
  <si>
    <t>0760</t>
  </si>
  <si>
    <t>Wpływy z tytułu przekształcenia prawa użytkowania wieczystego w prawo własności</t>
  </si>
  <si>
    <t>0770</t>
  </si>
  <si>
    <t>Wpłaty z tytułu odpłatnego nabycia prawa własności oraz prawa użytkowania wieczystego nieruchomości</t>
  </si>
  <si>
    <t>Dotacja celowa otrzymana z gminy na zadania bieżące realizowane na podstawie porozumień (umów) między jednostkami samorządu terytorialnego</t>
  </si>
  <si>
    <t>Dotacja celowa otrzymana z powiatu na zadania bieżące realizowane na podstawie porozumień (umów) między jednostkami samorządu terytorialnego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</si>
  <si>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</si>
  <si>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0830</t>
  </si>
  <si>
    <t>Wpływy z usług</t>
  </si>
  <si>
    <t>Dotacja celowa otrzymana z budżetu państwa na realizację bieżących zadań własnych samorządu województwa</t>
  </si>
  <si>
    <t>Komisje egzaminacyjne</t>
  </si>
  <si>
    <t xml:space="preserve">Funkcjonowanie wojewódzkich rad dialogu społecznego
</t>
  </si>
  <si>
    <t>Wpływy z innych opłat stanowiących dochody jednostek samorządu terytorialnego na podstawie ustaw</t>
  </si>
  <si>
    <t>0480</t>
  </si>
  <si>
    <t>Wpływy z opłat za zezwolenia na sprzedaż napojów alkoholowych</t>
  </si>
  <si>
    <t>0610</t>
  </si>
  <si>
    <t>Wpływy z opłat egzaminacyjnych oraz opłat za wydawanie świadectw, dyplomów, zaświadczeń, certyfikatów i ich duplikatów</t>
  </si>
  <si>
    <t>Udziały województw w podatkach stanowiących dochód budżetu państwa</t>
  </si>
  <si>
    <t>0010</t>
  </si>
  <si>
    <t>Wpływy z podatku dochodowego od osób fizycznych</t>
  </si>
  <si>
    <t>0020</t>
  </si>
  <si>
    <t>Wpływy z podatku dochodowego od osób prawnych</t>
  </si>
  <si>
    <t>Część oświatowa subwencji ogólnej dla jednostek samorządu terytorialnego</t>
  </si>
  <si>
    <t>Subwencje ogólne z budżetu państwa</t>
  </si>
  <si>
    <t>Część wyrównawcza subwencji ogólnej dla województw</t>
  </si>
  <si>
    <t>Rezerwa subwencji ogólnej dla województw</t>
  </si>
  <si>
    <t>Środki na uzupełnienie dochodów województw</t>
  </si>
  <si>
    <t>Część regionalna subwencji ogólnej dla województw</t>
  </si>
  <si>
    <t>Regionalne Programy Operacyjne 2014-2020 finansowane z udziałem środków Europejskiego Funduszu Rozwoju Regionalnego</t>
  </si>
  <si>
    <t>Dotacja celowa w ramach programów finansowanych z udziałem środków europejskich oraz środków, o których mowa w art.5 ust.1 pkt. 3 oraz ust. 3 pkt 5 i 6 ustawy, lub płatności w ramach budżetu środków europejskich, z wyłączeniem dochodów klasyfikowanych w paragrafie 625</t>
  </si>
  <si>
    <t>Dotacja celowa w ramach programów finansowych z udziałem środków europejskich oraz środków, o których mowa w art. 5 ust. 3 pkt 5 lit. a i b ustawy, lub płatności w ramach budżetu środków europejskich, realizowanych przez jednostki samorządu terytorialnego</t>
  </si>
  <si>
    <t>Regionalne Programy Operacyjne 2014-2020 finansowane z udziałem środków Europejskiego Funduszu Społecznego</t>
  </si>
  <si>
    <t>Dotacja celowa otrzymana z budżetu państwa na zadania bieżące realizowane przez samorząd województwa na podstawie porozumień z organami administracji rządowej</t>
  </si>
  <si>
    <t>Składki na ubezpieczenie zdrowotne oraz świadczenia dla osób nie objętych obowiązkiem ubezpieczenia zdrowotnego</t>
  </si>
  <si>
    <t>Wpływy z wpłat gmin i powiatów na rzecz innych jednostek samorządu terytorialnego oraz związków gmin, związków powiatowo-gminnych, związków powiatów, związków metropolitalnych na dofinansowanie zadań bieżących</t>
  </si>
  <si>
    <t>0400</t>
  </si>
  <si>
    <t>Wpływy z opłaty produktowej</t>
  </si>
  <si>
    <t>Wpływy i wydatki związane z wprowadzeniem do obrotu baterii i akumulatorów</t>
  </si>
  <si>
    <t>0240</t>
  </si>
  <si>
    <t>Wpływy z opłaty recyklingowej</t>
  </si>
  <si>
    <t>Wydatki budżetu Województwa Kujawsko - Pomorskiego wg klasyfikacji budżetowej</t>
  </si>
  <si>
    <t>WYDATKI OGÓŁEM</t>
  </si>
  <si>
    <t>Dotacja celowa z budżetu na finansowanie lub dofinansowanie zadań zleconych do realizacji pozostałym jednostkom niezaliczanym do sektora finansów publicznych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</si>
  <si>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205</t>
  </si>
  <si>
    <t>Zwrot dotacji oraz płatności wykorzystanych niezgodnie z przeznaczeniem lub wykorzystanych z naruszeniem procedur, o których mowa w art. 184 ustawy, pobranych nienależnie lub w nadmiernej wysokości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</si>
  <si>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</si>
  <si>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</si>
  <si>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</si>
  <si>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</si>
  <si>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Wynagrodzenia bezosobowe</t>
  </si>
  <si>
    <t>Nagrody konkursowe</t>
  </si>
  <si>
    <t>Zakup materiałów i wyposażenia</t>
  </si>
  <si>
    <t>Zakup środków żywności</t>
  </si>
  <si>
    <t>Zakup energii</t>
  </si>
  <si>
    <t>Zakup usług remontowych</t>
  </si>
  <si>
    <t>Zakup usług pozostałych</t>
  </si>
  <si>
    <t>Opłaty z tytułu zakupu usług telekomunikacyjnych</t>
  </si>
  <si>
    <t>Opłaty za administrowanie i czynsze za budynki, lokale i pomieszczenia garażowe</t>
  </si>
  <si>
    <t>Podróże służbowe krajowe</t>
  </si>
  <si>
    <t>Podróże służbowe zagraniczne</t>
  </si>
  <si>
    <t>Różne opłaty i składki</t>
  </si>
  <si>
    <t xml:space="preserve">Szkolenia pracowników niebędących członkami korpusu służby cywilnej </t>
  </si>
  <si>
    <t>Zwroty dotacji oraz płatności wykorzystanych niezgodnie z przeznaczeniem lub wykorzystanych z naruszeniem procedur, o których mowa w art. 184 ustawy, pobranych nienależnie lub w nadmiernej wysokości, dotyczące wydatków majątkowych</t>
  </si>
  <si>
    <t>Koszty postępowania sądowego i prokuratorskiego</t>
  </si>
  <si>
    <t>Dotacja celowa z budżetu na finansowanie lub dofinansowanie kosztów realizacji inwestycji i zakupów inwestycyjnych jednostek niezaliczanych do sektora finansów publicznych</t>
  </si>
  <si>
    <t>Dotacja celowa przekazana gminie na inwestycje i zakupy inwestycyjne realizowane na podstawie porozumień (umów) między jednostkami samorządu terytorialnego</t>
  </si>
  <si>
    <t>Dotacja celowa przekazana gminie na zadania bieżące realizowane na podstawie porozumień (umów) między jednostkami samorządu terytorialnego</t>
  </si>
  <si>
    <t>Podatek od towarów i usług (VAT).</t>
  </si>
  <si>
    <t>Składki do organizacji międzynarodowych</t>
  </si>
  <si>
    <t>Dotacja celowa z budżetu dla pozostałych jednostek zaliczanych do sektora finansów publicznych</t>
  </si>
  <si>
    <t>Dotacja celowa w ramach programów finansowanych z udziałem środków europejskich oraz środków, o których mowa w art. 5 ust. 1 pkt 3 oraz ust. 3 pkt 5 i 6 ustawy, lub płatności w ramach budżetu środków europejskich, z wyłączeniem wydatków klasyfikowanych w paragrafie 625</t>
  </si>
  <si>
    <t xml:space="preserve">Różne wydatki na rzecz osób fizycznych </t>
  </si>
  <si>
    <t>Zakup usług obejmujących wykonanie ekspertyz, analiz i opinii</t>
  </si>
  <si>
    <t>Wydatki inwestycyjne jednostek budżetowych</t>
  </si>
  <si>
    <t>Dotacja celowa przekazana do samorządu województwa na zadania bieżące realizowane na podstawie porozumień (umów) między jednostkami samorządu terytorialnego</t>
  </si>
  <si>
    <t>Dotacja przedmiotowa z budżetu dla jednostek niezaliczanych do sektora finansów publicznych</t>
  </si>
  <si>
    <t>Dotacja celowa przekazana dla powiatu na zadania bieżące realizowane na podstawie porozumień (umów) między jednostkami samorządu terytorialnego</t>
  </si>
  <si>
    <t>Wydatki osobowe niezaliczone do wynagrodzeń</t>
  </si>
  <si>
    <t>Wpłaty na Państwowy Fundusz Rehabilitacji Osób Niepełnosprawnych</t>
  </si>
  <si>
    <t>Zakup usług zdrowotnych</t>
  </si>
  <si>
    <t>Odpisy na zakładowy fundusz świadczeń socjalnych</t>
  </si>
  <si>
    <t>Podatek od nieruchomości</t>
  </si>
  <si>
    <t>Pozostałe podatki na rzecz budżetów jednostek samorządu terytorialnego</t>
  </si>
  <si>
    <t>Opłaty na rzecz budżetu państwa</t>
  </si>
  <si>
    <t>Opłaty na rzecz budżetów jednostek samorządu terytorialnego</t>
  </si>
  <si>
    <t>Wpłaty na PPK finansowane przez podmiot zatrudniający</t>
  </si>
  <si>
    <t>Wydatki na zakupy inwestycyjne jednostek budżetowych</t>
  </si>
  <si>
    <t>Dotacja celowa przekazana dla powiatu na inwestycje i zakupy inwestycyjne realizowane na podstawie porozumień (umów) między jednostkami samorządu terytorialnego</t>
  </si>
  <si>
    <t>Dotacja celowa na pomoc finansową udzielaną między jednostkami samorządu terytorialnego na dofinansowanie własnych zadań inwestycyjnych i zakupów inwestycyjnych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</si>
  <si>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</si>
  <si>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Wydatki na zakup i objęcie akcji i udziałów</t>
  </si>
  <si>
    <t>Dotacja celowa z budżetu na finansowanie lub dofinansowanie kosztów realizacji inwestycji i zakupów inwestycyjnych innych jednostek sektora finansów publicznych</t>
  </si>
  <si>
    <t>Nagrody o charakterze szczególnym niezaliczone do wynagrodzeń</t>
  </si>
  <si>
    <t>Odsetki od samorządowych papierów wartościowych lub zaciągniętych przez jednostkę samorządu terytorialnego kredytów i pożyczek</t>
  </si>
  <si>
    <t>Wypłaty z tytułu zagranicznych poręczeń i gwarancji</t>
  </si>
  <si>
    <t>Wypłaty z tytułu krajowych poręczeń i gwarancji</t>
  </si>
  <si>
    <t>Rezerwy</t>
  </si>
  <si>
    <t>Rezerwy na inwestycje i zakupy inwestycyjne</t>
  </si>
  <si>
    <t>Zakup środków dydaktycznych i książek</t>
  </si>
  <si>
    <t xml:space="preserve">Przedszkola </t>
  </si>
  <si>
    <t>Dotacja celowa przekazana z budżetu jednostki samorządu terytorialnego na dofinansowanie realizacji zadań w zakresie programów polityki zdrowotnej</t>
  </si>
  <si>
    <t>Składki na ubezpieczenie zdrowotne</t>
  </si>
  <si>
    <t>Dotacja celowa z budżetu na finansowanie lub dofinansowanie zadań zleconych do realizacji stowarzyszeniom</t>
  </si>
  <si>
    <t>Stypendia dla uczniów</t>
  </si>
  <si>
    <t>Dotacja celowa na pomoc finansową udzielaną między jednostkami samorządu terytorialnego na dofinansowanie własnych zadań bieżących</t>
  </si>
  <si>
    <t xml:space="preserve">Teatry </t>
  </si>
  <si>
    <t>Dotacja podmiotowa z budżetu dla samorządowej instytucji kultury</t>
  </si>
  <si>
    <t>Dotacja celowa z budżetu na finansowanie lub dofinansowanie prac remontowych i konserwatorskich obiektów zabytkowych przekazane jednostkom niezaliczanym do sektora finansów publicznych</t>
  </si>
  <si>
    <t>Dotacja celowa z budżetu na finansowanie lub dofinansowanie prac remontowych i konserwatorskich obiektów zabytkowych przekazane jednostkom zaliczanym do sektora finansów publicznych</t>
  </si>
  <si>
    <t>Stypendia różne</t>
  </si>
  <si>
    <t xml:space="preserve">                                                                                      Załącznik nr 4 do Uchwały budżetowej </t>
  </si>
  <si>
    <t xml:space="preserve">                                                                                              Załącznik nr 2 do Uchwały budżetowej </t>
  </si>
  <si>
    <t>Dochody</t>
  </si>
  <si>
    <t>Wydatki</t>
  </si>
  <si>
    <t>L.p.</t>
  </si>
  <si>
    <t>Realizacja ustawy o ochronie gruntów rolnych i leśnych</t>
  </si>
  <si>
    <t>Przeciwdziałanie alkoholizmowi i innym uzależnieniom</t>
  </si>
  <si>
    <t xml:space="preserve">Dochody i wydatki na zadania 
związane ze szczególnymi zasadami wykonywania budżetu </t>
  </si>
  <si>
    <t>wynikające z odrębnych ustaw</t>
  </si>
  <si>
    <t>rozdział/
paragraf</t>
  </si>
  <si>
    <t xml:space="preserve">Wyszczególnienie </t>
  </si>
  <si>
    <t>ustawa z dnia 3 lutego 1995 r. o ochronie gruntów rolnych i leśnych</t>
  </si>
  <si>
    <t>Opłaty związane z wyłączeniem z produkcji gruntów rolnych</t>
  </si>
  <si>
    <t>Szkolenia pracowników niebędących członkami korpusu służby cywilnej</t>
  </si>
  <si>
    <t xml:space="preserve">ustawa z dnia 26 października 1982 r. o wychowaniu w trzeźwości i przeciwdziałaniu alkoholizmowi </t>
  </si>
  <si>
    <t>Wpływy z opłat za zezwolenia na sprzedaż alkoholu</t>
  </si>
  <si>
    <t>Przeciwdziałanie narkomanii</t>
  </si>
  <si>
    <t>GRANTY-Przeciwdziałanie narkomanii w woj. kujawsko-pomorskim</t>
  </si>
  <si>
    <t>Dotacja celowa z budżetu jednostki samorządu terytorialnego, udzielone w trybie art. 221 ustawy, na finansowanie lub dofinansowanie zadań zleconych do realizacji organizacjom
prowadzącym działalność pożytku publicznego</t>
  </si>
  <si>
    <t>GRANTY-Aktywizacja środowisk wiejskich w zakresie rozwiazywania problemów alkoholowych, narkomanii i uzależnień</t>
  </si>
  <si>
    <t>GRANTY-Rozwiązywanie problemów alkoholowych w woj. kujawsko-pomorskim</t>
  </si>
  <si>
    <t>ustawa z dnia 27 sierpnia 1997 r. o rehabilitacji zawodowej i społecznej oraz zatrudnianiu osób niepełnosprawnych</t>
  </si>
  <si>
    <t>Odpis od środków przyznanych z PFRON</t>
  </si>
  <si>
    <t>Obsługa zadań finansowanych ze środków PFRON</t>
  </si>
  <si>
    <t>ustawa z dnia 27 kwietnia 2001 r. Prawo ochrony środowiska</t>
  </si>
  <si>
    <t>Odpis z tytułu wpłat za korzystanie ze środowiska</t>
  </si>
  <si>
    <t>Obsługa opłat środowiskowych</t>
  </si>
  <si>
    <t xml:space="preserve">ustawa z dnia 13 czerwca 2013 r. o gospodarce opakowaniami i odpadami opakowaniowymi </t>
  </si>
  <si>
    <t>Realizacja ustawy o gospodarce opakowaniami i odpadami opakowaniowymi (opłata produktowa za opakowania)</t>
  </si>
  <si>
    <t>Obsługa opłaty recyklingowej od nabywającego torbę na zakupy z tworzywa sztucznego</t>
  </si>
  <si>
    <t xml:space="preserve">ustawa z dnia 11 maja 2001 r. o obowiązkach przedsiębiorcy w zakresie gospodarowania niektórymi odpadami oraz o opłacie produktowej </t>
  </si>
  <si>
    <t xml:space="preserve">ustawa z dnia 24 kwietnia 2009 r. o bateriach i akumulatorach </t>
  </si>
  <si>
    <t>Odpis od dochodów związanych z gromadzeniem środków z tytułu wprowadzania do obrotu baterii i akumulatorów</t>
  </si>
  <si>
    <t>Obsługa opłat związanych z gromadzeniem środków z tytułu wprowadzania do obrotu baterii i akumulatorów</t>
  </si>
  <si>
    <t xml:space="preserve">ustawa z dnia 20 stycznia 2005 r. o recyklingu pojazdów wycofanych z eksploatacji </t>
  </si>
  <si>
    <t>Odpis z tytułu opłat wynikających z ustawy o recyklingu pojazdów wycofanych z eksploatacji</t>
  </si>
  <si>
    <t>Realizacja ustawy o recyklingu pojazdów wycofanych z eksploatacji</t>
  </si>
  <si>
    <t>ustawa z dnia 11 września 2015 r. o zużytym sprzęcie elektrycznym i elektronicznym</t>
  </si>
  <si>
    <t>Odpis z tytułu opłat wynikających z ustawy o zużytym sprzęcie elektrycznym i elektronicznym</t>
  </si>
  <si>
    <t>Realizacja ustawy o zużytym sprzęcie elektrycznym i elektronicznym</t>
  </si>
  <si>
    <t xml:space="preserve">ustawa z dnia 14 grudnia 2012 r. o odpadach 
</t>
  </si>
  <si>
    <t>Obsługa opłaty rejestrowej i opłaty rocznej</t>
  </si>
  <si>
    <t>Ogółem:</t>
  </si>
  <si>
    <t>Plan na 2022 rok</t>
  </si>
  <si>
    <t>Realizacja ustawy o obowiązkach przedsiębiorców w zakresie gospodarowania niektórymi odpadami oraz o opłacie produktowej (opłata produktowa za oleje i opony)</t>
  </si>
  <si>
    <t xml:space="preserve">Uchwała Nr      /     /21 Sejmiku </t>
  </si>
  <si>
    <t xml:space="preserve">Województwa z dnia     .12.2021 r.       </t>
  </si>
  <si>
    <r>
      <rPr>
        <sz val="10"/>
        <rFont val="Calibri"/>
        <family val="2"/>
        <charset val="238"/>
        <scheme val="minor"/>
      </rPr>
      <t xml:space="preserve">z budżetu państwa </t>
    </r>
    <r>
      <rPr>
        <b/>
        <sz val="10"/>
        <rFont val="Calibri"/>
        <family val="2"/>
        <charset val="238"/>
        <scheme val="minor"/>
      </rPr>
      <t>- budżet środków europejskich</t>
    </r>
  </si>
  <si>
    <r>
      <rPr>
        <sz val="10"/>
        <rFont val="Calibri"/>
        <family val="2"/>
        <charset val="238"/>
        <scheme val="minor"/>
      </rPr>
      <t xml:space="preserve">z budżetu państwa </t>
    </r>
    <r>
      <rPr>
        <b/>
        <sz val="10"/>
        <rFont val="Calibri"/>
        <family val="2"/>
        <charset val="238"/>
        <scheme val="minor"/>
      </rPr>
      <t>- budżet środków krajowych</t>
    </r>
  </si>
  <si>
    <t>ustawa z dnia 23 października 2018 r. o Rządowym Funduszu Rozwoju Dróg</t>
  </si>
  <si>
    <t>60013</t>
  </si>
  <si>
    <t>Odpis od opłaty produktowej wynikającej z ustawy o gospodarce opakowaniami i odpadami opakowaniowymi (opłata produktowa za opakowania)</t>
  </si>
  <si>
    <t>Odpis od opłaty recyklingowej od nabywającego torbę na zakupy z tworzywa sztucznego</t>
  </si>
  <si>
    <t>Odpis od opłaty produktowej wynikające z ustawy o obowiązkach przedsiębiorców w zakresie gospodarowania niektórymi odpadami oraz o opłacie produktowej (opłata produktowa za oleje i opony)</t>
  </si>
  <si>
    <t>Odpis od wpływów z opłat rejestrowych i opłat rocznych</t>
  </si>
  <si>
    <t>Środki z Rządowego Funduszu Rozwoju Dróg</t>
  </si>
  <si>
    <t xml:space="preserve">                                                                                              Uchwała Nr        /        /21 Sejmiku </t>
  </si>
  <si>
    <t xml:space="preserve">                                                                                              Województwa z dnia      .12.2021 r.</t>
  </si>
  <si>
    <t>Środki na dofinansowanie własnych inwestycji gmin, powiatów (związków gmin, zwiazków powiatowo-gminnych, związków powiatów), samorządów województw, pozyskane z innych źródeł</t>
  </si>
  <si>
    <t>Wpływy z opłaty eksploatacyjnej</t>
  </si>
  <si>
    <t>Staże i specjalizacje medyczne</t>
  </si>
  <si>
    <t>0460</t>
  </si>
  <si>
    <t>Dotacja celowa w ramach programów finansowych z udziałem środków europejskich oraz środków, o których mowa w art. 5 ust. 3 pkt 5 lit. a i b ustawy, lub płatności w ramach budżetu środków europejskich, realizowanych przez jednostki samorzadu terytorialnego</t>
  </si>
  <si>
    <t>Zakup usług obejmujacych tłumaczenia</t>
  </si>
  <si>
    <t>Kary i odszkodowania wypłacane na rzecz osób fizycznych</t>
  </si>
  <si>
    <t>Drogi publiczne gminne</t>
  </si>
  <si>
    <t>Drogi wewnetrzne</t>
  </si>
  <si>
    <t>Infrastruktura portowa</t>
  </si>
  <si>
    <t>Gospodarowanie mieszkaniowym zasobem gminy</t>
  </si>
  <si>
    <t>Dopłaty w spółkach prawa handlowego</t>
  </si>
  <si>
    <t>Ochotnicze straże pożarne</t>
  </si>
  <si>
    <t>Obsługa papierów wartościowych, kredytów i pożyczek oraz innych zobowiązań jednostek samorządu terytorialnego zaliczanych do tytułu dłużnego " kredyty i pożyczki</t>
  </si>
  <si>
    <t>Wynagrodzenia osobowe nauczycieli</t>
  </si>
  <si>
    <t>Dodatkowe wynagrodzenia roczne nauczycieli</t>
  </si>
  <si>
    <t>Zakup usług remontowo-konserwatorskich dotyczących obiektów zabytkowych będących w użytkowaniu jednostek budżetowych</t>
  </si>
  <si>
    <t>Dotacje celowe w ramach programów finansowanych z udziałem środków europejskich oraz środków, o których mowa w art. 5 ust. 1 pkt 3 oraz ust. 3 pkt 5 i 6 ustawy lub płatności w ramach budżetu środków europejskich</t>
  </si>
  <si>
    <t>Sanatoria</t>
  </si>
  <si>
    <t>Przygotowanie i realizacja zadań w ramach Rządowego Funduszu Rozwoju Dróg (przebudowa dróg wojewódzkich o znaczeniu obronnym)</t>
  </si>
  <si>
    <t xml:space="preserve">                                                                                      Uchwała Nr      /    /21 Sejmiku Województwa</t>
  </si>
  <si>
    <t xml:space="preserve">                                                                                      z dnia     .12.2021 r.</t>
  </si>
  <si>
    <t>2319</t>
  </si>
  <si>
    <t>Załącznik nr 3 do Uchwały budżetowej</t>
  </si>
  <si>
    <t>Wydatki budżetu Województwa Kujawsko-Pomorskiego wg grup wydatków</t>
  </si>
  <si>
    <t>Dział                   Rozdział</t>
  </si>
  <si>
    <t>z tego:</t>
  </si>
  <si>
    <t>Wydatki bieżące</t>
  </si>
  <si>
    <t>w tym:</t>
  </si>
  <si>
    <t>Wydatki majątkowe</t>
  </si>
  <si>
    <t>Wydatki jednostek budżetowych</t>
  </si>
  <si>
    <t>Dotacje</t>
  </si>
  <si>
    <t>Świadczenia na rzecz osób fizycznych</t>
  </si>
  <si>
    <t>Zadania z udziałem środków UE i innych źródeł zagranicznych</t>
  </si>
  <si>
    <t>Obsługa długu, poręczenia i gwarancje</t>
  </si>
  <si>
    <t>Inwestycje i zakupy inwestycyjne                   (w tym dotacje)</t>
  </si>
  <si>
    <t>Zakup i objęcie akcji i udziałów</t>
  </si>
  <si>
    <t>Wynagrodzenia z pochodnymi</t>
  </si>
  <si>
    <t>Zadania statutowe</t>
  </si>
  <si>
    <t>OGÓŁEM</t>
  </si>
  <si>
    <t xml:space="preserve">Program Rozwoju Obszarów Wiejskich                                             </t>
  </si>
  <si>
    <t>15013</t>
  </si>
  <si>
    <t>15095</t>
  </si>
  <si>
    <t>50005</t>
  </si>
  <si>
    <t>60001</t>
  </si>
  <si>
    <t>60002</t>
  </si>
  <si>
    <t>60003</t>
  </si>
  <si>
    <t>60014</t>
  </si>
  <si>
    <t>60017</t>
  </si>
  <si>
    <t>Drogi wewnętrzne</t>
  </si>
  <si>
    <t>60095</t>
  </si>
  <si>
    <t>63095</t>
  </si>
  <si>
    <t>70005</t>
  </si>
  <si>
    <t>71003</t>
  </si>
  <si>
    <t>71004</t>
  </si>
  <si>
    <t>71005</t>
  </si>
  <si>
    <t>71012</t>
  </si>
  <si>
    <t>72095</t>
  </si>
  <si>
    <t>73014</t>
  </si>
  <si>
    <t>73095</t>
  </si>
  <si>
    <t>75017</t>
  </si>
  <si>
    <t>75018</t>
  </si>
  <si>
    <t>75058</t>
  </si>
  <si>
    <t>75075</t>
  </si>
  <si>
    <t>75084</t>
  </si>
  <si>
    <t>Funkcjonowanie wojewódzkich rad dialogu społecznego</t>
  </si>
  <si>
    <t>75095</t>
  </si>
  <si>
    <t>75212</t>
  </si>
  <si>
    <t>75495</t>
  </si>
  <si>
    <t>75702</t>
  </si>
  <si>
    <t>Obsługa papierów wartościowych, kredytów i pożyczek oraz innych zobowiązań jednostek samorządu terytorialnego zaliczanych do tytułu dłużnego - kredyty i pożyczki</t>
  </si>
  <si>
    <t>75704</t>
  </si>
  <si>
    <t>75818</t>
  </si>
  <si>
    <t>80102</t>
  </si>
  <si>
    <t>Przedszkola</t>
  </si>
  <si>
    <t>80105</t>
  </si>
  <si>
    <t>80113</t>
  </si>
  <si>
    <t>80116</t>
  </si>
  <si>
    <t>80121</t>
  </si>
  <si>
    <t>80134</t>
  </si>
  <si>
    <t>80140</t>
  </si>
  <si>
    <t>80146</t>
  </si>
  <si>
    <t>80147</t>
  </si>
  <si>
    <t>80149</t>
  </si>
  <si>
    <t>80195</t>
  </si>
  <si>
    <t>Składki na ubezpieczenie zdrowotne oraz świadczenia dla osób nieobjętych obowiązkiem ubezpieczenia zdrowotnego</t>
  </si>
  <si>
    <t xml:space="preserve">EDUKACYJNA OPIEKA WYCHOWAWCZA </t>
  </si>
  <si>
    <t>Wpływy i wydatki związane z wprowadzaniem do obrotu baterii i akumulatorów</t>
  </si>
  <si>
    <t>Teatry</t>
  </si>
  <si>
    <t xml:space="preserve">KULTURA FIZYCZNA </t>
  </si>
  <si>
    <t>Załącznik nr 5 do Uchwały budżetowej</t>
  </si>
  <si>
    <t xml:space="preserve">Wynik budżetowy i finansowy </t>
  </si>
  <si>
    <t>Lp.</t>
  </si>
  <si>
    <t>Wyszczególnienie</t>
  </si>
  <si>
    <t>Plan na 2022 r.</t>
  </si>
  <si>
    <t>1.1</t>
  </si>
  <si>
    <t>dochody bieżące</t>
  </si>
  <si>
    <t>1.2</t>
  </si>
  <si>
    <t>dochody majątkowe</t>
  </si>
  <si>
    <t>Przychody</t>
  </si>
  <si>
    <t>2.1</t>
  </si>
  <si>
    <t>Niewykorzystane środki pieniężne, o których mowa w art. 217 ust. 2 pkt 8 ustawy o finansach publicznych</t>
  </si>
  <si>
    <t>2.1.1</t>
  </si>
  <si>
    <t>wynikające z rozliczenia dochodów i wydatków nimi finansowanych związanych ze szczególnymi zasadami wykonywania budżetu określonymi w odrębnych ustawach</t>
  </si>
  <si>
    <t>2.1.2</t>
  </si>
  <si>
    <t>wynikające z rozliczenia środków określonych w art.5 ust. 1 pkt 2 ustawy i dotacji na realizację programu, projektu lub zadania finansowanego z udziałem tych środków</t>
  </si>
  <si>
    <t>2.2.</t>
  </si>
  <si>
    <t>Kredyt krajowy</t>
  </si>
  <si>
    <t>2.2.1</t>
  </si>
  <si>
    <t>Kredyt na spłatę zaciągniętych kredytów</t>
  </si>
  <si>
    <t>2.2.2</t>
  </si>
  <si>
    <t>Kredyt na sfinansowanie planowanego deficytu budżetowego</t>
  </si>
  <si>
    <t>2.3</t>
  </si>
  <si>
    <t>Wolne środki, o których mowa w art. 217 ust. 2 pkt 6 ustawy o finansach publicznych</t>
  </si>
  <si>
    <t>2.3.1</t>
  </si>
  <si>
    <t>Wolne środki na spłatę zaciągniętych kredytów</t>
  </si>
  <si>
    <t>2.3.2</t>
  </si>
  <si>
    <t>Wolne środki na sfinansowanie planowanego deficytu budżetowego</t>
  </si>
  <si>
    <t>OGÓŁEM   (w.1 + w.2)</t>
  </si>
  <si>
    <t>4.1</t>
  </si>
  <si>
    <t>wydatki bieżące, w tym:</t>
  </si>
  <si>
    <t>4.1.1</t>
  </si>
  <si>
    <t>wydatki bieżące (bez obsługi długu, gwarancji i poręczeń)</t>
  </si>
  <si>
    <t>4.1.2</t>
  </si>
  <si>
    <t>wydatki na obsługę długu, gwarancje i poręczenia</t>
  </si>
  <si>
    <t>4.2</t>
  </si>
  <si>
    <t>wydatki majątkowe</t>
  </si>
  <si>
    <t>Rozchody</t>
  </si>
  <si>
    <t>5.1</t>
  </si>
  <si>
    <t>Spłata otrzymanych kredytów</t>
  </si>
  <si>
    <t>OGÓŁEM   (w.4 + w.5)</t>
  </si>
  <si>
    <t>WYNIK FINANSOWY (w.3 - w. 6)</t>
  </si>
  <si>
    <t>Deficyt (-) Nadwyżka (+) (w.1 - w. 4)</t>
  </si>
  <si>
    <t>Pokrycie deficytu budżetowego</t>
  </si>
  <si>
    <t>9.1</t>
  </si>
  <si>
    <t>9.1.1</t>
  </si>
  <si>
    <t>9.1.2</t>
  </si>
  <si>
    <t>wynikające z rozliczenia środków określonych w art. 5 ust. 1 pkt 2 ustawy i dotacji na realizację programu, projektu lub zadania finansowanego z udziałem tych środków</t>
  </si>
  <si>
    <t>9.2</t>
  </si>
  <si>
    <t>Kredyty bankowe</t>
  </si>
  <si>
    <t>9.3</t>
  </si>
  <si>
    <t>Wolne środki z lat ubiegłych</t>
  </si>
  <si>
    <t>Informacje dodatkowe</t>
  </si>
  <si>
    <t>dochody bieżące (poz. 1.1)</t>
  </si>
  <si>
    <t>wydatki bieżące (poz. 4.1)</t>
  </si>
  <si>
    <t>Nadwyżka bieżąca (poz. 1.1 - poz. 4.1)</t>
  </si>
  <si>
    <t>Dochody ogółem</t>
  </si>
  <si>
    <t xml:space="preserve"> - wydatki bieżące (bez obsługi długu)</t>
  </si>
  <si>
    <t xml:space="preserve"> + nadwyżka z lat ubiegłych+wolne środki+niewykorzystane środki</t>
  </si>
  <si>
    <t>Środki do dyspozycji na obsługę długu, gwarancje i poręczenia oraz wydatki majątkowe</t>
  </si>
  <si>
    <t xml:space="preserve"> - spłata i obsługa długu (raty + odsetki) 
oraz gwarancje i poręczenia</t>
  </si>
  <si>
    <t>Środki do dyspozycji na wydatki majątkowe</t>
  </si>
  <si>
    <t xml:space="preserve"> - wydatki majątkowe</t>
  </si>
  <si>
    <t xml:space="preserve">  Wynik</t>
  </si>
  <si>
    <t xml:space="preserve"> + kredyty zaciągnięte</t>
  </si>
  <si>
    <t xml:space="preserve"> - udzielone pożyczki</t>
  </si>
  <si>
    <t xml:space="preserve"> + spłacone pożyczki</t>
  </si>
  <si>
    <t>Wynik finansowy budżetu</t>
  </si>
  <si>
    <t xml:space="preserve">Uchwała Nr     /        /21 Sejmiku </t>
  </si>
  <si>
    <t>Województwa z dnia     .12.2021 r.</t>
  </si>
  <si>
    <t xml:space="preserve">Projekty i działania realizowane w ramach Regionalnego Programu Operacyjnego Województwa Kujawsko-Pomorskiego 2014-2020 
Plan na 2022 rok </t>
  </si>
  <si>
    <t>Działanie</t>
  </si>
  <si>
    <t>Kategoria interwencji</t>
  </si>
  <si>
    <t>Nazwa Projektu/Działania</t>
  </si>
  <si>
    <t>Realizator/
instytucja wdrażająca</t>
  </si>
  <si>
    <t>Klasyfikacja budżetowa
Dział
Rozdział</t>
  </si>
  <si>
    <t>Okres realizacji</t>
  </si>
  <si>
    <t>Wydatki całkowite
na lata 2014-2023 w tym:</t>
  </si>
  <si>
    <t>Przewidywane wykonanie do końca 2021 r.</t>
  </si>
  <si>
    <t>Wydatki 2022</t>
  </si>
  <si>
    <t>UE</t>
  </si>
  <si>
    <t>Wydatki
ogółem</t>
  </si>
  <si>
    <t>Unia Europejska</t>
  </si>
  <si>
    <t xml:space="preserve">Ogółem </t>
  </si>
  <si>
    <t>Wkład krajowy</t>
  </si>
  <si>
    <t>BP</t>
  </si>
  <si>
    <t>Budżet państwa</t>
  </si>
  <si>
    <t>Budżet Województwa</t>
  </si>
  <si>
    <t xml:space="preserve">Inne </t>
  </si>
  <si>
    <t>Środki własne</t>
  </si>
  <si>
    <t xml:space="preserve">Bieżące </t>
  </si>
  <si>
    <t>Inwestycyjne</t>
  </si>
  <si>
    <t>Bieżące</t>
  </si>
  <si>
    <t>Ogólem</t>
  </si>
  <si>
    <t>8a</t>
  </si>
  <si>
    <t>9=10+13</t>
  </si>
  <si>
    <t>10=11+12</t>
  </si>
  <si>
    <t>13=14+17+20</t>
  </si>
  <si>
    <t>14=15+16</t>
  </si>
  <si>
    <t>17=18+19</t>
  </si>
  <si>
    <t>20=21+22</t>
  </si>
  <si>
    <t xml:space="preserve">Wydatki realizowane i nadzorowane przez wojewódzkie jednostki organizacyjne </t>
  </si>
  <si>
    <t>1.5.2</t>
  </si>
  <si>
    <t>066</t>
  </si>
  <si>
    <t>Invest in BiT CITY 2. Promocja potencjału gospodarczego oraz promocja atrakcyjności inwestycyjnej miast prezydenckich województwa kujawsko-pomorskiego</t>
  </si>
  <si>
    <t xml:space="preserve">Urząd Marszałkowski w Toruniu </t>
  </si>
  <si>
    <t>750
75075</t>
  </si>
  <si>
    <t>2016 - 2023</t>
  </si>
  <si>
    <t>Expressway - promocja terenów inwestycyjnych</t>
  </si>
  <si>
    <t>Wsparcie umiędzynarodowienia kujawsko-pomorskich MŚP oraz promocja potencjału gospodarczego regionu</t>
  </si>
  <si>
    <t>2018 - 2022</t>
  </si>
  <si>
    <t>Przygotowanie i rozwój pakietu usług doradczych/informacyjnych w zakresie umiędzynarodowienia działalności przedsiębiorstw z sektora MŚP oraz pozyskania działalności inwestycyjnej przez Kujawsko-Pomorskie Centrum Obsługi Inwestorów i Eksporterów</t>
  </si>
  <si>
    <t>500
50005</t>
  </si>
  <si>
    <t>2019 - 2023</t>
  </si>
  <si>
    <t>Kujawy + Pomorze - promocja potencjału gospodarczego regionu - edycja II</t>
  </si>
  <si>
    <t>2021 - 2023</t>
  </si>
  <si>
    <t>078, 101</t>
  </si>
  <si>
    <t>Infostrada Kujaw i Pomorza 2.0</t>
  </si>
  <si>
    <t>720
72095</t>
  </si>
  <si>
    <t>081</t>
  </si>
  <si>
    <t>Budowa kujawsko-pomorskiego systemu udostępniania elektronicznej dokumentacji medycznej - I etap</t>
  </si>
  <si>
    <t>Budowa kujawsko-pomorskiego systemu udostępniania elektronicznej dokumentacji medycznej - II etap</t>
  </si>
  <si>
    <t>2.2</t>
  </si>
  <si>
    <t>079, 101</t>
  </si>
  <si>
    <t>Kultura w zasięgu 2.0</t>
  </si>
  <si>
    <t>3.3</t>
  </si>
  <si>
    <t>013</t>
  </si>
  <si>
    <t>Termomodernizacja obiektów użyteczności publicznej: budynek Regionalnego Ośrodka Polityki Społecznej w Toruniu</t>
  </si>
  <si>
    <t>ROPS 
w Toruniu</t>
  </si>
  <si>
    <t>852
85217</t>
  </si>
  <si>
    <t>2019 - 2022</t>
  </si>
  <si>
    <t>3.4</t>
  </si>
  <si>
    <t>090</t>
  </si>
  <si>
    <t>Ograniczenie emisji spalin poprzez rozbudowę sieci dróg rowerowych, znajdujących się w koncepcji rozwoju systemu transportu Bydgosko-Toruńskiego Obszaru Funkcjonalnego dla: Części nr 2 - Złotoria - Nowa Wieś - Lubicz Górny w ciągu drogi wojewódzkiej nr 657</t>
  </si>
  <si>
    <t>ZDW 
w Bydgoszczy</t>
  </si>
  <si>
    <t>600
60013</t>
  </si>
  <si>
    <t>2016 - 2022</t>
  </si>
  <si>
    <t>Ograniczenie emisji spalin poprzez rozbudowę sieci dróg rowerowych, znajdujących się w koncepcji rozwoju systemu transportu Bydgosko-Toruńskiego Obszaru Funkcjonalnego dla: Części nr 3 - Toruń - Mała Nieszawka - Wielka Nieszawka - Cierpice w ciągu drogi wojewódzkiej nr 273</t>
  </si>
  <si>
    <t>3.5.2</t>
  </si>
  <si>
    <t>Ograniczenie emisji spalin poprzez rozbudowę sieci dróg rowerowych, znajdujących się w koncepcji rozwoju systemu transportu Bydgosko-Toruńskiego Obszaru Funkcjonalnego dla: Części nr 1 - Nawra - Kończewice - Chełmża - Zalesie - Kiełbasin - Mlewo - Mlewiec - Srebrniki - Sierakowo w ciągu dróg wojewódzkich nr: 551, 649, 554</t>
  </si>
  <si>
    <t>Poprawa bezpieczeństwa i komfortu życia mieszkańców oraz wsparcie niskoemisyjnego transportu drogowego poprzez wybudowanie dróg dla rowerów na terenie powiatu bydgoskiego (lider:  gmina Solec Kujawski, powiat bydgoski)</t>
  </si>
  <si>
    <t>2017 - 2023</t>
  </si>
  <si>
    <t>017</t>
  </si>
  <si>
    <t>Punkty selektywnego zbierania odpadów komunalnych w województwie kujawsko-pomorskim</t>
  </si>
  <si>
    <t>900
90026</t>
  </si>
  <si>
    <t>2018 - 2023</t>
  </si>
  <si>
    <t>4.4</t>
  </si>
  <si>
    <t>095</t>
  </si>
  <si>
    <t>Kujawsko-Pomorskie - rozwój poprzez kulturę 2021</t>
  </si>
  <si>
    <t>921
92195</t>
  </si>
  <si>
    <t>2021 - 2022</t>
  </si>
  <si>
    <t>034</t>
  </si>
  <si>
    <t>Rozbudowa drogi wojewódzkiej Nr 548 Stolno-Wąbrzeźno od km 0+005 do km 29+619 z wyłączeniem węzła autostradowego w m. Lisewo od km 14+144 do km 15+146</t>
  </si>
  <si>
    <t>600                 60013</t>
  </si>
  <si>
    <t>Przebudowa i rozbudowa drogi wojewódzkiej Nr 559 na odcinku Lipno - Kamień Kotowy - granica województwa</t>
  </si>
  <si>
    <t>Przebudowa wraz z rozbudową drogi wojewódzkiej Nr 254 Brzoza-Łabiszyn-Barcin-Mogilno-Wylatowo (odcinek Brzoza-Barcin). Odcinek I od km 0+069 do km 13+280</t>
  </si>
  <si>
    <t>Przebudowa wraz z rozbudową drogi wojewódzkiej Nr 254 Brzoza-Łabiszyn-Barcin-Mogilno-Wylatowo (odcinek Brzoza-Barcin). Odcinek II od km 13+280 do km 22+400</t>
  </si>
  <si>
    <t>Rozbudowa drogi wojewódzkiej Nr 270 Brześć Kujawski-Izbica Kujawska-Koło od km 0+000 do km 29+023 - Budowa obwodnicy m. Lubraniec</t>
  </si>
  <si>
    <t>Przebudowa z rozbudową drogi wojewódzkiej Nr 270 Brześć Kujawski-Izbica Kujawska-Koło od km 0+000 do km 29+023. Etap I od km 1+100 do km 7+762</t>
  </si>
  <si>
    <t>2020 - 2023</t>
  </si>
  <si>
    <t>Przebudowa drogi wojewódzkiej Nr 249 wraz z uruchomieniem przeprawy promowej przez Wisłę na wysokości Solca Kujawskiego i Czarnowa</t>
  </si>
  <si>
    <t>Przebudowa wraz z rozbudową drogi wojewódzkiej Nr 563 Rypin-Żuromin-Mława od km 2+475 do km 16+656. Etap II - Przebudowa drogi wojewódzkiej Nr 563 na odcinku Stępowo-granica województwa od km 10+100 do km 16+656</t>
  </si>
  <si>
    <t>5.3</t>
  </si>
  <si>
    <t>026</t>
  </si>
  <si>
    <t>Opracowanie dokumentacji projektowej i przedprojektowej dla projektu pn. Budowa linii kolejowej na odcinku Trzciniec - Port Lotniczy Bydgoszcz - Solec Kujawski - etap I i II</t>
  </si>
  <si>
    <t>600                 60002</t>
  </si>
  <si>
    <t>6.1.1</t>
  </si>
  <si>
    <t>053</t>
  </si>
  <si>
    <t>Doposażenie szpitali w województwie kujawsko-pomorskim związane z zapobieganiem, przeciwdzialaniem i zwalczaniem COVID-19</t>
  </si>
  <si>
    <t>851                 85195</t>
  </si>
  <si>
    <t>2020 - 2022</t>
  </si>
  <si>
    <t>Doposażenie szpitali w województwie kujawsko-pomorskim w związku z zapobieganiem, przeciwdzialaniem i zwalczaniem COVID-19 - etap II</t>
  </si>
  <si>
    <t xml:space="preserve">ROPS                  w Toruniu </t>
  </si>
  <si>
    <t>6.3.1</t>
  </si>
  <si>
    <t>052</t>
  </si>
  <si>
    <t>Tylko w Korczaku jest super dzieciaku</t>
  </si>
  <si>
    <t>854                 85403</t>
  </si>
  <si>
    <t>2017 - 2022</t>
  </si>
  <si>
    <t>"Dostrzec to co niewidoczne" - zwiększenie dostępności do edukacji przedszkolnej w ośrodku Braille'a w Bydgoszczy</t>
  </si>
  <si>
    <t>6.3.2</t>
  </si>
  <si>
    <t>Artyści w zawodzie - modernizacja warsztatów kształcenia zawodowego w KPSOSW im. J. Korczaka w Toruniu</t>
  </si>
  <si>
    <t>"Usłyszeć potrzeby" - wzmocnienie pozycji uczniów słabosłyszących i niesłyszących w ramach rozbudowy warsztatów zawodowych Kujawsko-Pomorskiego Specjalnego Ośrodka Szkolno-Wychowawczego nr 2 w Bydgoszczy w kontekscie zwiększenia szans na rynku pracy</t>
  </si>
  <si>
    <t>Kwalifikacyjne Kursy Zawodowe twoją zawodową szansą - nowe formy praktycznej nauki zawodu w Kujawsko-Pomorskim Centrum Kształcenia Zawodowego w Bydgoszczy</t>
  </si>
  <si>
    <t>801                 80140</t>
  </si>
  <si>
    <t>6.5</t>
  </si>
  <si>
    <t>093</t>
  </si>
  <si>
    <t>Przygotowanie dokumentacji projektowo-kosztorysowej na potrzeby utworzenia 'Młyna Energii" w Grudziądzu</t>
  </si>
  <si>
    <t>700               70005</t>
  </si>
  <si>
    <t>2020-2022</t>
  </si>
  <si>
    <t>8.4.1</t>
  </si>
  <si>
    <t>105</t>
  </si>
  <si>
    <t>Aktywna Mama, aktywny Tata</t>
  </si>
  <si>
    <t>852                 85295</t>
  </si>
  <si>
    <t>8.6.1</t>
  </si>
  <si>
    <t>107</t>
  </si>
  <si>
    <t>Zdrowi i aktywni w pracy 2</t>
  </si>
  <si>
    <t>Zdrowiej w pracy i po pracy</t>
  </si>
  <si>
    <t>WUP 
w Toruniu</t>
  </si>
  <si>
    <t>853
85332</t>
  </si>
  <si>
    <t>9.2.2</t>
  </si>
  <si>
    <t>109</t>
  </si>
  <si>
    <t>Wykluczenie - nie ma MOWy!</t>
  </si>
  <si>
    <t>852
85295</t>
  </si>
  <si>
    <t>Trampolina 3</t>
  </si>
  <si>
    <t>9.3.1</t>
  </si>
  <si>
    <t>112</t>
  </si>
  <si>
    <t>Organizacja ośrodków regeneracji w celu ograniczania negatywnych skutków Covid-19</t>
  </si>
  <si>
    <t>851
85195</t>
  </si>
  <si>
    <t>Realizacja działań z zakresu edukacji i bezpieczeństwa publicznego ukierunkowanych na kształtowanie własciwych postaw funkcjonowania społecznego w sytuacji występowania zagrożeń epidemiologicznych</t>
  </si>
  <si>
    <t>9.3.2</t>
  </si>
  <si>
    <t>Rodzina w Centrum 3</t>
  </si>
  <si>
    <t>855
85595</t>
  </si>
  <si>
    <t>Pogodna jesień życia na Kujawach i Pomorzu - projekt rozwoju pomocy środowiskowej dla seniorów (Lider Kujawsko-Pomorski Oddział Okręgowy Polskiego Czerwonego Krzyża w Bydgoszczy)</t>
  </si>
  <si>
    <t>Kujawsko-Pomorska Teleopieka</t>
  </si>
  <si>
    <t>Inicjatywy w zakresie usług społecznych realizowanych przez NGO</t>
  </si>
  <si>
    <t>853
85395</t>
  </si>
  <si>
    <t>Wsparcie osób starszych i kadry świadczącej usługi społeczne w zakresie przeciwdziałania rozprzestrzenianiu się COVID-19, łagodzenia jego skutków na terenie województwa kujawsko-pomorskiego</t>
  </si>
  <si>
    <t>9.4.2</t>
  </si>
  <si>
    <t>113</t>
  </si>
  <si>
    <t>Koordynacja rozwoju ekonomii społecznej w województwie kujawsko-pomorskim (II)</t>
  </si>
  <si>
    <t>10.2.1</t>
  </si>
  <si>
    <t>115</t>
  </si>
  <si>
    <t>Przedszkolaki - debeściaki - edukacja przedszkolna i terapia dla dzieci z niepełnosprawnościami</t>
  </si>
  <si>
    <t>801
80105</t>
  </si>
  <si>
    <t>10.2.2</t>
  </si>
  <si>
    <t>Region Nauk Ścisłych II - edukacja przyszłości</t>
  </si>
  <si>
    <t>801
80195</t>
  </si>
  <si>
    <t>Niebo nad Astrobazami - rozwijamy kompetencje kluczowe uczniów</t>
  </si>
  <si>
    <t>10.2.3</t>
  </si>
  <si>
    <t>118</t>
  </si>
  <si>
    <t>Zdobądź z nami doświadczenie - to cos więcej niż uczenie</t>
  </si>
  <si>
    <t xml:space="preserve">Urząd Marszałkowski w Toruniu/ KPSOSW nr 2 
w Bydgoszczy </t>
  </si>
  <si>
    <t>801
80134</t>
  </si>
  <si>
    <t>Mistrz zawodu - moja pełnosprawność na rynku pracy</t>
  </si>
  <si>
    <t xml:space="preserve">Urząd Marszałkowski w Toruniu/
KPSOSW nr 1 
w Bydgoszczy </t>
  </si>
  <si>
    <t>Eksperci w swej branży</t>
  </si>
  <si>
    <t>2022 - 2023</t>
  </si>
  <si>
    <t>10.3.1</t>
  </si>
  <si>
    <t>Prymus Pomorza i Kujaw</t>
  </si>
  <si>
    <t>854
85416</t>
  </si>
  <si>
    <t>Humaniści na start</t>
  </si>
  <si>
    <t>10.3.2</t>
  </si>
  <si>
    <t>Prymusi Zawodu Kujaw i Pomorza II</t>
  </si>
  <si>
    <t>10.4.1</t>
  </si>
  <si>
    <t>117</t>
  </si>
  <si>
    <t>W Kujawsko-Pomorskiem - Mówisz - masz - certyfikowane szkolenia językowe</t>
  </si>
  <si>
    <t>150
15013</t>
  </si>
  <si>
    <t>Wydatki realizowane i nadzorowane przez wojewódzkie jednostki organizacyjne</t>
  </si>
  <si>
    <t>Wydatki realizowane w ramach pomocy technicznej</t>
  </si>
  <si>
    <t>12.1</t>
  </si>
  <si>
    <t>121, 122</t>
  </si>
  <si>
    <t>WPD PT Sprawne zarządzanie i wdrażanie RPO WK-P 
w latach 2018-2022</t>
  </si>
  <si>
    <t>750
75018</t>
  </si>
  <si>
    <t>Opracowanie dokumentacji projektowej dla strategicznych zadań w szpitalach wojewódzkich dla nowego okresu programowania 2021-2027</t>
  </si>
  <si>
    <t>851
85111</t>
  </si>
  <si>
    <t>Pomoc Techniczna RPO WK-P 2014-2020 Działanie 12.1 (pula do wykorzystania)</t>
  </si>
  <si>
    <t>12.2</t>
  </si>
  <si>
    <t>Skuteczna informacja i promocja, w tym wzmocnienie potencjału beneficjentów Programu</t>
  </si>
  <si>
    <t xml:space="preserve">Wydatki realizowane w ramach pomocy technicznej </t>
  </si>
  <si>
    <t xml:space="preserve">Działania i projekty realizowane przez beneficjentów zewnętrznych, którym samorząd województwa przekazuje dotacje na współfinansowanie krajowe </t>
  </si>
  <si>
    <t>013, 014</t>
  </si>
  <si>
    <t xml:space="preserve">Efektywność energetyczna w sektorze publicznym i mieszkaniowym </t>
  </si>
  <si>
    <t>900
90095</t>
  </si>
  <si>
    <t>X</t>
  </si>
  <si>
    <t>x</t>
  </si>
  <si>
    <t>043, 044, 090</t>
  </si>
  <si>
    <t>Zrównoważona mobilność miejska i promowanie strategii niskoemisyjnych</t>
  </si>
  <si>
    <t>600
60014
60016
900
90015</t>
  </si>
  <si>
    <t>3.5.1</t>
  </si>
  <si>
    <t>Efektywność energetyczna w sektorze publicznym i mieszkaniowym w ramach ZIT</t>
  </si>
  <si>
    <t>088</t>
  </si>
  <si>
    <t>Wzmocnienie systemów ratownictwa chemiczno-ekologicznego i służb ratowniczych</t>
  </si>
  <si>
    <t>754
75412</t>
  </si>
  <si>
    <t>4.3</t>
  </si>
  <si>
    <t>020, 021, 022, 023</t>
  </si>
  <si>
    <t>Rozwój infrastruktury wodno-ściekowej</t>
  </si>
  <si>
    <t>900
90001</t>
  </si>
  <si>
    <t>Inwestycje w infrastrukturę zdrowotną</t>
  </si>
  <si>
    <t>851
85111
85117</t>
  </si>
  <si>
    <t>6.1.2</t>
  </si>
  <si>
    <t>053, 054, 055, 101</t>
  </si>
  <si>
    <t>Inwestycje w infrastrukturę społeczną</t>
  </si>
  <si>
    <t>6.2</t>
  </si>
  <si>
    <t>034, 054, 055, 101</t>
  </si>
  <si>
    <t>Rewitalizacja obszarów miejskich i ich obszarów funkcjonalnych</t>
  </si>
  <si>
    <t>052, 080, 101</t>
  </si>
  <si>
    <t>Inwestycje w infrastrukturę przedszkolną</t>
  </si>
  <si>
    <t>801
80104</t>
  </si>
  <si>
    <t>049, 050, 080, 101</t>
  </si>
  <si>
    <t>Inwestycje w infrastrukturę kształcenia zawodowego</t>
  </si>
  <si>
    <t>801
80115</t>
  </si>
  <si>
    <t>6.4.1</t>
  </si>
  <si>
    <t>Rewitalizacja obszarów miejskich i ich obszarów funkcjonalnych w ramach ZIT</t>
  </si>
  <si>
    <t>7.1</t>
  </si>
  <si>
    <t>034, 097</t>
  </si>
  <si>
    <t>Rozwój lokalny kierowany przez społeczność</t>
  </si>
  <si>
    <t>8.2.1</t>
  </si>
  <si>
    <t>Wsparcie na rzecz podniesienia poziomu aktywności zawodowej osób pozostających bez zatrudnienia</t>
  </si>
  <si>
    <t>8.2.2</t>
  </si>
  <si>
    <t>102</t>
  </si>
  <si>
    <t>Wsparcie osób pracujących znajdujących się w niekorzystnej sytuacji na rynku pracy</t>
  </si>
  <si>
    <t>8.3</t>
  </si>
  <si>
    <t>104</t>
  </si>
  <si>
    <t>Wsparcie przedsiębiorczości i samozatrudnienia w regionie</t>
  </si>
  <si>
    <t>Urząd Marszałkowski w Toruniu</t>
  </si>
  <si>
    <t>8.5.2</t>
  </si>
  <si>
    <t>106</t>
  </si>
  <si>
    <t>Wsparcie outplacementowe</t>
  </si>
  <si>
    <t>Wsparcie na rzecz wydłużania aktywności zawodowej mieszkańców</t>
  </si>
  <si>
    <t>851            85195</t>
  </si>
  <si>
    <t>8.6.2</t>
  </si>
  <si>
    <t xml:space="preserve">Regionalne programy polityki zdrowotnej i profilaktyczne </t>
  </si>
  <si>
    <t>851            85149</t>
  </si>
  <si>
    <t>Rozwój usług opiekuńczych w ramach ZIT</t>
  </si>
  <si>
    <t>852            85228</t>
  </si>
  <si>
    <t>9.2.1</t>
  </si>
  <si>
    <t>Aktywne włączenie społeczne</t>
  </si>
  <si>
    <t>852            85295</t>
  </si>
  <si>
    <t>Rozwój usług zdrowotnych</t>
  </si>
  <si>
    <t>Rozwój usług społecznych</t>
  </si>
  <si>
    <t>9.4.1</t>
  </si>
  <si>
    <t>Rozwój podmiotów sektora ekonomii społecznej</t>
  </si>
  <si>
    <t>852            85203</t>
  </si>
  <si>
    <t>10.1.2</t>
  </si>
  <si>
    <t>Kształcenie ogólne w ramach ZIT</t>
  </si>
  <si>
    <t>801 
80195</t>
  </si>
  <si>
    <t>10.1.3</t>
  </si>
  <si>
    <t>Kształcenie zawodowe w ramach ZIT</t>
  </si>
  <si>
    <t>Kształcenie ogólne</t>
  </si>
  <si>
    <t>Kształcenie zawodowe</t>
  </si>
  <si>
    <t>Edukacja dorosłych w zakresie kompetencji cyfrowych i języków obcych</t>
  </si>
  <si>
    <t>150 
15013</t>
  </si>
  <si>
    <t>10.4.2</t>
  </si>
  <si>
    <t>Edukacja dorosłych na rzecz rynku pracy</t>
  </si>
  <si>
    <t>Działania i projekty realizowane przez beneficjentów zewnętrznych, którym samorząd województwa przekazuje dotacje na współfinansowanie krajowe</t>
  </si>
  <si>
    <t>Załącznik nr 6 do Uchwały budżetowej</t>
  </si>
  <si>
    <t xml:space="preserve">Uchwała Nr      /       /21 Sejmiku </t>
  </si>
  <si>
    <t>Pozostałe projekty i działania realizowane ze środków zagranicznych 
Plan na 2022 rok</t>
  </si>
  <si>
    <t xml:space="preserve">Program/ Działanie </t>
  </si>
  <si>
    <t>Nazwa Projektu</t>
  </si>
  <si>
    <t>Wydatki całkowite
 w tym:</t>
  </si>
  <si>
    <t>Przewidywane wykonanie do końca 2021 r. w tym:</t>
  </si>
  <si>
    <t>Krajowy wkład publiczny</t>
  </si>
  <si>
    <t>Inne publiczne</t>
  </si>
  <si>
    <t xml:space="preserve">Wydatki realizowane przez wojewódzkie jednostki organizacyjne </t>
  </si>
  <si>
    <t>PO PT</t>
  </si>
  <si>
    <t>Punkty Informacyjne Funduszy Europejskich WK-P</t>
  </si>
  <si>
    <t>750
75095</t>
  </si>
  <si>
    <t>2014 - 2022</t>
  </si>
  <si>
    <t>Wsparcie gmin w przygotowaniu i koordynacji programów rewitalizacji</t>
  </si>
  <si>
    <t>PO WER
Działanie 1.2</t>
  </si>
  <si>
    <t>Wsparcie osób młodych na regionalnym rynku pracy - projekty konkursowe</t>
  </si>
  <si>
    <t>WUP
w Toruniu</t>
  </si>
  <si>
    <t>PO WER
Działanie 2.5</t>
  </si>
  <si>
    <t>Kooperacja - efektywna i skuteczna</t>
  </si>
  <si>
    <t>ROPS
w Toruniu</t>
  </si>
  <si>
    <t>PO WER
Działanie 2.18</t>
  </si>
  <si>
    <t>Wdrażanie standardów obsługi inwestora w samorządach województwa kujawsko-pomorskiego 
(lider: Euro Innowacje sp. z o.o.)</t>
  </si>
  <si>
    <t>PO WER 
Pomoc Techniczna</t>
  </si>
  <si>
    <t>Pomoc Techniczna Programu Operacyjnego Wiedza Edukacja Rozwój</t>
  </si>
  <si>
    <t>2015 - 2022</t>
  </si>
  <si>
    <t>PO IŚ
Działanie 8.1</t>
  </si>
  <si>
    <t>Młyn Kultury - Przebudowa, rozbudowa i zmiana sposobu użytkowania budynku magazynowego przy ul. Kościuszki 77 w Toruniu - na budynek o funkcji użyteczności publicznej</t>
  </si>
  <si>
    <t xml:space="preserve">PROW
Pomoc Techniczna </t>
  </si>
  <si>
    <t>Schemat I - Wzmocnienie systemu wdrażania Programu</t>
  </si>
  <si>
    <t>010
01041</t>
  </si>
  <si>
    <t>2015 - 2023</t>
  </si>
  <si>
    <t>Schemat II - Wsparcie systemu funkcjonowania krajowej sieci obszarów wiejskich oraz realizacja działań informacyjno-promocyjnych PROW 2014-2020 (działania informacyjno-promocyjne)</t>
  </si>
  <si>
    <t>Schemat II - Wsparcie systemu funkcjonowania krajowej sieci obszarów wiejskich oraz realizacja działań informacyjno-promocyjnych PROW 2014-2020  (krajowa sieć obszarów wiejskich)</t>
  </si>
  <si>
    <t>Rybactwo i Morze 2014-2020 
Pomoc Techniczna</t>
  </si>
  <si>
    <t>Pomoc Techniczna Programu Operacyjnego Rybactwo i Morze 2014-2020</t>
  </si>
  <si>
    <t>050
05011</t>
  </si>
  <si>
    <t>ERASMUS+</t>
  </si>
  <si>
    <t>Podróż ku niezależności (A journey to independence)</t>
  </si>
  <si>
    <t>KPSOSW Nr 1 w Bydgoszczy</t>
  </si>
  <si>
    <t>INTERREG (Europa)</t>
  </si>
  <si>
    <t>Digitourism</t>
  </si>
  <si>
    <t>150
15095</t>
  </si>
  <si>
    <t>ECO-CICLE</t>
  </si>
  <si>
    <t>630
63095</t>
  </si>
  <si>
    <t>Cult-CreaTE</t>
  </si>
  <si>
    <t>ThreeT</t>
  </si>
  <si>
    <t>Załącznik Nr 7 do Uchwały budżetowej</t>
  </si>
  <si>
    <t xml:space="preserve">Uchwała Nr    /      /21 Sejmiku </t>
  </si>
  <si>
    <t>Województwa z dnia   .12.2021 r.</t>
  </si>
  <si>
    <t>Załącznik nr 8 do Uchwały budżetowej</t>
  </si>
  <si>
    <t>Wydatki na zadania inwestycyjne</t>
  </si>
  <si>
    <t>Lp</t>
  </si>
  <si>
    <t>Rozdział</t>
  </si>
  <si>
    <t>Nazwa zadania inwestycyjnego</t>
  </si>
  <si>
    <t>Ogólny koszt zadania</t>
  </si>
  <si>
    <t>Przewidywane nakłady poniesione do końca 2021 r.</t>
  </si>
  <si>
    <t>Planowane wydatki</t>
  </si>
  <si>
    <t>Jednostka organizacyjna realizująca zadanie lub koordynująca wykonanie zadania</t>
  </si>
  <si>
    <t>na rok budżetowy 2022</t>
  </si>
  <si>
    <t>z tego źródła finansowania:</t>
  </si>
  <si>
    <t>środki własne Województwa</t>
  </si>
  <si>
    <t>dotacje/środki</t>
  </si>
  <si>
    <t>I</t>
  </si>
  <si>
    <t>Inwestycje jednoroczne</t>
  </si>
  <si>
    <t>Budowa i modernizacja dróg dojazdowych do gruntów rolnych, rekultywacja i poprawa jakości gruntów rolnych oraz odtworzenie możliwości retencjonowania wody</t>
  </si>
  <si>
    <t>Budowa wiaduktów i przystanków kolejowych w bydgosko-toruńskim obszarze metropolitalnym - uzyskanie certyfikatów zgodności dla podsystemów i składników interoperacyjności WE w kolejnictwie</t>
  </si>
  <si>
    <t>Modernizacja dróg</t>
  </si>
  <si>
    <t>Zarząd Dróg Wojewódzkich w Bydgoszczy</t>
  </si>
  <si>
    <t>Wykup gruntu</t>
  </si>
  <si>
    <t>Drogowa Inicjatywa Samorządowa</t>
  </si>
  <si>
    <t>Modernizacja dróg wojewódzkich, grupa I - Kujawsko-pomorskiego planu spójności komunikacji drogowej i kolejowej 2014-2020</t>
  </si>
  <si>
    <t>Modernizacja dróg wojewódzkich, grupa III - Kujawsko-pomorskiego planu spójności komunikacji drogowej i kolejowej 2014-2020</t>
  </si>
  <si>
    <t>Zakupy inwestycyjne</t>
  </si>
  <si>
    <t xml:space="preserve">Program rewitalizacji i ochrony zadrzewień alejowych przy drogach wojewódzkich </t>
  </si>
  <si>
    <t>Przebudowa drogi wojewódzkiej Nr 251 od km 45+145 do km 46+800 odc. Młodocin-Pturek wraz z przebudową przepustu w km 46+216</t>
  </si>
  <si>
    <t>Rozbudowa drogi wojewódzkiej Nr 551 Strzyżawa-Unisław-Wąbrzeźno poprzez budowę drogi rowerowej na odcinku Kończewice-Warszewice-Bogusławki</t>
  </si>
  <si>
    <t>Rozbudowa drogi wojewódzkiej Nr 551 poprzez budowę drogi pieszo-rowerowej na odcinku od ul. Strażackiej w Wybczu do granicy gmin Łubianka i Chełmża, dł. 1105 m</t>
  </si>
  <si>
    <t>60016</t>
  </si>
  <si>
    <t>Przebudowa drogi gminnej nr 080155C w miejscowości Jabłonowo-Zamek - wsparcie finansowe</t>
  </si>
  <si>
    <t xml:space="preserve">Nabycie nieruchomości położonych w Bydgoszczy przy ul. Stanisława Staszica i Ks. Hugona Kołłątaja </t>
  </si>
  <si>
    <t>70007</t>
  </si>
  <si>
    <t>Budowa komunalnego budynku mieszkalnego w miejscowości Nawra - pomoc finansowa</t>
  </si>
  <si>
    <t>Zakup serwera wraz z oprogramowaniem</t>
  </si>
  <si>
    <t>Kujawsko-Pomorskie Biuro Planowania Przestrzennego i Regionalnego we Włocławku</t>
  </si>
  <si>
    <t>Wydatki inwestycyjne</t>
  </si>
  <si>
    <t>Kujawsko-Pomorskie Centrum Edukacji Nauczycieli we Włocławku</t>
  </si>
  <si>
    <t>85115</t>
  </si>
  <si>
    <t xml:space="preserve">Przebudowa i modernizacja infrastruktury z dostosowaniem pomieszczeń do wymogów sanitarnych związanych z COVID-19 w segmencie A - lewe skrzydło segmentu </t>
  </si>
  <si>
    <t>Sanatorium Uzdrowiskowe "Przy Tężni" im. dr Józefa Krzymińskiego w Inowrocławiu</t>
  </si>
  <si>
    <t>85217</t>
  </si>
  <si>
    <t xml:space="preserve">Przebudowa schodów wejściowych oraz zakup i wdrożenie licencji Oracle do programu KSAT </t>
  </si>
  <si>
    <t>Regionalny Ośrodek Polityki Społecznej w Toruniu</t>
  </si>
  <si>
    <t>85403</t>
  </si>
  <si>
    <t xml:space="preserve">Kujawsko-Pomorski Specjalny Ośrodek Szkolno-Wychowawczy im. J. Korczaka w Toruniu </t>
  </si>
  <si>
    <t>90095</t>
  </si>
  <si>
    <t>Zakup licencji oprogramowania</t>
  </si>
  <si>
    <t>92106</t>
  </si>
  <si>
    <t>Opera Nova w Bydgoszczy</t>
  </si>
  <si>
    <t>Modernizacja kurtyny przeciwpożarowej w Operze Nova w Bydgoszczy</t>
  </si>
  <si>
    <t>Dokumentacje projektowe</t>
  </si>
  <si>
    <t>Zakup systemów nagłośnieniowych i multimedialnych dla Teatru im. Wilama Horzycy w Toruniu</t>
  </si>
  <si>
    <t xml:space="preserve">Teatr im. W. Horzycy w Toruniu </t>
  </si>
  <si>
    <t>92109</t>
  </si>
  <si>
    <t>Wykonanie instalacji sygnalizacji pożaru dla dwóch budynków Pałacu Lubostroń w Lubostroniu</t>
  </si>
  <si>
    <t>Pałac Lubostroń w Lubostroniu</t>
  </si>
  <si>
    <t>92116</t>
  </si>
  <si>
    <t>Zakup sprzętu komputerowego i oprogramowania</t>
  </si>
  <si>
    <t>Wojewódzka i Miejska Biblioteka Publiczna w Bydgoszczy</t>
  </si>
  <si>
    <t>Zakup wyposażenia</t>
  </si>
  <si>
    <t>92118</t>
  </si>
  <si>
    <t>Modernizacja instalacji elektrycznych w oddziałach Muzeum Ziemi Kujawskiej i Dobrzyńskiej we Włocławku</t>
  </si>
  <si>
    <t>Muzeum Ziemi Kujawskiej i Dobrzyńskiej we Włocławku</t>
  </si>
  <si>
    <t>Muzeum Etnograficzne w Toruniu</t>
  </si>
  <si>
    <t>92605</t>
  </si>
  <si>
    <t>Mała architektura i budowa infrastruktury sportowej przy obiektach edukacyjnych - wsparcie finansowe</t>
  </si>
  <si>
    <t>RAZEM</t>
  </si>
  <si>
    <t>II</t>
  </si>
  <si>
    <t>Inwestycje wieloletnie</t>
  </si>
  <si>
    <t>Zakup kolejowego taboru pasażerskiego</t>
  </si>
  <si>
    <t>2021-2022</t>
  </si>
  <si>
    <t>Roboty dodatkowe i uzupełniające związane z realizacją inwestycji drogowych w ramach grupy I RPO</t>
  </si>
  <si>
    <t>2018-2022</t>
  </si>
  <si>
    <t xml:space="preserve">Zarząd Dróg Wojewódzkich w Bydgoszczy </t>
  </si>
  <si>
    <t>Przygotowanie dokumentacji projektowych do realizacji zadań w ramach Programu modernizacji dróg wojewódzkich z grupy I i III Kujawsko-pomorskiego planu spójności komunikacji drogowej i kolejowej 2014-2020</t>
  </si>
  <si>
    <t>Przygotowanie i realizacja zadań w ramach Rządowego Funduszu Rozwoju Dróg</t>
  </si>
  <si>
    <t>2020-2024</t>
  </si>
  <si>
    <t>Rozbudowa drogi wojewódzkiej Nr 244 Kamieniec-Strzelce Dolne, m. Żołędowo, ul. Jastrzębia od km 30+068 do km 33+342, dł. 3,274 km</t>
  </si>
  <si>
    <t>2021-2023</t>
  </si>
  <si>
    <t xml:space="preserve">Budowa obwodnicy miasta Rypina, w tym opracowanie Studium Techniczno-Ekonomiczno-Środowiskowego wraz z uzyskaniem decyzji o środowiskowych uwarunkowaniach zgody na realizację przedsięwzięcia </t>
  </si>
  <si>
    <t>2021-2027</t>
  </si>
  <si>
    <t>Przebudowa drogi wojewódzkiej Nr 246 Paterek-Dąbrowa Biskupia odc. Rojewo-Płonkówko od km 59+344 do km 63+500, dł. 4,156 km</t>
  </si>
  <si>
    <t>Przebudowa drogi wojewódzkiej Nr 265 Brześć Kujawski-Kowal-Gostynin na odcinku Kowal-granica województwa od km 19+117 do km 34+025</t>
  </si>
  <si>
    <t>Prace projektowe związane z Nową Perspektywą Finansową 2021-2027</t>
  </si>
  <si>
    <t>Przebudowa drogi wojewódzkiej nr 544 polegająca na odnowie nawierzchni od km 2+100 do km 20+436 z wyłączeniem odcinków: od km 3+395 do km 3+527, dł. 0,132 km; od km 10+337 do km 10+357, dł. 0,020 km; od km 18+730 do km 19+100, dł. 0,370 km; od km 19+535 do km 19+570, dł. 0,035 km wraz z przebudową przepustu w ciągu drogi wojewódzkiej nr 544 w km 10+342 w m. Łaszewo</t>
  </si>
  <si>
    <t>Przebudowa drogi wojewódzkiej Nr 551 Strzyżawa-Dąbrowa Chełmińska-Unisław-Wybcz-Chełmża-Wąbrzeźno na odcinku od km 17+515 do km 22+550</t>
  </si>
  <si>
    <t>Rozbudowa drogi wojewódzkiej Nr 543 Paparzyn-Szabda w m. Jabłonowo-Zamek</t>
  </si>
  <si>
    <t>Roboty dodatkowe i uzupełniające - ścieżki rowerowe</t>
  </si>
  <si>
    <t>Budowa wiat magazynowych</t>
  </si>
  <si>
    <t>Rozbudowa drogi wojewódzkiej Nr 272 od skrzyżowania z drogą wojewódzką Nr 239, drogą powiatową Nr 1046C do ul. Szkolnej w Laskowicach na odcinku ok. 990 mb</t>
  </si>
  <si>
    <t>Przebudowa wiaduktu w ciągu drogi wojewódzkiej Nr 240 Chojnice-Świecie w km 64+533 w miejscowości Terespol Pomorski</t>
  </si>
  <si>
    <t>Przebudowa drogi wojewódzkiej, tj. ul. Magazynowej w Inowrocławiu na odcinku od ul. Prezydenta Gabriela Narutowicza do ul. Dworcowej</t>
  </si>
  <si>
    <t>2019-2023</t>
  </si>
  <si>
    <t>Budowa ścieżki pieszo-rowerowej wzdłuż drogi wojewódzkiej Nr 534, tj. od skrzyżowania z drogą powiatową Nr 2205C Długie-Rakowo-Cetki od skrzyżowania z ul. Kościuszki w Rypinie - opracowanie dokumentacji technicznej</t>
  </si>
  <si>
    <t>Przebudowa dróg powiatowych w powiecie świeckim na odcinku od skrzyżowania z drogą wojewódzką Nr 240 do miejscowości Laskowice (dł. 25,725 km) od ul. Miodowej do ul. Wojska Polskiego w Świeciu (dł. około 270 m) oraz od drogi wojewódzkiej Nr 214 do miejscowości Osie (19,232 km) - wsparcie finansowe</t>
  </si>
  <si>
    <t>2017-2022</t>
  </si>
  <si>
    <t xml:space="preserve">Opracowanie dokumentacji Studium Techniczno-Ekonomiczno-Środowiskowego dla połączenia Miasta Bydgoszczy  z węzłem drogowym na trasie szybkiego ruchu S5 i S10 w miejscowości Białe Błota-wsparcie finansowe </t>
  </si>
  <si>
    <t>2018-2023</t>
  </si>
  <si>
    <r>
      <t>Budowa parkingu przy Operze Nova w Bydgoszczy</t>
    </r>
    <r>
      <rPr>
        <i/>
        <sz val="10"/>
        <rFont val="Calibri"/>
        <family val="2"/>
        <charset val="238"/>
      </rPr>
      <t xml:space="preserve"> </t>
    </r>
  </si>
  <si>
    <t>2021-2024</t>
  </si>
  <si>
    <t>Modernizacja nieruchomości w Toruniu przy ul. Św. Jakuba 3-5, Wola Zamkowa 8-10, 10A i 12A (rozliczenie z użytkownikiem)</t>
  </si>
  <si>
    <t>2016-2031</t>
  </si>
  <si>
    <t>Przygotowanie dokumentacji na potrzeby realizacji projektu pn. "Młyn Energii w Grudziądzu"</t>
  </si>
  <si>
    <t>Kultura w zasięgu 2.0 - wkład własny wojewódzkich jednostek organizacyjnych</t>
  </si>
  <si>
    <t>Rozbudowa kampusu UTP w Bydgoszczy w Fordonie (partycypacja do 30 % wysokości dotacji ministerialnej)</t>
  </si>
  <si>
    <t>Modernizacja i rozbudowa budynku Urzędu Marszałkowskiego - Etap I</t>
  </si>
  <si>
    <t>2009-2025</t>
  </si>
  <si>
    <t>Rozbudowa budynku KPCEN w Toruniu</t>
  </si>
  <si>
    <t>2022-2024</t>
  </si>
  <si>
    <t>Nadbudowa i rozbudowa dawnego budynku kinoteatru Grunwald usytuowanego przy ul. Warszawskiej 11 w Toruniu z przeznaczeniem na teatr - Utworzenie "DUŻEJ SCENY" Kujawsko-Pomorskiego Impresaryjnego Teatru Muzycznego w Toruniu</t>
  </si>
  <si>
    <t>Kujawsko-Pomorski Teatr Muzyczny w Toruniu</t>
  </si>
  <si>
    <t>Przebudowa i remont konserwatorski budynku Pałacu Dąmbskich w Toruniu</t>
  </si>
  <si>
    <t>2015-2022</t>
  </si>
  <si>
    <t>Rozbudowa Opery Nova w Bydgoszczy o IV krąg</t>
  </si>
  <si>
    <t>Wykonanie robót budowlanych polegających na remoncie, przebudowie i modernizacji istniejącego Zespołu Pałacowo-Parkowego w miejscowości Wieniec koło Włocławka wraz z infrastrukturą zewnętrzną i zagospodarowaniem terenu Parku</t>
  </si>
  <si>
    <t>2019-2022</t>
  </si>
  <si>
    <t>Rozbudowa Kujawsko-Pomorskiego Centrum Muzyki w miejscowości Wieniec koło Włocławka</t>
  </si>
  <si>
    <t>Rozszerzenie funkcjonalności teatralno-koncertowej poprzez rozbudowę i doposażenie dawnego budynku kinoteatru Grunwald</t>
  </si>
  <si>
    <t>2020-2023</t>
  </si>
  <si>
    <t>Rozbudowa i remont Filharmonii Pomorskiej w Bydgoszczy - Przygotowanie dokumentacji</t>
  </si>
  <si>
    <t>2017-2026</t>
  </si>
  <si>
    <t>Filharmonia Pomorska im. J. Paderewskiego w Bydgoszczy</t>
  </si>
  <si>
    <t>Adaptacja pomieszczeń piwnicznych w budynku Kujawsko-Pomorskiego Centrum Kultury w Bydgoszczy</t>
  </si>
  <si>
    <t>Kujawsko-Pomorskie Centrum Kultury w Bydgoszczy</t>
  </si>
  <si>
    <t>III</t>
  </si>
  <si>
    <t>Inwestycje ujęte w Regionalnym Programie Operacyjnym Województwa Kujawsko-Pomorskiego 2014-2020</t>
  </si>
  <si>
    <t xml:space="preserve">              </t>
  </si>
  <si>
    <t>IV</t>
  </si>
  <si>
    <t>Pozostałe projekty i działania realizowane ze środków zagranicznych</t>
  </si>
  <si>
    <t>Załącznik nr 9 do Uchwały budżetowej</t>
  </si>
  <si>
    <t xml:space="preserve">                                                                                                                             </t>
  </si>
  <si>
    <t>Uchwała Nr    /      /21 Sejmiku Województwa</t>
  </si>
  <si>
    <t xml:space="preserve">z dnia     .12.2021 r.         </t>
  </si>
  <si>
    <t>Uchwała Nr   /      /21 Sejmiku Województwa</t>
  </si>
  <si>
    <t xml:space="preserve"> Dotacje udzielane z budżetu Województwa Kujawsko - Pomorskiego </t>
  </si>
  <si>
    <t xml:space="preserve">Dział </t>
  </si>
  <si>
    <t>Nazwa zadania / Podmiot dotowany</t>
  </si>
  <si>
    <t>Dotacje dla jednostek sektora finansów publicznych</t>
  </si>
  <si>
    <t>Dotacje dla jednostek spoza sektora finansów publicznych</t>
  </si>
  <si>
    <t>Razem</t>
  </si>
  <si>
    <t>inwestycje</t>
  </si>
  <si>
    <t>bieżące</t>
  </si>
  <si>
    <t xml:space="preserve"> I DOTACJE PRZEDMIOTOWE</t>
  </si>
  <si>
    <t>Dotowanie kolejowych przewozów pasażerskich</t>
  </si>
  <si>
    <t>Dotowanie kolejowych przewozów pasażerskich 2022-2030 (Pakiet A)</t>
  </si>
  <si>
    <t>Dotowanie kolejowych przewozów pasażerskich 2022-2030 (Pakiet B1)</t>
  </si>
  <si>
    <t>Dotowanie kolejowych przewozów pasażerskich 2022-2030 (Pakiet B2)</t>
  </si>
  <si>
    <t>Dotowanie kolejowych przewozów pasażerskich 2022-2030 (Pakiet C)</t>
  </si>
  <si>
    <t>Dotowanie kolejowych przewozów pasażerskich 2022-2030 (Pakiet D)</t>
  </si>
  <si>
    <t>Dotowanie kolejowych przewozów pasażerskich 2022-2030 (Pakiet E)</t>
  </si>
  <si>
    <t>Dotowanie kolejowych przewozów pasażerskich 2022-2030 (Pakiet F)</t>
  </si>
  <si>
    <t>Dotowanie kolejowych przewozów pasażerskich 2022-2030 (Pakiet G)</t>
  </si>
  <si>
    <t>Dotowanie kolejowych przewozów pasażerskich 2022-2030 (Pakiet H)</t>
  </si>
  <si>
    <t>Dotowanie kolejowych przewozów pasażerskich 2022-2030 (Pakiet I)</t>
  </si>
  <si>
    <t xml:space="preserve"> II DOTACJE PODMIOTOWE</t>
  </si>
  <si>
    <t>Dotacje dla instytucji kultury</t>
  </si>
  <si>
    <t>Teatr im. W. Horzycy w Toruniu</t>
  </si>
  <si>
    <t xml:space="preserve">Działalność statutowa  </t>
  </si>
  <si>
    <t>Zadanie remontowe - remonty</t>
  </si>
  <si>
    <t>Filharmonia Pomorska w Bydgoszczy</t>
  </si>
  <si>
    <t>92108</t>
  </si>
  <si>
    <t>Wojewódzki Ośrodek Animacji Kultury w Toruniu</t>
  </si>
  <si>
    <t>Kujawsko-Pomorskie Centrum Dziedzictwa w Toruniu</t>
  </si>
  <si>
    <t>Ośrodek Chopinowski w Szafarni</t>
  </si>
  <si>
    <t xml:space="preserve">Działalność statutowa w tym:  </t>
  </si>
  <si>
    <t xml:space="preserve"> - ze środków własnych Województwa</t>
  </si>
  <si>
    <t xml:space="preserve"> - ze środków Gminy Radomin</t>
  </si>
  <si>
    <t>Galeria Sztuki "Wozownia" w Toruniu</t>
  </si>
  <si>
    <t>92110</t>
  </si>
  <si>
    <t>Galeria i Ośrodek Plastycznej Twórczości Dziecka w Torunia</t>
  </si>
  <si>
    <t>Centrum Sztuki Współczesnej "Znaki Czasu"</t>
  </si>
  <si>
    <t>92113</t>
  </si>
  <si>
    <t xml:space="preserve"> - ze środków Miasta Bydgoszczy</t>
  </si>
  <si>
    <t>Wojewódzka Biblioteka Publiczna - Książnica Kopernikańska w Toruniu</t>
  </si>
  <si>
    <t xml:space="preserve"> - ze środków Miasta Torunia</t>
  </si>
  <si>
    <t>Zadanie remontowe - Renowacja elewacji oraz wejścia do budynku Arsenału</t>
  </si>
  <si>
    <t>Muzeum Archeologiczne w Biskupinie</t>
  </si>
  <si>
    <t xml:space="preserve"> III DOTACJE CELOWE</t>
  </si>
  <si>
    <t xml:space="preserve"> Na zadania realizowane w ramach Regionalnego Programu Operacyjnego WK-P 2014-2020</t>
  </si>
  <si>
    <t>W Kujawsko-Pomorskiem Mówisz-masz - certyfikowane szkolenia językowe</t>
  </si>
  <si>
    <t>Poprawa bezpieczeństwa i komfortu życia mieszkańców oraz wsparcie niskoemisyjnego transportu drogowego poprzez wybudowanie dróg dla rowerów na terenie powiatu bydgoskiego (lider: gmina Solec Kujawski, powiat bydgoski)</t>
  </si>
  <si>
    <t>75412</t>
  </si>
  <si>
    <t>80104</t>
  </si>
  <si>
    <t>80115</t>
  </si>
  <si>
    <t>85111</t>
  </si>
  <si>
    <t>85117</t>
  </si>
  <si>
    <t>85149</t>
  </si>
  <si>
    <t>Regionalne programy polityki zdrowotnej i profilaktyczne</t>
  </si>
  <si>
    <t>85195</t>
  </si>
  <si>
    <t xml:space="preserve">Doposażenie szpitali w województwie kujawsko-pomorskim związane z zapobieganiem, przeciwdziałaniem i zwalczaniem COVID-19 </t>
  </si>
  <si>
    <t>Doposażenie szpitali w województwie kujawsko-pomorskim związane z zapobieganiem, przeciwdziałaniem i zwalczaniem COVID-19 - etap II</t>
  </si>
  <si>
    <t>Wsparcie na rzecz wydłużenia aktywności zawodowej mieszkańców</t>
  </si>
  <si>
    <t>85203</t>
  </si>
  <si>
    <t>85228</t>
  </si>
  <si>
    <t>85295</t>
  </si>
  <si>
    <t>85395</t>
  </si>
  <si>
    <t>Inicjatywy w zakresie usług społecznych realizowane przez NGO</t>
  </si>
  <si>
    <t>85595</t>
  </si>
  <si>
    <t>90001</t>
  </si>
  <si>
    <t>90015</t>
  </si>
  <si>
    <t>90026</t>
  </si>
  <si>
    <t xml:space="preserve"> Na zadania realizowane w ramach Programu Operacyjnego Wiedza Edukacja i Rozwój</t>
  </si>
  <si>
    <t>2.5</t>
  </si>
  <si>
    <t>85332</t>
  </si>
  <si>
    <t>Wsparcie osób młodych na regionalnym rynku pracy</t>
  </si>
  <si>
    <t xml:space="preserve"> Na zadania realizowane w ramach Programu Rozwoju Obszarów Wiejskich 2014-2020</t>
  </si>
  <si>
    <t>PT PROW 2014-2020 - Schemat II - Wsparcie funkcjonowania krajowej sieci obszarów wiejskich oraz realizacja działań informacyjno-promocyjnych PROW 2014-2020 (krajowa sieć obszarów wiejskich)</t>
  </si>
  <si>
    <t>Na pozostałe zadania</t>
  </si>
  <si>
    <r>
      <t xml:space="preserve">Spółki wodne - </t>
    </r>
    <r>
      <rPr>
        <b/>
        <i/>
        <sz val="10"/>
        <color indexed="8"/>
        <rFont val="Calibri"/>
        <family val="2"/>
        <charset val="238"/>
        <scheme val="minor"/>
      </rPr>
      <t>pomoc finansowa dla gmin</t>
    </r>
  </si>
  <si>
    <t>Organizacja dożynek</t>
  </si>
  <si>
    <t>Wsparcie aktywnych Kół Gospodyń Wiejskich</t>
  </si>
  <si>
    <t>Dopłaty do ustawowych ulg przejazdowych w krajowych autobusowych przewozach pasażerskich</t>
  </si>
  <si>
    <t>60004</t>
  </si>
  <si>
    <t>Zapewnienie funkcjonowania publicznego transportu zbiorowego w zakresie przewozów autobusowych o charakterze użyteczności publicznej</t>
  </si>
  <si>
    <r>
      <t xml:space="preserve">Przebudowa drogi wojewódzkiej, tj. ul. Magazynowej w Inowrocławiu na odcinku od ul. Prezydenta Gabriela Narutowicza do ul. Dworcowej </t>
    </r>
    <r>
      <rPr>
        <b/>
        <i/>
        <sz val="10"/>
        <color indexed="8"/>
        <rFont val="Calibri"/>
        <family val="2"/>
        <charset val="238"/>
        <scheme val="minor"/>
      </rPr>
      <t>(IW)</t>
    </r>
  </si>
  <si>
    <r>
      <t>Budowa ścieżki pieszo-rowerowej wzdłuż drogi wojewódzkiej Nr 534 od miejscowości Ostrowite do skrzyżowania z ul. Kościuszki w Rypinie - opracowanie dokumentacji technicznej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</si>
  <si>
    <t>Rozbudowa drogi wojewódzkiej Nr 551 poprzez budowę drogi pieszo-rowerowej na odcinku od ul. Strażackiej w Wybczu do granicy gmin Łubianka i Chełmża, dł. 1.105 m</t>
  </si>
  <si>
    <r>
      <t xml:space="preserve">Przebudowa dróg powiatowych w powiecie świeckim na odcinku od skrzyżowania z drogą wojewódzką Nr 240 do miejscowości Laskowice (dł. 25,725 km) od ul. Miodowej do ul. Wojska Polskiego w Świeciu (dł. około 270 m) oraz od drogi wojewódzkiej Nr 214 do miejscowości Osie (19,232 km) - </t>
    </r>
    <r>
      <rPr>
        <b/>
        <i/>
        <sz val="10"/>
        <color indexed="8"/>
        <rFont val="Calibri"/>
        <family val="2"/>
        <charset val="238"/>
        <scheme val="minor"/>
      </rPr>
      <t>wsparcie finansowe (IW)</t>
    </r>
  </si>
  <si>
    <r>
      <t xml:space="preserve">Opracowanie dokumentacji Studium Techniczno-Ekonomiczno-Środowiskowego dla połączenia Miasta Bydgoszczy z węzłem drogowym na trasie szybkiego ruchu S5 i S10 w miejscowości Białe Błota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  <r>
      <rPr>
        <sz val="10"/>
        <color indexed="8"/>
        <rFont val="Calibri"/>
        <family val="2"/>
        <charset val="238"/>
        <scheme val="minor"/>
      </rPr>
      <t xml:space="preserve">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</si>
  <si>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Przebudowa drogi gminnej nr 080155C w miejscowości Jabłonowo-Zamek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</si>
  <si>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r>
      <t xml:space="preserve">Budowa parkingu przy Operze Nova w Bydgoszczy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</si>
  <si>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t>Rewitalizacja międzynarodowych dróg wodnych (E40 i E70) na terenie województwa kujawsko-pomorskiego</t>
  </si>
  <si>
    <t>63003</t>
  </si>
  <si>
    <r>
      <t>Zadania w zakresie turystyki i krajoznawstwa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</si>
  <si>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 xml:space="preserve">Budowa komunalnego budynku mieszkalnego w miejscowości Nawra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</si>
  <si>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t>Laboratorium myśli św. Jana Pawła II</t>
  </si>
  <si>
    <t>Centrum Badania Historii "Solidarności" i Oporu Społecznego w PRL</t>
  </si>
  <si>
    <t>Rozbudowa kampusu UTP w Bydgoszczy w Fordonie (partycypacja do 30% wysokości dotacji ministerialnej)</t>
  </si>
  <si>
    <r>
      <t>Działalność na rzecz organizacji pozarządowych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</si>
  <si>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ERASMUS+Podróż ku niezależności (A journey to independence)</t>
  </si>
  <si>
    <r>
      <t>Sanatorium Uzdrowiskowe w Inowrocławiu - Przebudowa i modernizacja infrastruktury z dostosowaniem pomieszczeń do wymogów sanitarnych związanych z COVID-19 w segmencie A - lewe skrzydło segmentu</t>
    </r>
    <r>
      <rPr>
        <i/>
        <sz val="10"/>
        <color indexed="8"/>
        <rFont val="Calibri"/>
        <family val="2"/>
        <charset val="238"/>
        <scheme val="minor"/>
      </rPr>
      <t xml:space="preserve">
Sanatorium Uzdrowiskowe "Przy Tężni" im. dr Józefa Krzymińskiego w Inowrocławiu</t>
    </r>
  </si>
  <si>
    <r>
      <t>Ochrona i promocja zdrowia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</si>
  <si>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Województwo Promujące Zdrowie</t>
  </si>
  <si>
    <t>85153</t>
  </si>
  <si>
    <r>
      <t>Przeciwdziałanie narkomanii w województwie kujawsko-pomorskim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</si>
  <si>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85154</t>
  </si>
  <si>
    <r>
      <t>Aktywizacja środowisk wiejskich w zakresie rozwiązywania problemów alkoholowych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</si>
  <si>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Rozwiązywanie problemów alkoholowych w województwie kujawsko-pomorskim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</si>
  <si>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85205</t>
  </si>
  <si>
    <t xml:space="preserve">Wojewódzki Program przeciwdziałania przemocy w rodzinie dla województwa kujawsko-pomorskiego do roku 2026 </t>
  </si>
  <si>
    <r>
      <t>Przeciwdziałanie przemocy w rodzinie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</si>
  <si>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85311</t>
  </si>
  <si>
    <t xml:space="preserve">Dofinansowanie kosztów działalności Zakładów Aktywności Zawodowej </t>
  </si>
  <si>
    <r>
      <t>Budowanie niezależności i włączenia społecznego osób z niepełnosprawnościami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</si>
  <si>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85415</t>
  </si>
  <si>
    <t xml:space="preserve">Stypendia dla uczniów </t>
  </si>
  <si>
    <t>85509</t>
  </si>
  <si>
    <r>
      <t>Wspieranie działań z zakresu opieki adopcyjno-wychowawczej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</si>
  <si>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aktywizacji i integracji społecznej seniorów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</si>
  <si>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Wsparcie działań z zakresu opieki nad osobami przewlekle chorymi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</si>
  <si>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rodzin w wypełnianiu funkcji rodzicielskich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</si>
  <si>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zajęć rozwojowych dla dzieci i młodzieży zagrożonych wykluczeniem społecznym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</si>
  <si>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prac wychowawczych z dziećmi i młodzieżą, realizowanych przez organizacje młodzieżowe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</si>
  <si>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rPr>
        <sz val="10"/>
        <color indexed="8"/>
        <rFont val="Calibri"/>
        <family val="2"/>
        <charset val="238"/>
        <scheme val="minor"/>
      </rPr>
      <t>Modernizacja kurtyny przeciwpożarowej w Operze Nova w Bydgoszczy</t>
    </r>
    <r>
      <rPr>
        <i/>
        <sz val="10"/>
        <color indexed="8"/>
        <rFont val="Calibri"/>
        <family val="2"/>
        <charset val="238"/>
        <scheme val="minor"/>
      </rPr>
      <t xml:space="preserve">
Opera NOVA w Bydgoszczy</t>
    </r>
  </si>
  <si>
    <r>
      <rPr>
        <sz val="10"/>
        <color indexed="8"/>
        <rFont val="Calibri"/>
        <family val="2"/>
        <charset val="238"/>
        <scheme val="minor"/>
      </rPr>
      <t>Opera NOVA w Bydgoszczy - Zakupy inwestycyjne</t>
    </r>
    <r>
      <rPr>
        <i/>
        <sz val="10"/>
        <color indexed="8"/>
        <rFont val="Calibri"/>
        <family val="2"/>
        <charset val="238"/>
        <scheme val="minor"/>
      </rPr>
      <t xml:space="preserve">
Opera NOVA w Bydgoszczy</t>
    </r>
  </si>
  <si>
    <r>
      <t xml:space="preserve">Rozbudowa Opery Nova w Bydgoszczy o IV krąg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</si>
  <si>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r>
      <t xml:space="preserve">Edukacja kulturalna - Młody Teatr 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</si>
  <si>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 xml:space="preserve">Zakup systemów nagłośnieniowych i multimedialnych dla Teatru im. Wilama Horzycy w Toruniu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</si>
  <si>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>Przebudowa i remont konserwatorski budynku Pałacu Dąmbskich w Toruniu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</si>
  <si>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Nadbudowa i rozbudowa dawnego budynku kinoteatru Grunwald usytuowanego przy ul. Warszawskiej 11 w Toruniu z przeznaczeniem na teatr - Utworzenie "DUŻEJ SCENY" Kujawsko-Pomorskiego Impresaryjnego Teatru Muzycznego w Toruniu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</si>
  <si>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Wykonanie robót budowlanych polegających na remoncie, przebudowie i modernizacji istniejącego Zespołu Pałacowo-Parkowego w miejscowości Wieniec koło Włocławka wraz z infrastrukturą zewnętrzną i zagospodarowaniem terenu Parku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</si>
  <si>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Rozbudowa Kujawskiego Centrum Muzyki w miejscowości Wieniec koło Włocławka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</si>
  <si>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Rozszerzenie funkcjonalności teatralno-koncertowej poprzez rozbudowę i doposażenie dawnego budynku kinoteatru Grunwald</t>
    </r>
    <r>
      <rPr>
        <b/>
        <i/>
        <sz val="10"/>
        <color indexed="8"/>
        <rFont val="Calibri"/>
        <family val="2"/>
        <charset val="238"/>
        <scheme val="minor"/>
      </rPr>
      <t xml:space="preserve"> (IW)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</si>
  <si>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Rozbudowa i remont Filharmonii Pomorskiej w Bydgoszczy - przygotowanie dokumentacji (IW)
</t>
    </r>
    <r>
      <rPr>
        <i/>
        <sz val="10"/>
        <color indexed="8"/>
        <rFont val="Calibri"/>
        <family val="2"/>
        <charset val="238"/>
        <scheme val="minor"/>
      </rPr>
      <t>Filharmonia Pomorska w Bydgoszczy</t>
    </r>
  </si>
  <si>
    <r>
      <t xml:space="preserve">Wykonanie instalacji sygnalizacji pożaru dla dwóch budynków Pałacu Lubostroń w Lubostroniu
</t>
    </r>
    <r>
      <rPr>
        <i/>
        <sz val="10"/>
        <color indexed="8"/>
        <rFont val="Calibri"/>
        <family val="2"/>
        <charset val="238"/>
        <scheme val="minor"/>
      </rPr>
      <t>Pałac Lubostroń w Lubostroniu</t>
    </r>
  </si>
  <si>
    <r>
      <t xml:space="preserve">Adaptacja pomieszczeń piwnicznych w budynku Kujawsko-Pomorskiego Centrum Kultury w Bydgoszczy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Kujawsko-Pomorskie Centrum Kultury w Bydgoszczy</t>
    </r>
  </si>
  <si>
    <r>
      <t xml:space="preserve">Ośrodek Chopinowski w Szafarni - Zakup wyposażenia
</t>
    </r>
    <r>
      <rPr>
        <i/>
        <sz val="10"/>
        <color indexed="8"/>
        <rFont val="Calibri"/>
        <family val="2"/>
        <charset val="238"/>
        <scheme val="minor"/>
      </rPr>
      <t>Ośrodek Chopinowski w Szafarni</t>
    </r>
  </si>
  <si>
    <r>
      <t xml:space="preserve">Wydanie tomów 20-22 punktowanego czasopisma naukowego "Folia Toruniensia"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</si>
  <si>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Zakup wyposażenia - Wojewódzka i Miejska Biblioteka Publiczna im. dr W. Bełzy w Bydgoszczy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</si>
  <si>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Wojewódzka i Miejska Biblioteka Publiczna w Bydgoszczy - Zakup sprzętu komputerowego i oprogramowania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</si>
  <si>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t>Dofinansowanie działalności bieżącej Muzeum Ziemi Pałuckiej w Żninie - wsparcie finansowe</t>
  </si>
  <si>
    <r>
      <t xml:space="preserve">Modernizacja instalacji elektrycznych w oddziałach Muzeum Ziemi Kujawskiej i Dobrzyńskiej we Włocławku
</t>
    </r>
    <r>
      <rPr>
        <i/>
        <sz val="10"/>
        <color indexed="8"/>
        <rFont val="Calibri"/>
        <family val="2"/>
        <charset val="238"/>
        <scheme val="minor"/>
      </rPr>
      <t>Muzeum Ziemi Kujawskiej i Dobrzyńskiej we Włocławku</t>
    </r>
  </si>
  <si>
    <r>
      <t>Muzeum Etnograficzne w Toruniu - Zakupy inwestycyjne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Muzeum Etnograficzne w Toruniu</t>
    </r>
  </si>
  <si>
    <t>92120</t>
  </si>
  <si>
    <t>Ochrona i zachowanie materialnego dziedzictwa kulturowego regionu</t>
  </si>
  <si>
    <t>92195</t>
  </si>
  <si>
    <r>
      <t>Zadania w zakresie kultury, sztuki, ochrony dóbr kultury i dziedzictwa narodowego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</si>
  <si>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Upowszechnianie kultury</t>
  </si>
  <si>
    <r>
      <t xml:space="preserve">"Park kulturowy Wietrzychowice" w Wietrzychowicach i Gaju - wsparcie działań gminy Izbica Kujawska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</si>
  <si>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r>
      <t xml:space="preserve">Teatr im. W. Horzycy w Toruniu - Międzynarodowy Festiwal Teatralny "KONTAKT"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</si>
  <si>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 xml:space="preserve">Bydgoski Festiwal Operowy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</si>
  <si>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r>
      <t xml:space="preserve">Bydgoski Festiwal Muzyczny
</t>
    </r>
    <r>
      <rPr>
        <i/>
        <sz val="10"/>
        <color indexed="8"/>
        <rFont val="Calibri"/>
        <family val="2"/>
        <charset val="238"/>
        <scheme val="minor"/>
      </rPr>
      <t>Filharmonia Pomorska w Bydgoszczy</t>
    </r>
  </si>
  <si>
    <r>
      <t xml:space="preserve">Międzynarodowy Konkurs Pianistyczny im. Fryderyka Chopina dla Dzieci i Młodzieży w Szafarni 
</t>
    </r>
    <r>
      <rPr>
        <i/>
        <sz val="10"/>
        <color indexed="8"/>
        <rFont val="Calibri"/>
        <family val="2"/>
        <charset val="238"/>
        <scheme val="minor"/>
      </rPr>
      <t>Ośrodek Chopinowski w Szafarni</t>
    </r>
  </si>
  <si>
    <r>
      <t>Zadania w zakresie upowszechniania kultury fizycznej i sportu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</si>
  <si>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Programy Sportu Powszechnego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</si>
  <si>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Szkolenie dzieci i młodzieży w klubach sportowych</t>
  </si>
  <si>
    <t>Stypendia sportowe</t>
  </si>
  <si>
    <r>
      <t xml:space="preserve">Mała architektura i budowa infrastruktury sportowej przy obiektach edukacyjnych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</si>
  <si>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t>Objaśnienia:</t>
  </si>
  <si>
    <t>IW - Inwestycje wieloletnie</t>
  </si>
  <si>
    <t xml:space="preserve">Zadania z zakresu administracji rządowej zlecone ustawami Samorządowi Województwa </t>
  </si>
  <si>
    <t>Część A załącznika</t>
  </si>
  <si>
    <t xml:space="preserve">Dział Rozdział
 </t>
  </si>
  <si>
    <t>Plan dochodów</t>
  </si>
  <si>
    <t>Plan wydatków</t>
  </si>
  <si>
    <t>Dotacje Budżetu Państwa</t>
  </si>
  <si>
    <t>ZADANIE - SZKODY ŁOWIECKIE</t>
  </si>
  <si>
    <t>Dotacje na zadania bieżące</t>
  </si>
  <si>
    <t>Pozostałe wydatki bieżące</t>
  </si>
  <si>
    <t>ZADANIE - RYBACTWO ŚRÓDLĄDOWE</t>
  </si>
  <si>
    <t>ZADANIE - KRAJOWE PASAŻERSKIE PRZEWOZY AUTOBUSOWE</t>
  </si>
  <si>
    <t>Dotacje celowe bieżące</t>
  </si>
  <si>
    <t>ZADANIE - UPRAWNIENIA KOMUNIKACYJNE</t>
  </si>
  <si>
    <t>ZADANIE - USŁUGI TURYSTYCZNE</t>
  </si>
  <si>
    <t>ZADANIE - PRACE GEOLOGICZNE</t>
  </si>
  <si>
    <t>ZADANIE - PRACE GEODEZYJNE I KARTOGRAFICZNE</t>
  </si>
  <si>
    <t>ZADANIE - OBSŁUGA KUJAWSKO-POMORSKIEJ RADY DIALOGU SPOŁECZNEGO</t>
  </si>
  <si>
    <t>ZADANIE - OBRONA NARODOWA</t>
  </si>
  <si>
    <t>85156</t>
  </si>
  <si>
    <t>ZADANIE - UBEZPIECZENIE ZDROWOTNE UCZNIÓW</t>
  </si>
  <si>
    <t>85157</t>
  </si>
  <si>
    <t>ZADANIE - STAŻE PODYPLOMOWE LEKARZY I LEKARZY DENTYSTÓW</t>
  </si>
  <si>
    <t>ZADANIE - OCHRONA ZDROWIA PSYCHICZNEGO</t>
  </si>
  <si>
    <t>ZADANIE - SŁUŻBA ZASTĘPCZA</t>
  </si>
  <si>
    <t>ZADANIE - GRANTY - WSPIERANIE DZIAŁAŃ Z ZAKRESU OPIEKI ADOPCYJNO-OPIEKUŃCZEJ</t>
  </si>
  <si>
    <t>ZADANIE - KUJAWSKO-POMORSKI OŚRODEK ADOPCYJNY W TORUNIU - UTRZYMANIE JEDNOSTKI</t>
  </si>
  <si>
    <t>90002</t>
  </si>
  <si>
    <t>ZADANIE - GOSPODARKA ODPADAMI</t>
  </si>
  <si>
    <t>90005</t>
  </si>
  <si>
    <t>ZADANIE - PROGRAMY OCHRONY POWIETRZA</t>
  </si>
  <si>
    <t>90007</t>
  </si>
  <si>
    <t>ZADANIE - PROGRAMY OCHRONY PRZED HAŁASEM</t>
  </si>
  <si>
    <t>ZADANIE - OCHRONA ŚRODOWISKA</t>
  </si>
  <si>
    <t>wynagrodzenia z pochodnymi</t>
  </si>
  <si>
    <t>pozostałe wydatki bieżące</t>
  </si>
  <si>
    <t>dotacje celowe bieżące</t>
  </si>
  <si>
    <t xml:space="preserve">Plan dochodów uzyskiwanych w realizacji zadań zleconych </t>
  </si>
  <si>
    <t>z zakresu administracji rządowej na 2022 rok</t>
  </si>
  <si>
    <t>Część B załącznika</t>
  </si>
  <si>
    <t>Dział           Rozdział
§</t>
  </si>
  <si>
    <t>Zadanie</t>
  </si>
  <si>
    <t>w tym należne do:</t>
  </si>
  <si>
    <t>Budżetu Państwa</t>
  </si>
  <si>
    <t>Budżetu Województwa</t>
  </si>
  <si>
    <t>4a</t>
  </si>
  <si>
    <t>4b</t>
  </si>
  <si>
    <t>Opłaty z tytułu wydawania zaświadczeń ADR i ich wtórników</t>
  </si>
  <si>
    <t>Opłaty związane z zaszeregowaniem obiektu hotelarskiego do określonego rodzaju i kategorii</t>
  </si>
  <si>
    <t>Wynagrodzenie z tytułu ustanowienia użytkowania górniczego</t>
  </si>
  <si>
    <t>75046</t>
  </si>
  <si>
    <t>Opłaty za przeprowadzenie egzaminu w zakresie gospodarowania odpadami</t>
  </si>
  <si>
    <t xml:space="preserve">                                                                        Uchwała Nr      /     /21 Sejmiku </t>
  </si>
  <si>
    <t xml:space="preserve">                                                                        Województwa z dnia     .12.2021 r.       </t>
  </si>
  <si>
    <t xml:space="preserve">                                                                        Załącznik nr 11 do Uchwały budżetowej</t>
  </si>
  <si>
    <t xml:space="preserve">Uchwała Nr         /      /21 Sejmiku </t>
  </si>
  <si>
    <t xml:space="preserve">Województwa z dnia      .12.2021 r.                              </t>
  </si>
  <si>
    <t>Dochody i wydatki na zadania wykonywane</t>
  </si>
  <si>
    <t>na mocy porozumień z organami administracji rządowej</t>
  </si>
  <si>
    <t xml:space="preserve">Dochody </t>
  </si>
  <si>
    <t>Wydatki ogółem</t>
  </si>
  <si>
    <t>Organ administracji rządowej</t>
  </si>
  <si>
    <t xml:space="preserve"> Rodzaj zadania</t>
  </si>
  <si>
    <t>Wojewoda Kujawsko-Pomorski</t>
  </si>
  <si>
    <t>Pomoc Techniczna PROW 2014-2020 - Schemat I - Wzmocnienie systemu wdrażania Programu</t>
  </si>
  <si>
    <t>Pomoc Techniczna PROW 2014-2020 - Schemat II - Wsparcie funkcjonowania krajowej sieci obszarów wiejskich oraz realizacja działań informacyjno-promocyjnych PROW 2014-2020 (działania informacyjno-promocyjne)</t>
  </si>
  <si>
    <t>Pomoc Techniczna PROW 2014-2020 - Schemat II - Wsparcie funkcjonowania krajowej sieci obszarów wiejskich oraz realizacja działań informacyjno-promocyjnych PROW 2014-2020 (krajowa sieć obszarów wiejskich)</t>
  </si>
  <si>
    <t>Pomoc Techniczna Programu Operacyjnego "Rybactwo i Morze 2014-2020"</t>
  </si>
  <si>
    <t>Minister Funduszy i Polityki Regionalnej</t>
  </si>
  <si>
    <t>Punkty Informacyjne Funduszy Europejskich Województwa Kujawsko-Pomorskiego - Program Operacyjny Pomoc Techniczna</t>
  </si>
  <si>
    <t>Wsparcie gmin w przygotowaniu i koordynacji programów rewitalizacji  - Program Operacyjny Pomoc Techniczna</t>
  </si>
  <si>
    <t>Wspieranie doradztwa metodycznego</t>
  </si>
  <si>
    <t xml:space="preserve">                                                                                          </t>
  </si>
  <si>
    <t>Załącznik nr 12 do Uchwały budżetowej</t>
  </si>
  <si>
    <t xml:space="preserve">                                                                                            </t>
  </si>
  <si>
    <t xml:space="preserve">Uchwała Nr       /     /21 Sejmiku </t>
  </si>
  <si>
    <t xml:space="preserve">                                                                         </t>
  </si>
  <si>
    <t xml:space="preserve">Województwa z dnia     .12.2021 r.    </t>
  </si>
  <si>
    <t>Dochody i wydatki na zadania realizowane w drodze</t>
  </si>
  <si>
    <t>umów i porozumień między jednostkami samorządu terytorialnego</t>
  </si>
  <si>
    <t>Dochody od JST</t>
  </si>
  <si>
    <t>Jednostka Samorządu Terytorialnego</t>
  </si>
  <si>
    <t>Powiat Rypiński
Gmina Miasta Rypin
Gmina Rypin</t>
  </si>
  <si>
    <t>Budowa obwodnicy miasta Rypina, w tym opracowanie Studium Techniczno-Ekonomiczno-Środowiskowego wraz z uzyskaniem decyzji o środowiskowych uwarunkowaniach zgody na realizację przedsięwzięcia</t>
  </si>
  <si>
    <t>Gmina Jeżewo</t>
  </si>
  <si>
    <t>Gmina Osielsko</t>
  </si>
  <si>
    <t>Rozbudowa drogi wojewódzkiej nr 244 Kamieniec-Strzelce Dolne, m. Żołędowo, ul. Jastrzębia od km 30+068 do km 33+342, dł. 3,274 km</t>
  </si>
  <si>
    <t>Gminy
Powiaty</t>
  </si>
  <si>
    <r>
      <t xml:space="preserve">Ograniczenie emisji spalin poprzez rozbudowę sieci dróg rowerowych znajdujących się w koncepcji rozwoju systemu transportu Bydgosko-Toruńskiego Obszaru Funkcjonalnego dla: Części nr 2 - Złotoria - Nowa Wieś - Lubicz Górny  w ciągu drogi wojewódzkiej nr 657 - </t>
    </r>
    <r>
      <rPr>
        <b/>
        <i/>
        <sz val="10"/>
        <rFont val="Calibri"/>
        <family val="2"/>
        <charset val="238"/>
        <scheme val="minor"/>
      </rPr>
      <t>RPO, Dz.3.4</t>
    </r>
  </si>
  <si>
    <r>
      <t xml:space="preserve">Ograniczenie emisji spalin poprzez rozbudowę sieci dróg rowerowych znajdujących się w koncepcji rozwoju systemu transportu Bydgosko-Toruńskiego Obszaru Funkcjonalnego dla: Części nr 3 - Toruń - Mała Nieszawka - Wielka Nieszawka - Cierpice  w ciągu drogi wojewódzkiej nr 273 - </t>
    </r>
    <r>
      <rPr>
        <b/>
        <i/>
        <sz val="10"/>
        <rFont val="Calibri"/>
        <family val="2"/>
        <charset val="238"/>
        <scheme val="minor"/>
      </rPr>
      <t>RPO, Dz.3.4</t>
    </r>
  </si>
  <si>
    <r>
      <t xml:space="preserve">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 551, 649, 554 - </t>
    </r>
    <r>
      <rPr>
        <b/>
        <i/>
        <sz val="10"/>
        <rFont val="Calibri"/>
        <family val="2"/>
        <charset val="238"/>
        <scheme val="minor"/>
      </rPr>
      <t>RPO, Dz.3.5.2</t>
    </r>
  </si>
  <si>
    <r>
      <t xml:space="preserve">Przebudowa drogi wojewódzkiej Nr 249 wraz z uruchomieniem przeprawy promowej przez Wisłę na wysokości Solca Kujawskiego i Czarnowa - </t>
    </r>
    <r>
      <rPr>
        <b/>
        <i/>
        <sz val="10"/>
        <rFont val="Calibri"/>
        <family val="2"/>
        <charset val="238"/>
        <scheme val="minor"/>
      </rPr>
      <t>RPO, Dz.5.1</t>
    </r>
  </si>
  <si>
    <t>Gminy</t>
  </si>
  <si>
    <r>
      <t xml:space="preserve">Przebudowa i rozbudowa drogi wojewódzkiej Nr 559 na odcinku Lipno - Kamień Kotowy - granica województwa - </t>
    </r>
    <r>
      <rPr>
        <b/>
        <i/>
        <sz val="10"/>
        <rFont val="Calibri"/>
        <family val="2"/>
        <charset val="238"/>
        <scheme val="minor"/>
      </rPr>
      <t>RPO, Dz.5.1</t>
    </r>
  </si>
  <si>
    <r>
      <t xml:space="preserve">Infostrada Kujaw i Pomorza 2.0 - </t>
    </r>
    <r>
      <rPr>
        <b/>
        <i/>
        <sz val="10"/>
        <rFont val="Calibri"/>
        <family val="2"/>
        <charset val="238"/>
        <scheme val="minor"/>
      </rPr>
      <t>RPO, Dz.2.1</t>
    </r>
  </si>
  <si>
    <r>
      <t xml:space="preserve">Invest in BiT CITY 2. Promocja potencjału gospodarczego oraz promocja atrakcyjności inwestycyjnej miast prezydenckich województwa kujawsko-pomorskiego - </t>
    </r>
    <r>
      <rPr>
        <b/>
        <i/>
        <sz val="10"/>
        <rFont val="Calibri"/>
        <family val="2"/>
        <charset val="238"/>
        <scheme val="minor"/>
      </rPr>
      <t>RPO, Dz.1.5.2</t>
    </r>
  </si>
  <si>
    <r>
      <t xml:space="preserve">Expressway - promocja terenów inwestycyjnych - </t>
    </r>
    <r>
      <rPr>
        <b/>
        <i/>
        <sz val="10"/>
        <rFont val="Calibri"/>
        <family val="2"/>
        <charset val="238"/>
        <scheme val="minor"/>
      </rPr>
      <t>RPO, Dz.1.5.2</t>
    </r>
  </si>
  <si>
    <r>
      <t xml:space="preserve">Dokształcanie uczniów
</t>
    </r>
    <r>
      <rPr>
        <i/>
        <sz val="10"/>
        <rFont val="Calibri"/>
        <family val="2"/>
        <charset val="238"/>
        <scheme val="minor"/>
      </rPr>
      <t>Kujawsko-Pomorskie Centrum Kształcenia Zawodowego w Bydgoszczy</t>
    </r>
  </si>
  <si>
    <t>Wojewódzki program przeciwdziałania przemocy w rodzinie dla województwa kujawsko-pomorskiego do roku 2026</t>
  </si>
  <si>
    <t>Miasto Bydgoszcz</t>
  </si>
  <si>
    <t>Gmina Radomin</t>
  </si>
  <si>
    <t>Dofinansowanie działalności statutowej Ośrodka Chopinowskiego w Szafarni</t>
  </si>
  <si>
    <t>Dofinansowanie działalności statutowej Wojewódzkiej i Miejskiej Biblioteki Publicznej w Bydgoszczy</t>
  </si>
  <si>
    <t>Miasto Toruń</t>
  </si>
  <si>
    <t>Dofinansowanie działalności statutowej Wojewódzkiej Biblioteki Publicznej - Książnicy Kopernikańskiej w Toruniu</t>
  </si>
  <si>
    <t>RPO - Regionalny Program Operacyjny Województwa Kujawsko-Pomorskiego</t>
  </si>
  <si>
    <t>Załącznik nr 13 do Uchwały budżetowej</t>
  </si>
  <si>
    <t>Załącznik nr 14 do Uchwały budżetowej</t>
  </si>
  <si>
    <t>uchwała Nr    /   /21 Sejmiku Województwa</t>
  </si>
  <si>
    <t xml:space="preserve">z dnia   .12.2021 r.           </t>
  </si>
  <si>
    <t>Dochody gromadzone na wydzielonych rachunkach oraz wydatki nimi finansowane</t>
  </si>
  <si>
    <t>Jednostka</t>
  </si>
  <si>
    <t>Stan środków pieniężnych na początek okresu</t>
  </si>
  <si>
    <t>Stan środków pieniężnych na koniec okresu</t>
  </si>
  <si>
    <t>1.</t>
  </si>
  <si>
    <t>2.</t>
  </si>
  <si>
    <t>3.</t>
  </si>
  <si>
    <t>4.</t>
  </si>
  <si>
    <t>5.</t>
  </si>
  <si>
    <t>6.</t>
  </si>
  <si>
    <t>7.</t>
  </si>
  <si>
    <t xml:space="preserve">Biblioteka Pedagogiczna im. gen. bryg. prof. Elżbiety Zawackiej w Toruniu </t>
  </si>
  <si>
    <t>Kujawsko-Pomorskie Centrum Edukacji Nauczycieli w Bydgoszczy</t>
  </si>
  <si>
    <t>Kujawsko-Pomorskie Centrum Edukacji Nauczycieli w Toruniu</t>
  </si>
  <si>
    <t>Kujawsko-Pomorskie Centrum Kształcenia Zawodowego w Bydgoszczy</t>
  </si>
  <si>
    <t>Kujawsko-Pomorski Specjalny Ośrodek Szkolno-Wychowawczy im. Janusza Korczaka w Toruniu</t>
  </si>
  <si>
    <t>Kujawsko-Pomorski Specjalny Ośrodek Szkolno-Wychowawczy nr 1 dla Dzieci i Młodzieży Słabo Widzącej i Niewidomej im. Louisa Braille'a w Bydgoszczy</t>
  </si>
  <si>
    <t>8.</t>
  </si>
  <si>
    <t>Kujawsko-Pomorski Specjalny Ośrodek Szkolno-Wychowawczy nr 2 dla Dzieci Młodzieży Słabo Słyszącej i Niesłyszącej im. gen. Stanisława Maczka w Bydgoszczy</t>
  </si>
  <si>
    <t>9.</t>
  </si>
  <si>
    <t>Medyczno-Społeczne Centrum Kształcenia Zawodowego i Ustawicznego w Inowrocławiu</t>
  </si>
  <si>
    <t>10.</t>
  </si>
  <si>
    <t>Medyczno-Społeczne Centrum Kształcenia Zawodowego i Ustawicznego w Toruniu</t>
  </si>
  <si>
    <t>11.</t>
  </si>
  <si>
    <t>Pedagogiczna Biblioteka Wojewódzka im. Mariana Rejewskiego w Bydgoszczy</t>
  </si>
  <si>
    <t xml:space="preserve">                                                                                                                                                          Załącznik nr 10 do Uchwały budżetowej</t>
  </si>
  <si>
    <t xml:space="preserve">                                                                                                                                                          Uchwała Nr       /      /21 Sejmiku</t>
  </si>
  <si>
    <t xml:space="preserve">                                                                                                                                                          Województwa z dnia        .12.2021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</si>
</sst>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i/>
      <sz val="1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Calibri"/>
      <family val="2"/>
      <charset val="238"/>
      <scheme val="minor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u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6" fillId="0" borderId="0"/>
    <xf numFmtId="0" fontId="10" fillId="0" borderId="0"/>
    <xf numFmtId="0" fontId="9" fillId="0" borderId="0"/>
    <xf numFmtId="0" fontId="9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0" fillId="0" borderId="0"/>
    <xf numFmtId="0" fontId="13" fillId="0" borderId="0"/>
    <xf numFmtId="9" fontId="9" fillId="0" borderId="0" applyFont="0" applyFill="0" applyBorder="0" applyAlignment="0" applyProtection="0"/>
    <xf numFmtId="0" fontId="11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55" fillId="0" borderId="0"/>
    <xf numFmtId="0" fontId="10" fillId="0" borderId="0"/>
    <xf numFmtId="0" fontId="55" fillId="0" borderId="0"/>
    <xf numFmtId="0" fontId="10" fillId="0" borderId="0"/>
    <xf numFmtId="0" fontId="10" fillId="0" borderId="0"/>
  </cellStyleXfs>
  <cellXfs count="1164">
    <xf numFmtId="0" fontId="0" fillId="0" borderId="0" xfId="0"/>
    <xf numFmtId="49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0" fontId="14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0" fontId="7" fillId="0" borderId="0" xfId="20" applyFont="1" applyAlignment="1">
      <alignment horizontal="center" vertical="top"/>
    </xf>
    <xf numFmtId="3" fontId="18" fillId="0" borderId="0" xfId="17" applyNumberFormat="1" applyFont="1" applyAlignment="1">
      <alignment horizontal="right"/>
    </xf>
    <xf numFmtId="0" fontId="7" fillId="0" borderId="0" xfId="20" applyFont="1" applyAlignment="1">
      <alignment vertical="top"/>
    </xf>
    <xf numFmtId="0" fontId="18" fillId="0" borderId="0" xfId="17" applyFont="1"/>
    <xf numFmtId="0" fontId="7" fillId="0" borderId="12" xfId="20" applyFont="1" applyBorder="1" applyAlignment="1">
      <alignment horizontal="center" vertical="top"/>
    </xf>
    <xf numFmtId="0" fontId="7" fillId="0" borderId="12" xfId="20" applyFont="1" applyBorder="1" applyAlignment="1">
      <alignment vertical="top"/>
    </xf>
    <xf numFmtId="0" fontId="18" fillId="0" borderId="0" xfId="15" applyFont="1" applyAlignment="1">
      <alignment horizontal="center"/>
    </xf>
    <xf numFmtId="0" fontId="17" fillId="0" borderId="2" xfId="20" applyFont="1" applyBorder="1" applyAlignment="1">
      <alignment horizontal="center" vertical="center"/>
    </xf>
    <xf numFmtId="0" fontId="17" fillId="0" borderId="2" xfId="20" applyFont="1" applyBorder="1" applyAlignment="1">
      <alignment horizontal="center" vertical="center" wrapText="1"/>
    </xf>
    <xf numFmtId="0" fontId="17" fillId="0" borderId="0" xfId="20" applyFont="1" applyAlignment="1">
      <alignment horizontal="center" vertical="center"/>
    </xf>
    <xf numFmtId="0" fontId="17" fillId="0" borderId="8" xfId="20" applyFont="1" applyBorder="1" applyAlignment="1">
      <alignment horizontal="center" vertical="top"/>
    </xf>
    <xf numFmtId="0" fontId="17" fillId="0" borderId="5" xfId="20" applyFont="1" applyBorder="1" applyAlignment="1">
      <alignment horizontal="center" vertical="top" wrapText="1"/>
    </xf>
    <xf numFmtId="0" fontId="17" fillId="0" borderId="9" xfId="20" applyFont="1" applyBorder="1" applyAlignment="1">
      <alignment vertical="top" wrapText="1"/>
    </xf>
    <xf numFmtId="3" fontId="17" fillId="0" borderId="4" xfId="20" applyNumberFormat="1" applyFont="1" applyBorder="1" applyAlignment="1">
      <alignment vertical="top"/>
    </xf>
    <xf numFmtId="3" fontId="17" fillId="0" borderId="0" xfId="20" applyNumberFormat="1" applyFont="1" applyAlignment="1">
      <alignment vertical="top"/>
    </xf>
    <xf numFmtId="0" fontId="17" fillId="0" borderId="0" xfId="20" applyFont="1" applyAlignment="1">
      <alignment vertical="top"/>
    </xf>
    <xf numFmtId="0" fontId="17" fillId="0" borderId="6" xfId="20" applyFont="1" applyBorder="1" applyAlignment="1">
      <alignment vertical="top" wrapText="1"/>
    </xf>
    <xf numFmtId="3" fontId="17" fillId="0" borderId="5" xfId="20" applyNumberFormat="1" applyFont="1" applyBorder="1" applyAlignment="1">
      <alignment horizontal="center" vertical="top"/>
    </xf>
    <xf numFmtId="3" fontId="17" fillId="0" borderId="4" xfId="20" applyNumberFormat="1" applyFont="1" applyBorder="1" applyAlignment="1">
      <alignment horizontal="right" vertical="top"/>
    </xf>
    <xf numFmtId="3" fontId="17" fillId="0" borderId="8" xfId="20" applyNumberFormat="1" applyFont="1" applyBorder="1" applyAlignment="1">
      <alignment horizontal="center" vertical="top"/>
    </xf>
    <xf numFmtId="3" fontId="17" fillId="0" borderId="15" xfId="20" applyNumberFormat="1" applyFont="1" applyBorder="1" applyAlignment="1">
      <alignment vertical="top" wrapText="1"/>
    </xf>
    <xf numFmtId="0" fontId="17" fillId="0" borderId="5" xfId="20" applyFont="1" applyBorder="1" applyAlignment="1">
      <alignment horizontal="center" vertical="top"/>
    </xf>
    <xf numFmtId="0" fontId="17" fillId="0" borderId="0" xfId="20" applyFont="1" applyBorder="1" applyAlignment="1">
      <alignment vertical="top" wrapText="1"/>
    </xf>
    <xf numFmtId="3" fontId="17" fillId="0" borderId="3" xfId="20" applyNumberFormat="1" applyFont="1" applyBorder="1" applyAlignment="1">
      <alignment vertical="top"/>
    </xf>
    <xf numFmtId="0" fontId="17" fillId="0" borderId="15" xfId="20" applyFont="1" applyBorder="1" applyAlignment="1">
      <alignment vertical="top" wrapText="1"/>
    </xf>
    <xf numFmtId="3" fontId="17" fillId="0" borderId="0" xfId="20" applyNumberFormat="1" applyFont="1" applyAlignment="1">
      <alignment vertical="center"/>
    </xf>
    <xf numFmtId="0" fontId="17" fillId="0" borderId="0" xfId="20" applyFont="1" applyAlignment="1">
      <alignment vertical="center"/>
    </xf>
    <xf numFmtId="3" fontId="17" fillId="0" borderId="2" xfId="20" applyNumberFormat="1" applyFont="1" applyBorder="1" applyAlignment="1">
      <alignment vertical="top"/>
    </xf>
    <xf numFmtId="49" fontId="21" fillId="0" borderId="0" xfId="16" applyNumberFormat="1" applyFont="1" applyFill="1" applyAlignment="1">
      <alignment horizontal="center" vertical="center"/>
    </xf>
    <xf numFmtId="49" fontId="18" fillId="0" borderId="0" xfId="16" applyNumberFormat="1" applyFont="1" applyFill="1" applyAlignment="1">
      <alignment horizontal="center" vertical="center" wrapText="1"/>
    </xf>
    <xf numFmtId="0" fontId="21" fillId="0" borderId="0" xfId="16" applyFont="1" applyFill="1" applyAlignment="1">
      <alignment vertical="center"/>
    </xf>
    <xf numFmtId="0" fontId="18" fillId="0" borderId="0" xfId="16" applyFont="1" applyFill="1" applyAlignment="1">
      <alignment vertical="center"/>
    </xf>
    <xf numFmtId="0" fontId="18" fillId="0" borderId="0" xfId="16" applyFont="1" applyAlignment="1">
      <alignment vertical="center"/>
    </xf>
    <xf numFmtId="0" fontId="18" fillId="0" borderId="0" xfId="16" applyFont="1" applyFill="1" applyBorder="1" applyAlignment="1">
      <alignment horizontal="center" vertical="center"/>
    </xf>
    <xf numFmtId="2" fontId="18" fillId="0" borderId="0" xfId="16" applyNumberFormat="1" applyFont="1" applyFill="1" applyBorder="1" applyAlignment="1">
      <alignment horizontal="center" vertical="center"/>
    </xf>
    <xf numFmtId="2" fontId="21" fillId="0" borderId="0" xfId="16" applyNumberFormat="1" applyFont="1" applyFill="1" applyAlignment="1">
      <alignment horizontal="center" vertical="center" wrapText="1"/>
    </xf>
    <xf numFmtId="2" fontId="18" fillId="0" borderId="2" xfId="16" applyNumberFormat="1" applyFont="1" applyFill="1" applyBorder="1" applyAlignment="1">
      <alignment horizontal="center" vertical="center" wrapText="1"/>
    </xf>
    <xf numFmtId="2" fontId="18" fillId="0" borderId="6" xfId="16" applyNumberFormat="1" applyFont="1" applyFill="1" applyBorder="1" applyAlignment="1">
      <alignment horizontal="center" vertical="center" wrapText="1"/>
    </xf>
    <xf numFmtId="49" fontId="22" fillId="0" borderId="2" xfId="16" applyNumberFormat="1" applyFont="1" applyFill="1" applyBorder="1" applyAlignment="1">
      <alignment horizontal="center" vertical="center" wrapText="1"/>
    </xf>
    <xf numFmtId="49" fontId="23" fillId="0" borderId="5" xfId="16" applyNumberFormat="1" applyFont="1" applyFill="1" applyBorder="1" applyAlignment="1">
      <alignment horizontal="center" vertical="center" wrapText="1"/>
    </xf>
    <xf numFmtId="49" fontId="22" fillId="0" borderId="5" xfId="16" applyNumberFormat="1" applyFont="1" applyFill="1" applyBorder="1" applyAlignment="1">
      <alignment horizontal="center" vertical="center" wrapText="1"/>
    </xf>
    <xf numFmtId="49" fontId="22" fillId="0" borderId="6" xfId="16" applyNumberFormat="1" applyFont="1" applyFill="1" applyBorder="1" applyAlignment="1">
      <alignment horizontal="center" vertical="center" wrapText="1"/>
    </xf>
    <xf numFmtId="49" fontId="22" fillId="0" borderId="0" xfId="16" applyNumberFormat="1" applyFont="1" applyFill="1" applyAlignment="1">
      <alignment horizontal="center" vertical="center" wrapText="1"/>
    </xf>
    <xf numFmtId="49" fontId="22" fillId="0" borderId="8" xfId="16" applyNumberFormat="1" applyFont="1" applyFill="1" applyBorder="1" applyAlignment="1">
      <alignment horizontal="center" vertical="center" wrapText="1"/>
    </xf>
    <xf numFmtId="49" fontId="24" fillId="0" borderId="9" xfId="16" applyNumberFormat="1" applyFont="1" applyFill="1" applyBorder="1" applyAlignment="1">
      <alignment horizontal="center" vertical="center" wrapText="1"/>
    </xf>
    <xf numFmtId="49" fontId="25" fillId="0" borderId="9" xfId="16" applyNumberFormat="1" applyFont="1" applyFill="1" applyBorder="1" applyAlignment="1">
      <alignment horizontal="center" vertical="center" wrapText="1"/>
    </xf>
    <xf numFmtId="49" fontId="22" fillId="0" borderId="9" xfId="16" applyNumberFormat="1" applyFont="1" applyFill="1" applyBorder="1" applyAlignment="1">
      <alignment horizontal="center" vertical="center" wrapText="1"/>
    </xf>
    <xf numFmtId="49" fontId="22" fillId="0" borderId="4" xfId="16" applyNumberFormat="1" applyFont="1" applyFill="1" applyBorder="1" applyAlignment="1">
      <alignment horizontal="center" vertical="center" wrapText="1"/>
    </xf>
    <xf numFmtId="49" fontId="22" fillId="0" borderId="0" xfId="16" applyNumberFormat="1" applyFont="1" applyAlignment="1">
      <alignment horizontal="center" vertical="center" wrapText="1"/>
    </xf>
    <xf numFmtId="49" fontId="21" fillId="2" borderId="5" xfId="16" applyNumberFormat="1" applyFont="1" applyFill="1" applyBorder="1" applyAlignment="1">
      <alignment horizontal="center" vertical="center" wrapText="1"/>
    </xf>
    <xf numFmtId="3" fontId="26" fillId="2" borderId="10" xfId="16" applyNumberFormat="1" applyFont="1" applyFill="1" applyBorder="1" applyAlignment="1">
      <alignment horizontal="left" vertical="center" wrapText="1"/>
    </xf>
    <xf numFmtId="3" fontId="21" fillId="2" borderId="2" xfId="16" applyNumberFormat="1" applyFont="1" applyFill="1" applyBorder="1" applyAlignment="1">
      <alignment horizontal="right" vertical="center" wrapText="1"/>
    </xf>
    <xf numFmtId="3" fontId="21" fillId="2" borderId="5" xfId="16" applyNumberFormat="1" applyFont="1" applyFill="1" applyBorder="1" applyAlignment="1">
      <alignment horizontal="right" vertical="center" wrapText="1"/>
    </xf>
    <xf numFmtId="3" fontId="21" fillId="2" borderId="6" xfId="16" applyNumberFormat="1" applyFont="1" applyFill="1" applyBorder="1" applyAlignment="1">
      <alignment horizontal="right" vertical="center" wrapText="1"/>
    </xf>
    <xf numFmtId="3" fontId="18" fillId="0" borderId="0" xfId="16" applyNumberFormat="1" applyFont="1" applyAlignment="1">
      <alignment vertical="center" wrapText="1"/>
    </xf>
    <xf numFmtId="49" fontId="21" fillId="0" borderId="11" xfId="16" applyNumberFormat="1" applyFont="1" applyBorder="1" applyAlignment="1">
      <alignment horizontal="center" vertical="center" wrapText="1"/>
    </xf>
    <xf numFmtId="3" fontId="27" fillId="0" borderId="12" xfId="16" applyNumberFormat="1" applyFont="1" applyBorder="1" applyAlignment="1">
      <alignment horizontal="center" vertical="center" wrapText="1"/>
    </xf>
    <xf numFmtId="3" fontId="21" fillId="0" borderId="12" xfId="16" applyNumberFormat="1" applyFont="1" applyFill="1" applyBorder="1" applyAlignment="1">
      <alignment vertical="center" wrapText="1"/>
    </xf>
    <xf numFmtId="3" fontId="27" fillId="0" borderId="12" xfId="16" applyNumberFormat="1" applyFont="1" applyBorder="1" applyAlignment="1">
      <alignment vertical="center" wrapText="1"/>
    </xf>
    <xf numFmtId="3" fontId="21" fillId="0" borderId="12" xfId="16" applyNumberFormat="1" applyFont="1" applyBorder="1" applyAlignment="1">
      <alignment horizontal="right" vertical="center" wrapText="1"/>
    </xf>
    <xf numFmtId="3" fontId="21" fillId="0" borderId="1" xfId="16" applyNumberFormat="1" applyFont="1" applyBorder="1" applyAlignment="1">
      <alignment horizontal="right" vertical="center" wrapText="1"/>
    </xf>
    <xf numFmtId="3" fontId="21" fillId="0" borderId="13" xfId="16" applyNumberFormat="1" applyFont="1" applyBorder="1" applyAlignment="1">
      <alignment horizontal="right" vertical="center" wrapText="1"/>
    </xf>
    <xf numFmtId="3" fontId="18" fillId="0" borderId="0" xfId="16" applyNumberFormat="1" applyFont="1" applyAlignment="1">
      <alignment horizontal="center" vertical="center" wrapText="1"/>
    </xf>
    <xf numFmtId="49" fontId="18" fillId="0" borderId="11" xfId="16" applyNumberFormat="1" applyFont="1" applyFill="1" applyBorder="1" applyAlignment="1">
      <alignment horizontal="center" vertical="center" wrapText="1"/>
    </xf>
    <xf numFmtId="3" fontId="18" fillId="0" borderId="11" xfId="16" applyNumberFormat="1" applyFont="1" applyFill="1" applyBorder="1" applyAlignment="1">
      <alignment horizontal="left" vertical="center" wrapText="1"/>
    </xf>
    <xf numFmtId="3" fontId="21" fillId="0" borderId="3" xfId="16" applyNumberFormat="1" applyFont="1" applyFill="1" applyBorder="1" applyAlignment="1">
      <alignment horizontal="right" vertical="center" wrapText="1"/>
    </xf>
    <xf numFmtId="3" fontId="18" fillId="0" borderId="1" xfId="16" applyNumberFormat="1" applyFont="1" applyFill="1" applyBorder="1" applyAlignment="1">
      <alignment horizontal="right" vertical="center" wrapText="1"/>
    </xf>
    <xf numFmtId="3" fontId="18" fillId="0" borderId="11" xfId="16" applyNumberFormat="1" applyFont="1" applyFill="1" applyBorder="1" applyAlignment="1">
      <alignment horizontal="right" vertical="center" wrapText="1"/>
    </xf>
    <xf numFmtId="3" fontId="18" fillId="0" borderId="12" xfId="16" applyNumberFormat="1" applyFont="1" applyFill="1" applyBorder="1" applyAlignment="1">
      <alignment horizontal="right" vertical="center" wrapText="1"/>
    </xf>
    <xf numFmtId="3" fontId="18" fillId="0" borderId="13" xfId="16" applyNumberFormat="1" applyFont="1" applyFill="1" applyBorder="1" applyAlignment="1">
      <alignment horizontal="right" vertical="center" wrapText="1"/>
    </xf>
    <xf numFmtId="3" fontId="18" fillId="0" borderId="0" xfId="16" applyNumberFormat="1" applyFont="1" applyFill="1" applyAlignment="1">
      <alignment vertical="center" wrapText="1"/>
    </xf>
    <xf numFmtId="3" fontId="21" fillId="0" borderId="2" xfId="16" applyNumberFormat="1" applyFont="1" applyFill="1" applyBorder="1" applyAlignment="1">
      <alignment horizontal="right" vertical="center" wrapText="1"/>
    </xf>
    <xf numFmtId="49" fontId="18" fillId="0" borderId="5" xfId="16" applyNumberFormat="1" applyFont="1" applyFill="1" applyBorder="1" applyAlignment="1">
      <alignment horizontal="center" vertical="center"/>
    </xf>
    <xf numFmtId="49" fontId="18" fillId="0" borderId="5" xfId="16" applyNumberFormat="1" applyFont="1" applyFill="1" applyBorder="1" applyAlignment="1">
      <alignment horizontal="left" vertical="center" wrapText="1"/>
    </xf>
    <xf numFmtId="3" fontId="18" fillId="0" borderId="2" xfId="16" applyNumberFormat="1" applyFont="1" applyFill="1" applyBorder="1" applyAlignment="1">
      <alignment vertical="center"/>
    </xf>
    <xf numFmtId="3" fontId="18" fillId="0" borderId="10" xfId="16" applyNumberFormat="1" applyFont="1" applyFill="1" applyBorder="1" applyAlignment="1">
      <alignment vertical="center"/>
    </xf>
    <xf numFmtId="3" fontId="18" fillId="0" borderId="6" xfId="16" applyNumberFormat="1" applyFont="1" applyFill="1" applyBorder="1" applyAlignment="1">
      <alignment vertical="center"/>
    </xf>
    <xf numFmtId="3" fontId="18" fillId="0" borderId="5" xfId="16" applyNumberFormat="1" applyFont="1" applyFill="1" applyBorder="1" applyAlignment="1">
      <alignment vertical="center"/>
    </xf>
    <xf numFmtId="49" fontId="18" fillId="0" borderId="2" xfId="16" applyNumberFormat="1" applyFont="1" applyFill="1" applyBorder="1" applyAlignment="1">
      <alignment horizontal="center" vertical="center"/>
    </xf>
    <xf numFmtId="49" fontId="18" fillId="0" borderId="2" xfId="16" applyNumberFormat="1" applyFont="1" applyFill="1" applyBorder="1" applyAlignment="1">
      <alignment horizontal="left" vertical="center" wrapText="1"/>
    </xf>
    <xf numFmtId="49" fontId="21" fillId="0" borderId="14" xfId="16" applyNumberFormat="1" applyFont="1" applyBorder="1" applyAlignment="1">
      <alignment horizontal="center" vertical="center" wrapText="1"/>
    </xf>
    <xf numFmtId="3" fontId="27" fillId="0" borderId="0" xfId="16" applyNumberFormat="1" applyFont="1" applyBorder="1" applyAlignment="1">
      <alignment horizontal="center" vertical="center" wrapText="1"/>
    </xf>
    <xf numFmtId="3" fontId="21" fillId="0" borderId="0" xfId="16" applyNumberFormat="1" applyFont="1" applyFill="1" applyBorder="1" applyAlignment="1">
      <alignment vertical="center" wrapText="1"/>
    </xf>
    <xf numFmtId="3" fontId="27" fillId="0" borderId="0" xfId="16" applyNumberFormat="1" applyFont="1" applyBorder="1" applyAlignment="1">
      <alignment vertical="center" wrapText="1"/>
    </xf>
    <xf numFmtId="3" fontId="21" fillId="0" borderId="0" xfId="16" applyNumberFormat="1" applyFont="1" applyBorder="1" applyAlignment="1">
      <alignment horizontal="right" vertical="center" wrapText="1"/>
    </xf>
    <xf numFmtId="3" fontId="21" fillId="0" borderId="3" xfId="16" applyNumberFormat="1" applyFont="1" applyBorder="1" applyAlignment="1">
      <alignment horizontal="right" vertical="center" wrapText="1"/>
    </xf>
    <xf numFmtId="3" fontId="21" fillId="0" borderId="7" xfId="16" applyNumberFormat="1" applyFont="1" applyBorder="1" applyAlignment="1">
      <alignment horizontal="right" vertical="center" wrapText="1"/>
    </xf>
    <xf numFmtId="49" fontId="21" fillId="2" borderId="8" xfId="16" applyNumberFormat="1" applyFont="1" applyFill="1" applyBorder="1" applyAlignment="1">
      <alignment horizontal="center" vertical="center" wrapText="1"/>
    </xf>
    <xf numFmtId="3" fontId="26" fillId="2" borderId="9" xfId="16" applyNumberFormat="1" applyFont="1" applyFill="1" applyBorder="1" applyAlignment="1">
      <alignment horizontal="left" vertical="center" wrapText="1"/>
    </xf>
    <xf numFmtId="3" fontId="21" fillId="2" borderId="4" xfId="16" applyNumberFormat="1" applyFont="1" applyFill="1" applyBorder="1" applyAlignment="1">
      <alignment horizontal="right" vertical="center" wrapText="1"/>
    </xf>
    <xf numFmtId="49" fontId="18" fillId="0" borderId="4" xfId="16" applyNumberFormat="1" applyFont="1" applyFill="1" applyBorder="1" applyAlignment="1">
      <alignment horizontal="center" vertical="center"/>
    </xf>
    <xf numFmtId="49" fontId="18" fillId="0" borderId="4" xfId="16" applyNumberFormat="1" applyFont="1" applyFill="1" applyBorder="1" applyAlignment="1">
      <alignment horizontal="left" vertical="center" wrapText="1"/>
    </xf>
    <xf numFmtId="3" fontId="21" fillId="0" borderId="4" xfId="16" applyNumberFormat="1" applyFont="1" applyFill="1" applyBorder="1" applyAlignment="1">
      <alignment horizontal="right" vertical="center" wrapText="1"/>
    </xf>
    <xf numFmtId="3" fontId="18" fillId="0" borderId="4" xfId="16" applyNumberFormat="1" applyFont="1" applyFill="1" applyBorder="1" applyAlignment="1">
      <alignment vertical="center"/>
    </xf>
    <xf numFmtId="3" fontId="18" fillId="0" borderId="8" xfId="16" applyNumberFormat="1" applyFont="1" applyFill="1" applyBorder="1" applyAlignment="1">
      <alignment vertical="center"/>
    </xf>
    <xf numFmtId="3" fontId="18" fillId="0" borderId="9" xfId="16" applyNumberFormat="1" applyFont="1" applyFill="1" applyBorder="1" applyAlignment="1">
      <alignment vertical="center"/>
    </xf>
    <xf numFmtId="3" fontId="18" fillId="0" borderId="3" xfId="16" applyNumberFormat="1" applyFont="1" applyFill="1" applyBorder="1" applyAlignment="1">
      <alignment vertical="center"/>
    </xf>
    <xf numFmtId="3" fontId="18" fillId="0" borderId="15" xfId="16" applyNumberFormat="1" applyFont="1" applyFill="1" applyBorder="1" applyAlignment="1">
      <alignment vertical="center"/>
    </xf>
    <xf numFmtId="3" fontId="26" fillId="2" borderId="2" xfId="16" applyNumberFormat="1" applyFont="1" applyFill="1" applyBorder="1" applyAlignment="1">
      <alignment vertical="center"/>
    </xf>
    <xf numFmtId="3" fontId="26" fillId="2" borderId="5" xfId="16" applyNumberFormat="1" applyFont="1" applyFill="1" applyBorder="1" applyAlignment="1">
      <alignment vertical="center"/>
    </xf>
    <xf numFmtId="3" fontId="26" fillId="2" borderId="6" xfId="16" applyNumberFormat="1" applyFont="1" applyFill="1" applyBorder="1" applyAlignment="1">
      <alignment vertical="center"/>
    </xf>
    <xf numFmtId="0" fontId="28" fillId="3" borderId="0" xfId="16" applyFont="1" applyFill="1" applyAlignment="1">
      <alignment vertical="center"/>
    </xf>
    <xf numFmtId="49" fontId="21" fillId="0" borderId="0" xfId="16" applyNumberFormat="1" applyFont="1" applyAlignment="1">
      <alignment horizontal="center" vertical="center"/>
    </xf>
    <xf numFmtId="49" fontId="18" fillId="0" borderId="0" xfId="16" applyNumberFormat="1" applyFont="1" applyAlignment="1">
      <alignment horizontal="center" vertical="center" wrapText="1"/>
    </xf>
    <xf numFmtId="3" fontId="21" fillId="4" borderId="0" xfId="16" applyNumberFormat="1" applyFont="1" applyFill="1" applyAlignment="1">
      <alignment vertical="center"/>
    </xf>
    <xf numFmtId="0" fontId="21" fillId="4" borderId="0" xfId="16" applyFont="1" applyFill="1" applyAlignment="1">
      <alignment vertical="center"/>
    </xf>
    <xf numFmtId="49" fontId="5" fillId="0" borderId="4" xfId="20" applyNumberFormat="1" applyFont="1" applyBorder="1" applyAlignment="1">
      <alignment horizontal="center" vertical="top" wrapText="1"/>
    </xf>
    <xf numFmtId="0" fontId="5" fillId="0" borderId="4" xfId="20" applyFont="1" applyBorder="1" applyAlignment="1">
      <alignment horizontal="left" vertical="top"/>
    </xf>
    <xf numFmtId="0" fontId="5" fillId="0" borderId="14" xfId="20" applyFont="1" applyBorder="1" applyAlignment="1">
      <alignment horizontal="center" vertical="top"/>
    </xf>
    <xf numFmtId="3" fontId="5" fillId="0" borderId="4" xfId="20" applyNumberFormat="1" applyFont="1" applyBorder="1" applyAlignment="1">
      <alignment vertical="top"/>
    </xf>
    <xf numFmtId="0" fontId="5" fillId="0" borderId="4" xfId="20" applyFont="1" applyBorder="1" applyAlignment="1">
      <alignment horizontal="center" vertical="top"/>
    </xf>
    <xf numFmtId="0" fontId="5" fillId="0" borderId="0" xfId="20" applyFont="1" applyAlignment="1">
      <alignment horizontal="center" vertical="center"/>
    </xf>
    <xf numFmtId="49" fontId="29" fillId="0" borderId="16" xfId="20" applyNumberFormat="1" applyFont="1" applyBorder="1" applyAlignment="1">
      <alignment horizontal="center" vertical="top" wrapText="1"/>
    </xf>
    <xf numFmtId="0" fontId="29" fillId="0" borderId="17" xfId="20" applyFont="1" applyBorder="1" applyAlignment="1">
      <alignment horizontal="left" vertical="top"/>
    </xf>
    <xf numFmtId="3" fontId="29" fillId="0" borderId="16" xfId="20" applyNumberFormat="1" applyFont="1" applyBorder="1" applyAlignment="1">
      <alignment vertical="top"/>
    </xf>
    <xf numFmtId="0" fontId="5" fillId="0" borderId="16" xfId="20" applyFont="1" applyBorder="1" applyAlignment="1">
      <alignment horizontal="center" vertical="top"/>
    </xf>
    <xf numFmtId="49" fontId="29" fillId="0" borderId="18" xfId="20" applyNumberFormat="1" applyFont="1" applyBorder="1" applyAlignment="1">
      <alignment horizontal="center" vertical="top" wrapText="1"/>
    </xf>
    <xf numFmtId="0" fontId="29" fillId="0" borderId="19" xfId="20" applyFont="1" applyBorder="1" applyAlignment="1">
      <alignment horizontal="left" vertical="top" wrapText="1"/>
    </xf>
    <xf numFmtId="3" fontId="29" fillId="0" borderId="18" xfId="20" applyNumberFormat="1" applyFont="1" applyBorder="1" applyAlignment="1">
      <alignment vertical="top"/>
    </xf>
    <xf numFmtId="0" fontId="5" fillId="0" borderId="18" xfId="20" applyFont="1" applyBorder="1" applyAlignment="1">
      <alignment horizontal="center" vertical="top"/>
    </xf>
    <xf numFmtId="0" fontId="29" fillId="0" borderId="16" xfId="20" applyNumberFormat="1" applyFont="1" applyBorder="1" applyAlignment="1">
      <alignment horizontal="center" vertical="top" wrapText="1"/>
    </xf>
    <xf numFmtId="3" fontId="29" fillId="0" borderId="16" xfId="20" applyNumberFormat="1" applyFont="1" applyBorder="1" applyAlignment="1">
      <alignment horizontal="right" vertical="top"/>
    </xf>
    <xf numFmtId="0" fontId="29" fillId="0" borderId="17" xfId="20" applyFont="1" applyBorder="1" applyAlignment="1">
      <alignment vertical="top"/>
    </xf>
    <xf numFmtId="0" fontId="29" fillId="0" borderId="17" xfId="20" applyFont="1" applyBorder="1" applyAlignment="1">
      <alignment vertical="top" wrapText="1"/>
    </xf>
    <xf numFmtId="0" fontId="29" fillId="0" borderId="14" xfId="20" applyFont="1" applyBorder="1" applyAlignment="1">
      <alignment horizontal="center" vertical="top"/>
    </xf>
    <xf numFmtId="0" fontId="29" fillId="0" borderId="16" xfId="20" applyNumberFormat="1" applyFont="1" applyBorder="1" applyAlignment="1">
      <alignment horizontal="center" vertical="top"/>
    </xf>
    <xf numFmtId="0" fontId="29" fillId="0" borderId="16" xfId="20" applyFont="1" applyBorder="1" applyAlignment="1">
      <alignment vertical="top" wrapText="1"/>
    </xf>
    <xf numFmtId="3" fontId="29" fillId="0" borderId="0" xfId="20" applyNumberFormat="1" applyFont="1" applyAlignment="1">
      <alignment vertical="center"/>
    </xf>
    <xf numFmtId="0" fontId="29" fillId="0" borderId="0" xfId="20" applyFont="1" applyAlignment="1">
      <alignment vertical="center"/>
    </xf>
    <xf numFmtId="0" fontId="29" fillId="0" borderId="18" xfId="20" applyNumberFormat="1" applyFont="1" applyBorder="1" applyAlignment="1">
      <alignment horizontal="center" vertical="top"/>
    </xf>
    <xf numFmtId="0" fontId="29" fillId="0" borderId="18" xfId="20" applyFont="1" applyBorder="1" applyAlignment="1">
      <alignment vertical="top" wrapText="1"/>
    </xf>
    <xf numFmtId="0" fontId="29" fillId="0" borderId="19" xfId="20" applyFont="1" applyBorder="1" applyAlignment="1">
      <alignment vertical="top" wrapText="1"/>
    </xf>
    <xf numFmtId="0" fontId="29" fillId="0" borderId="17" xfId="20" applyFont="1" applyBorder="1" applyAlignment="1">
      <alignment horizontal="left" vertical="top" wrapText="1"/>
    </xf>
    <xf numFmtId="0" fontId="5" fillId="0" borderId="20" xfId="20" applyFont="1" applyBorder="1" applyAlignment="1">
      <alignment horizontal="center" vertical="top"/>
    </xf>
    <xf numFmtId="0" fontId="29" fillId="0" borderId="0" xfId="20" applyFont="1" applyBorder="1" applyAlignment="1">
      <alignment horizontal="left" vertical="top" wrapText="1"/>
    </xf>
    <xf numFmtId="0" fontId="5" fillId="0" borderId="4" xfId="20" applyFont="1" applyBorder="1" applyAlignment="1">
      <alignment horizontal="center" vertical="top" wrapText="1"/>
    </xf>
    <xf numFmtId="0" fontId="5" fillId="0" borderId="4" xfId="20" applyFont="1" applyBorder="1" applyAlignment="1">
      <alignment vertical="top" wrapText="1"/>
    </xf>
    <xf numFmtId="3" fontId="5" fillId="0" borderId="4" xfId="20" applyNumberFormat="1" applyFont="1" applyBorder="1" applyAlignment="1">
      <alignment horizontal="center" vertical="top"/>
    </xf>
    <xf numFmtId="3" fontId="5" fillId="0" borderId="0" xfId="20" applyNumberFormat="1" applyFont="1" applyAlignment="1">
      <alignment vertical="top"/>
    </xf>
    <xf numFmtId="0" fontId="5" fillId="0" borderId="0" xfId="20" applyFont="1" applyAlignment="1">
      <alignment vertical="top"/>
    </xf>
    <xf numFmtId="49" fontId="29" fillId="0" borderId="21" xfId="20" applyNumberFormat="1" applyFont="1" applyBorder="1" applyAlignment="1">
      <alignment horizontal="center" vertical="top" wrapText="1"/>
    </xf>
    <xf numFmtId="0" fontId="29" fillId="0" borderId="22" xfId="20" applyFont="1" applyBorder="1" applyAlignment="1">
      <alignment vertical="top" wrapText="1"/>
    </xf>
    <xf numFmtId="3" fontId="29" fillId="0" borderId="21" xfId="20" applyNumberFormat="1" applyFont="1" applyBorder="1" applyAlignment="1">
      <alignment vertical="top"/>
    </xf>
    <xf numFmtId="3" fontId="29" fillId="0" borderId="21" xfId="20" applyNumberFormat="1" applyFont="1" applyBorder="1" applyAlignment="1">
      <alignment horizontal="center" vertical="top"/>
    </xf>
    <xf numFmtId="3" fontId="29" fillId="0" borderId="0" xfId="20" applyNumberFormat="1" applyFont="1" applyAlignment="1">
      <alignment vertical="top"/>
    </xf>
    <xf numFmtId="0" fontId="29" fillId="0" borderId="0" xfId="20" applyFont="1" applyAlignment="1">
      <alignment vertical="top"/>
    </xf>
    <xf numFmtId="0" fontId="5" fillId="0" borderId="4" xfId="20" applyNumberFormat="1" applyFont="1" applyBorder="1" applyAlignment="1">
      <alignment horizontal="center" vertical="top"/>
    </xf>
    <xf numFmtId="0" fontId="29" fillId="0" borderId="21" xfId="20" applyNumberFormat="1" applyFont="1" applyBorder="1" applyAlignment="1">
      <alignment horizontal="center" vertical="top"/>
    </xf>
    <xf numFmtId="0" fontId="5" fillId="0" borderId="3" xfId="20" applyFont="1" applyBorder="1" applyAlignment="1">
      <alignment horizontal="center" vertical="top"/>
    </xf>
    <xf numFmtId="3" fontId="5" fillId="0" borderId="21" xfId="20" applyNumberFormat="1" applyFont="1" applyBorder="1" applyAlignment="1">
      <alignment vertical="top"/>
    </xf>
    <xf numFmtId="0" fontId="5" fillId="0" borderId="11" xfId="20" applyFont="1" applyBorder="1" applyAlignment="1">
      <alignment horizontal="center" vertical="top"/>
    </xf>
    <xf numFmtId="0" fontId="5" fillId="0" borderId="8" xfId="20" applyFont="1" applyBorder="1" applyAlignment="1">
      <alignment horizontal="center" vertical="top"/>
    </xf>
    <xf numFmtId="0" fontId="29" fillId="0" borderId="23" xfId="20" applyFont="1" applyBorder="1" applyAlignment="1">
      <alignment vertical="top" wrapText="1"/>
    </xf>
    <xf numFmtId="3" fontId="5" fillId="0" borderId="16" xfId="20" applyNumberFormat="1" applyFont="1" applyBorder="1" applyAlignment="1">
      <alignment vertical="top"/>
    </xf>
    <xf numFmtId="0" fontId="5" fillId="0" borderId="24" xfId="20" applyFont="1" applyBorder="1" applyAlignment="1">
      <alignment horizontal="center" vertical="top"/>
    </xf>
    <xf numFmtId="0" fontId="5" fillId="0" borderId="24" xfId="20" applyFont="1" applyBorder="1" applyAlignment="1">
      <alignment vertical="top"/>
    </xf>
    <xf numFmtId="3" fontId="5" fillId="0" borderId="24" xfId="20" applyNumberFormat="1" applyFont="1" applyBorder="1" applyAlignment="1">
      <alignment vertical="top"/>
    </xf>
    <xf numFmtId="0" fontId="29" fillId="0" borderId="21" xfId="20" applyFont="1" applyBorder="1" applyAlignment="1">
      <alignment vertical="top"/>
    </xf>
    <xf numFmtId="0" fontId="5" fillId="0" borderId="25" xfId="20" applyFont="1" applyBorder="1" applyAlignment="1">
      <alignment vertical="top"/>
    </xf>
    <xf numFmtId="3" fontId="5" fillId="0" borderId="25" xfId="20" applyNumberFormat="1" applyFont="1" applyBorder="1" applyAlignment="1">
      <alignment vertical="top"/>
    </xf>
    <xf numFmtId="0" fontId="29" fillId="0" borderId="16" xfId="20" applyFont="1" applyBorder="1" applyAlignment="1">
      <alignment vertical="top"/>
    </xf>
    <xf numFmtId="0" fontId="29" fillId="0" borderId="21" xfId="20" applyFont="1" applyBorder="1" applyAlignment="1">
      <alignment vertical="top" wrapText="1"/>
    </xf>
    <xf numFmtId="3" fontId="29" fillId="0" borderId="3" xfId="20" applyNumberFormat="1" applyFont="1" applyBorder="1" applyAlignment="1">
      <alignment vertical="top"/>
    </xf>
    <xf numFmtId="0" fontId="29" fillId="0" borderId="26" xfId="20" applyFont="1" applyBorder="1" applyAlignment="1">
      <alignment horizontal="left" vertical="top"/>
    </xf>
    <xf numFmtId="0" fontId="5" fillId="0" borderId="25" xfId="20" applyFont="1" applyBorder="1" applyAlignment="1">
      <alignment horizontal="center" vertical="top"/>
    </xf>
    <xf numFmtId="3" fontId="5" fillId="0" borderId="18" xfId="20" applyNumberFormat="1" applyFont="1" applyBorder="1" applyAlignment="1">
      <alignment vertical="top"/>
    </xf>
    <xf numFmtId="0" fontId="5" fillId="0" borderId="1" xfId="20" applyFont="1" applyBorder="1" applyAlignment="1">
      <alignment horizontal="center" vertical="top"/>
    </xf>
    <xf numFmtId="0" fontId="5" fillId="0" borderId="27" xfId="20" applyFont="1" applyBorder="1" applyAlignment="1">
      <alignment vertical="top" wrapText="1"/>
    </xf>
    <xf numFmtId="0" fontId="5" fillId="0" borderId="25" xfId="20" applyNumberFormat="1" applyFont="1" applyBorder="1" applyAlignment="1">
      <alignment horizontal="center" vertical="top"/>
    </xf>
    <xf numFmtId="0" fontId="5" fillId="0" borderId="20" xfId="20" applyFont="1" applyBorder="1" applyAlignment="1">
      <alignment vertical="top" wrapText="1"/>
    </xf>
    <xf numFmtId="3" fontId="5" fillId="0" borderId="0" xfId="20" applyNumberFormat="1" applyFont="1" applyAlignment="1">
      <alignment vertical="center"/>
    </xf>
    <xf numFmtId="0" fontId="5" fillId="0" borderId="0" xfId="20" applyFont="1" applyAlignment="1">
      <alignment vertical="center"/>
    </xf>
    <xf numFmtId="0" fontId="5" fillId="0" borderId="14" xfId="20" applyFont="1" applyFill="1" applyBorder="1" applyAlignment="1">
      <alignment horizontal="center" vertical="top"/>
    </xf>
    <xf numFmtId="0" fontId="5" fillId="0" borderId="25" xfId="20" applyNumberFormat="1" applyFont="1" applyFill="1" applyBorder="1" applyAlignment="1">
      <alignment horizontal="center" vertical="top"/>
    </xf>
    <xf numFmtId="0" fontId="5" fillId="0" borderId="20" xfId="20" applyFont="1" applyFill="1" applyBorder="1" applyAlignment="1">
      <alignment vertical="top" wrapText="1"/>
    </xf>
    <xf numFmtId="3" fontId="5" fillId="0" borderId="25" xfId="20" applyNumberFormat="1" applyFont="1" applyFill="1" applyBorder="1" applyAlignment="1">
      <alignment vertical="top"/>
    </xf>
    <xf numFmtId="3" fontId="5" fillId="0" borderId="0" xfId="20" applyNumberFormat="1" applyFont="1" applyFill="1" applyAlignment="1">
      <alignment vertical="top"/>
    </xf>
    <xf numFmtId="0" fontId="5" fillId="0" borderId="0" xfId="20" applyFont="1" applyFill="1" applyAlignment="1">
      <alignment vertical="top"/>
    </xf>
    <xf numFmtId="0" fontId="29" fillId="0" borderId="3" xfId="20" applyNumberFormat="1" applyFont="1" applyBorder="1" applyAlignment="1">
      <alignment horizontal="center" vertical="top"/>
    </xf>
    <xf numFmtId="0" fontId="29" fillId="0" borderId="25" xfId="20" applyFont="1" applyBorder="1" applyAlignment="1">
      <alignment vertical="top"/>
    </xf>
    <xf numFmtId="0" fontId="29" fillId="0" borderId="18" xfId="20" applyNumberFormat="1" applyFont="1" applyFill="1" applyBorder="1" applyAlignment="1">
      <alignment horizontal="center" vertical="top"/>
    </xf>
    <xf numFmtId="3" fontId="5" fillId="0" borderId="18" xfId="20" applyNumberFormat="1" applyFont="1" applyFill="1" applyBorder="1" applyAlignment="1">
      <alignment vertical="top"/>
    </xf>
    <xf numFmtId="3" fontId="29" fillId="0" borderId="18" xfId="20" applyNumberFormat="1" applyFont="1" applyFill="1" applyBorder="1" applyAlignment="1">
      <alignment vertical="top"/>
    </xf>
    <xf numFmtId="3" fontId="5" fillId="0" borderId="0" xfId="20" applyNumberFormat="1" applyFont="1" applyBorder="1" applyAlignment="1">
      <alignment vertical="top"/>
    </xf>
    <xf numFmtId="0" fontId="5" fillId="0" borderId="0" xfId="20" applyFont="1" applyBorder="1" applyAlignment="1">
      <alignment vertical="top"/>
    </xf>
    <xf numFmtId="0" fontId="5" fillId="0" borderId="24" xfId="20" applyFont="1" applyBorder="1" applyAlignment="1">
      <alignment vertical="top" wrapText="1"/>
    </xf>
    <xf numFmtId="0" fontId="5" fillId="0" borderId="3" xfId="20" applyNumberFormat="1" applyFont="1" applyBorder="1" applyAlignment="1">
      <alignment horizontal="center" vertical="top"/>
    </xf>
    <xf numFmtId="0" fontId="5" fillId="0" borderId="25" xfId="20" applyFont="1" applyBorder="1" applyAlignment="1">
      <alignment vertical="top" wrapText="1"/>
    </xf>
    <xf numFmtId="3" fontId="5" fillId="0" borderId="3" xfId="20" applyNumberFormat="1" applyFont="1" applyBorder="1" applyAlignment="1">
      <alignment vertical="top"/>
    </xf>
    <xf numFmtId="3" fontId="5" fillId="0" borderId="1" xfId="20" applyNumberFormat="1" applyFont="1" applyBorder="1" applyAlignment="1">
      <alignment vertical="top"/>
    </xf>
    <xf numFmtId="0" fontId="5" fillId="0" borderId="20" xfId="20" applyFont="1" applyBorder="1" applyAlignment="1">
      <alignment vertical="top"/>
    </xf>
    <xf numFmtId="0" fontId="29" fillId="0" borderId="18" xfId="20" applyFont="1" applyBorder="1" applyAlignment="1">
      <alignment vertical="top"/>
    </xf>
    <xf numFmtId="0" fontId="29" fillId="0" borderId="25" xfId="20" applyNumberFormat="1" applyFont="1" applyBorder="1" applyAlignment="1">
      <alignment horizontal="center" vertical="top"/>
    </xf>
    <xf numFmtId="0" fontId="29" fillId="0" borderId="25" xfId="20" applyFont="1" applyBorder="1" applyAlignment="1">
      <alignment vertical="top" wrapText="1"/>
    </xf>
    <xf numFmtId="3" fontId="29" fillId="0" borderId="25" xfId="20" applyNumberFormat="1" applyFont="1" applyBorder="1" applyAlignment="1">
      <alignment vertical="top"/>
    </xf>
    <xf numFmtId="0" fontId="5" fillId="0" borderId="4" xfId="20" applyFont="1" applyBorder="1" applyAlignment="1">
      <alignment horizontal="left" vertical="top" wrapText="1"/>
    </xf>
    <xf numFmtId="0" fontId="17" fillId="0" borderId="2" xfId="20" applyFont="1" applyBorder="1" applyAlignment="1">
      <alignment horizontal="center" vertical="top" wrapText="1"/>
    </xf>
    <xf numFmtId="0" fontId="29" fillId="0" borderId="3" xfId="20" applyNumberFormat="1" applyFont="1" applyBorder="1" applyAlignment="1">
      <alignment horizontal="center" vertical="top" wrapText="1"/>
    </xf>
    <xf numFmtId="3" fontId="18" fillId="0" borderId="0" xfId="16" applyNumberFormat="1" applyFont="1" applyAlignment="1">
      <alignment vertical="center"/>
    </xf>
    <xf numFmtId="3" fontId="21" fillId="0" borderId="0" xfId="16" applyNumberFormat="1" applyFont="1" applyAlignment="1">
      <alignment horizontal="center" vertical="center"/>
    </xf>
    <xf numFmtId="49" fontId="21" fillId="0" borderId="5" xfId="16" applyNumberFormat="1" applyFont="1" applyBorder="1" applyAlignment="1">
      <alignment horizontal="center" vertical="center" wrapText="1"/>
    </xf>
    <xf numFmtId="3" fontId="27" fillId="0" borderId="10" xfId="16" applyNumberFormat="1" applyFont="1" applyBorder="1" applyAlignment="1">
      <alignment horizontal="center" vertical="center" wrapText="1"/>
    </xf>
    <xf numFmtId="3" fontId="21" fillId="0" borderId="10" xfId="16" applyNumberFormat="1" applyFont="1" applyFill="1" applyBorder="1" applyAlignment="1">
      <alignment vertical="center" wrapText="1"/>
    </xf>
    <xf numFmtId="3" fontId="27" fillId="0" borderId="10" xfId="16" applyNumberFormat="1" applyFont="1" applyBorder="1" applyAlignment="1">
      <alignment vertical="center" wrapText="1"/>
    </xf>
    <xf numFmtId="3" fontId="21" fillId="0" borderId="10" xfId="16" applyNumberFormat="1" applyFont="1" applyBorder="1" applyAlignment="1">
      <alignment horizontal="right" vertical="center" wrapText="1"/>
    </xf>
    <xf numFmtId="3" fontId="21" fillId="0" borderId="6" xfId="16" applyNumberFormat="1" applyFont="1" applyBorder="1" applyAlignment="1">
      <alignment horizontal="right" vertical="center" wrapText="1"/>
    </xf>
    <xf numFmtId="0" fontId="30" fillId="0" borderId="8" xfId="20" applyFont="1" applyBorder="1" applyAlignment="1">
      <alignment horizontal="center" vertical="center"/>
    </xf>
    <xf numFmtId="0" fontId="30" fillId="0" borderId="2" xfId="20" applyFont="1" applyBorder="1" applyAlignment="1">
      <alignment horizontal="center" vertical="center" wrapText="1"/>
    </xf>
    <xf numFmtId="0" fontId="30" fillId="0" borderId="2" xfId="20" applyFont="1" applyBorder="1" applyAlignment="1">
      <alignment horizontal="center" vertical="center"/>
    </xf>
    <xf numFmtId="0" fontId="30" fillId="0" borderId="4" xfId="20" applyFont="1" applyBorder="1" applyAlignment="1">
      <alignment horizontal="center" vertical="center" wrapText="1"/>
    </xf>
    <xf numFmtId="0" fontId="30" fillId="0" borderId="4" xfId="20" applyFont="1" applyBorder="1" applyAlignment="1">
      <alignment horizontal="center" vertical="center"/>
    </xf>
    <xf numFmtId="0" fontId="30" fillId="0" borderId="0" xfId="20" applyFont="1" applyAlignment="1">
      <alignment horizontal="center" vertical="center"/>
    </xf>
    <xf numFmtId="0" fontId="29" fillId="0" borderId="21" xfId="20" applyNumberFormat="1" applyFont="1" applyBorder="1" applyAlignment="1">
      <alignment horizontal="center" vertical="top" wrapText="1"/>
    </xf>
    <xf numFmtId="0" fontId="29" fillId="0" borderId="26" xfId="20" applyFont="1" applyBorder="1" applyAlignment="1">
      <alignment horizontal="left" vertical="top" wrapText="1"/>
    </xf>
    <xf numFmtId="3" fontId="29" fillId="0" borderId="21" xfId="20" applyNumberFormat="1" applyFont="1" applyBorder="1" applyAlignment="1">
      <alignment horizontal="right" vertical="top"/>
    </xf>
    <xf numFmtId="49" fontId="5" fillId="0" borderId="24" xfId="2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0" fontId="4" fillId="0" borderId="15" xfId="20" applyFont="1" applyBorder="1" applyAlignment="1">
      <alignment horizontal="left" vertical="top"/>
    </xf>
    <xf numFmtId="3" fontId="5" fillId="0" borderId="24" xfId="20" applyNumberFormat="1" applyFont="1" applyBorder="1" applyAlignment="1">
      <alignment horizontal="right" vertical="top"/>
    </xf>
    <xf numFmtId="0" fontId="4" fillId="0" borderId="27" xfId="20" applyFont="1" applyBorder="1" applyAlignment="1">
      <alignment vertical="top" wrapText="1"/>
    </xf>
    <xf numFmtId="0" fontId="4" fillId="0" borderId="27" xfId="20" applyFont="1" applyBorder="1" applyAlignment="1">
      <alignment vertical="top"/>
    </xf>
    <xf numFmtId="49" fontId="31" fillId="0" borderId="0" xfId="0" applyNumberFormat="1" applyFont="1" applyAlignment="1">
      <alignment horizontal="center" vertical="top" wrapText="1"/>
    </xf>
    <xf numFmtId="49" fontId="32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vertical="top" wrapText="1"/>
    </xf>
    <xf numFmtId="3" fontId="32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3" fontId="31" fillId="0" borderId="2" xfId="0" applyNumberFormat="1" applyFont="1" applyBorder="1" applyAlignment="1">
      <alignment horizontal="right" vertical="top" wrapText="1"/>
    </xf>
    <xf numFmtId="0" fontId="32" fillId="0" borderId="0" xfId="0" applyFont="1" applyAlignment="1">
      <alignment vertical="top" wrapText="1"/>
    </xf>
    <xf numFmtId="3" fontId="32" fillId="0" borderId="0" xfId="0" applyNumberFormat="1" applyFont="1" applyAlignment="1">
      <alignment vertical="top" wrapText="1"/>
    </xf>
    <xf numFmtId="0" fontId="3" fillId="0" borderId="0" xfId="21" applyFont="1" applyAlignment="1">
      <alignment vertical="top" wrapText="1"/>
    </xf>
    <xf numFmtId="49" fontId="3" fillId="0" borderId="3" xfId="21" applyNumberFormat="1" applyFont="1" applyBorder="1" applyAlignment="1">
      <alignment horizontal="center" vertical="top"/>
    </xf>
    <xf numFmtId="3" fontId="3" fillId="0" borderId="3" xfId="21" applyNumberFormat="1" applyFont="1" applyBorder="1" applyAlignment="1">
      <alignment vertical="top"/>
    </xf>
    <xf numFmtId="0" fontId="3" fillId="0" borderId="3" xfId="21" applyFont="1" applyBorder="1" applyAlignment="1">
      <alignment vertical="top" wrapText="1"/>
    </xf>
    <xf numFmtId="49" fontId="3" fillId="0" borderId="1" xfId="21" applyNumberFormat="1" applyFont="1" applyBorder="1" applyAlignment="1">
      <alignment horizontal="center" vertical="top"/>
    </xf>
    <xf numFmtId="3" fontId="3" fillId="0" borderId="1" xfId="21" applyNumberFormat="1" applyFont="1" applyBorder="1" applyAlignment="1">
      <alignment vertical="top"/>
    </xf>
    <xf numFmtId="49" fontId="3" fillId="0" borderId="2" xfId="21" applyNumberFormat="1" applyFont="1" applyBorder="1" applyAlignment="1">
      <alignment horizontal="center" vertical="top"/>
    </xf>
    <xf numFmtId="3" fontId="3" fillId="0" borderId="2" xfId="21" applyNumberFormat="1" applyFont="1" applyBorder="1" applyAlignment="1">
      <alignment vertical="top"/>
    </xf>
    <xf numFmtId="49" fontId="17" fillId="0" borderId="3" xfId="21" applyNumberFormat="1" applyFont="1" applyBorder="1" applyAlignment="1">
      <alignment horizontal="center" vertical="top"/>
    </xf>
    <xf numFmtId="3" fontId="17" fillId="0" borderId="3" xfId="21" applyNumberFormat="1" applyFont="1" applyBorder="1" applyAlignment="1">
      <alignment vertical="top"/>
    </xf>
    <xf numFmtId="49" fontId="17" fillId="0" borderId="2" xfId="21" applyNumberFormat="1" applyFont="1" applyBorder="1" applyAlignment="1">
      <alignment horizontal="center" vertical="top"/>
    </xf>
    <xf numFmtId="3" fontId="17" fillId="0" borderId="2" xfId="21" applyNumberFormat="1" applyFont="1" applyBorder="1" applyAlignment="1">
      <alignment vertical="top"/>
    </xf>
    <xf numFmtId="0" fontId="31" fillId="0" borderId="0" xfId="0" applyFont="1" applyAlignment="1">
      <alignment wrapText="1"/>
    </xf>
    <xf numFmtId="0" fontId="17" fillId="0" borderId="3" xfId="21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2" xfId="12" applyFont="1" applyBorder="1" applyAlignment="1">
      <alignment vertical="top" wrapText="1"/>
    </xf>
    <xf numFmtId="0" fontId="3" fillId="0" borderId="1" xfId="21" applyFont="1" applyBorder="1" applyAlignment="1">
      <alignment vertical="top" wrapText="1"/>
    </xf>
    <xf numFmtId="0" fontId="17" fillId="0" borderId="7" xfId="21" applyFont="1" applyBorder="1" applyAlignment="1">
      <alignment vertical="top" wrapText="1"/>
    </xf>
    <xf numFmtId="0" fontId="3" fillId="0" borderId="7" xfId="21" applyFont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49" fontId="3" fillId="0" borderId="4" xfId="21" applyNumberFormat="1" applyFont="1" applyBorder="1" applyAlignment="1">
      <alignment horizontal="center" vertical="top"/>
    </xf>
    <xf numFmtId="0" fontId="3" fillId="0" borderId="4" xfId="21" applyFont="1" applyBorder="1" applyAlignment="1">
      <alignment vertical="top" wrapText="1"/>
    </xf>
    <xf numFmtId="3" fontId="3" fillId="0" borderId="4" xfId="21" applyNumberFormat="1" applyFont="1" applyBorder="1" applyAlignment="1">
      <alignment vertical="top"/>
    </xf>
    <xf numFmtId="49" fontId="17" fillId="0" borderId="4" xfId="21" applyNumberFormat="1" applyFont="1" applyBorder="1" applyAlignment="1">
      <alignment horizontal="center" vertical="top"/>
    </xf>
    <xf numFmtId="0" fontId="17" fillId="0" borderId="4" xfId="21" applyFont="1" applyBorder="1" applyAlignment="1">
      <alignment vertical="top" wrapText="1"/>
    </xf>
    <xf numFmtId="3" fontId="17" fillId="0" borderId="4" xfId="21" applyNumberFormat="1" applyFont="1" applyBorder="1" applyAlignment="1">
      <alignment vertical="top"/>
    </xf>
    <xf numFmtId="0" fontId="3" fillId="0" borderId="2" xfId="21" applyFont="1" applyBorder="1" applyAlignment="1">
      <alignment vertical="top" wrapText="1"/>
    </xf>
    <xf numFmtId="0" fontId="3" fillId="0" borderId="28" xfId="20" applyFont="1" applyBorder="1" applyAlignment="1">
      <alignment horizontal="left" vertical="top" wrapText="1"/>
    </xf>
    <xf numFmtId="49" fontId="31" fillId="0" borderId="2" xfId="0" applyNumberFormat="1" applyFont="1" applyBorder="1" applyAlignment="1">
      <alignment horizontal="center" wrapText="1"/>
    </xf>
    <xf numFmtId="49" fontId="33" fillId="0" borderId="2" xfId="0" applyNumberFormat="1" applyFont="1" applyBorder="1" applyAlignment="1">
      <alignment horizontal="center" wrapText="1"/>
    </xf>
    <xf numFmtId="0" fontId="31" fillId="0" borderId="2" xfId="0" applyFont="1" applyBorder="1" applyAlignment="1">
      <alignment vertical="center" wrapText="1"/>
    </xf>
    <xf numFmtId="49" fontId="31" fillId="0" borderId="0" xfId="0" applyNumberFormat="1" applyFont="1" applyAlignment="1">
      <alignment horizontal="center" wrapText="1"/>
    </xf>
    <xf numFmtId="0" fontId="2" fillId="0" borderId="3" xfId="21" applyFont="1" applyBorder="1" applyAlignment="1">
      <alignment vertical="top" wrapText="1"/>
    </xf>
    <xf numFmtId="49" fontId="2" fillId="0" borderId="3" xfId="21" applyNumberFormat="1" applyFont="1" applyBorder="1" applyAlignment="1">
      <alignment horizontal="center" vertical="top"/>
    </xf>
    <xf numFmtId="3" fontId="2" fillId="0" borderId="3" xfId="21" applyNumberFormat="1" applyFont="1" applyBorder="1" applyAlignment="1">
      <alignment vertical="top"/>
    </xf>
    <xf numFmtId="0" fontId="32" fillId="0" borderId="0" xfId="0" applyFont="1" applyAlignment="1">
      <alignment horizontal="left" vertical="top" wrapText="1"/>
    </xf>
    <xf numFmtId="49" fontId="17" fillId="0" borderId="1" xfId="21" applyNumberFormat="1" applyFont="1" applyBorder="1" applyAlignment="1">
      <alignment horizontal="center" vertical="top"/>
    </xf>
    <xf numFmtId="0" fontId="17" fillId="0" borderId="1" xfId="21" applyFont="1" applyBorder="1" applyAlignment="1">
      <alignment vertical="top" wrapText="1"/>
    </xf>
    <xf numFmtId="3" fontId="17" fillId="0" borderId="1" xfId="21" applyNumberFormat="1" applyFont="1" applyBorder="1" applyAlignment="1">
      <alignment vertical="top"/>
    </xf>
    <xf numFmtId="0" fontId="34" fillId="0" borderId="0" xfId="0" applyFont="1" applyAlignment="1">
      <alignment horizontal="center"/>
    </xf>
    <xf numFmtId="0" fontId="34" fillId="0" borderId="0" xfId="0" applyFont="1"/>
    <xf numFmtId="3" fontId="34" fillId="0" borderId="0" xfId="0" applyNumberFormat="1" applyFont="1"/>
    <xf numFmtId="0" fontId="20" fillId="0" borderId="0" xfId="0" applyFont="1" applyFill="1"/>
    <xf numFmtId="0" fontId="35" fillId="0" borderId="0" xfId="0" applyFont="1" applyAlignment="1">
      <alignment wrapText="1"/>
    </xf>
    <xf numFmtId="3" fontId="35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/>
    </xf>
    <xf numFmtId="3" fontId="36" fillId="5" borderId="2" xfId="0" applyNumberFormat="1" applyFont="1" applyFill="1" applyBorder="1" applyAlignment="1">
      <alignment horizontal="center"/>
    </xf>
    <xf numFmtId="3" fontId="36" fillId="0" borderId="2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4" fillId="0" borderId="2" xfId="0" applyFont="1" applyBorder="1" applyAlignment="1">
      <alignment horizontal="center" vertical="top"/>
    </xf>
    <xf numFmtId="0" fontId="34" fillId="0" borderId="2" xfId="0" applyFont="1" applyBorder="1" applyAlignment="1">
      <alignment vertical="top"/>
    </xf>
    <xf numFmtId="3" fontId="34" fillId="5" borderId="2" xfId="0" applyNumberFormat="1" applyFont="1" applyFill="1" applyBorder="1" applyAlignment="1">
      <alignment vertical="top"/>
    </xf>
    <xf numFmtId="3" fontId="34" fillId="0" borderId="2" xfId="0" applyNumberFormat="1" applyFont="1" applyBorder="1" applyAlignment="1">
      <alignment vertical="top"/>
    </xf>
    <xf numFmtId="0" fontId="34" fillId="0" borderId="0" xfId="0" applyFont="1" applyAlignment="1">
      <alignment vertical="top"/>
    </xf>
    <xf numFmtId="4" fontId="37" fillId="5" borderId="2" xfId="0" applyNumberFormat="1" applyFont="1" applyFill="1" applyBorder="1" applyAlignment="1">
      <alignment horizontal="center" vertical="center"/>
    </xf>
    <xf numFmtId="4" fontId="37" fillId="5" borderId="2" xfId="0" applyNumberFormat="1" applyFont="1" applyFill="1" applyBorder="1" applyAlignment="1">
      <alignment horizontal="left" vertical="center" wrapText="1"/>
    </xf>
    <xf numFmtId="3" fontId="37" fillId="5" borderId="2" xfId="0" applyNumberFormat="1" applyFont="1" applyFill="1" applyBorder="1" applyAlignment="1">
      <alignment horizontal="right" vertical="center"/>
    </xf>
    <xf numFmtId="4" fontId="37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4" fontId="34" fillId="0" borderId="2" xfId="0" applyNumberFormat="1" applyFont="1" applyBorder="1" applyAlignment="1">
      <alignment horizontal="center" vertical="top"/>
    </xf>
    <xf numFmtId="4" fontId="34" fillId="0" borderId="2" xfId="0" applyNumberFormat="1" applyFont="1" applyBorder="1" applyAlignment="1">
      <alignment vertical="top" wrapText="1"/>
    </xf>
    <xf numFmtId="3" fontId="34" fillId="0" borderId="2" xfId="0" applyNumberFormat="1" applyFont="1" applyFill="1" applyBorder="1" applyAlignment="1">
      <alignment vertical="top"/>
    </xf>
    <xf numFmtId="4" fontId="34" fillId="0" borderId="0" xfId="0" applyNumberFormat="1" applyFont="1" applyAlignment="1">
      <alignment vertical="top"/>
    </xf>
    <xf numFmtId="4" fontId="31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Border="1" applyAlignment="1">
      <alignment horizontal="left" vertical="center" wrapText="1"/>
    </xf>
    <xf numFmtId="3" fontId="31" fillId="5" borderId="2" xfId="0" applyNumberFormat="1" applyFont="1" applyFill="1" applyBorder="1" applyAlignment="1">
      <alignment vertical="center"/>
    </xf>
    <xf numFmtId="3" fontId="31" fillId="0" borderId="2" xfId="0" applyNumberFormat="1" applyFont="1" applyFill="1" applyBorder="1" applyAlignment="1">
      <alignment vertical="center"/>
    </xf>
    <xf numFmtId="4" fontId="31" fillId="0" borderId="0" xfId="0" applyNumberFormat="1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34" fillId="0" borderId="2" xfId="0" applyNumberFormat="1" applyFont="1" applyFill="1" applyBorder="1" applyAlignment="1">
      <alignment horizontal="center" vertical="top"/>
    </xf>
    <xf numFmtId="4" fontId="34" fillId="0" borderId="2" xfId="0" applyNumberFormat="1" applyFont="1" applyBorder="1" applyAlignment="1">
      <alignment horizontal="left" vertical="top" wrapText="1"/>
    </xf>
    <xf numFmtId="4" fontId="34" fillId="0" borderId="0" xfId="0" applyNumberFormat="1" applyFont="1" applyFill="1" applyAlignment="1">
      <alignment vertical="top"/>
    </xf>
    <xf numFmtId="3" fontId="31" fillId="5" borderId="2" xfId="0" applyNumberFormat="1" applyFont="1" applyFill="1" applyBorder="1" applyAlignment="1">
      <alignment horizontal="right" vertical="center"/>
    </xf>
    <xf numFmtId="3" fontId="31" fillId="0" borderId="2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" fontId="34" fillId="0" borderId="2" xfId="0" applyNumberFormat="1" applyFont="1" applyFill="1" applyBorder="1" applyAlignment="1">
      <alignment horizontal="left" vertical="top" wrapText="1"/>
    </xf>
    <xf numFmtId="49" fontId="34" fillId="0" borderId="2" xfId="0" applyNumberFormat="1" applyFont="1" applyFill="1" applyBorder="1" applyAlignment="1">
      <alignment horizontal="center" vertical="top"/>
    </xf>
    <xf numFmtId="4" fontId="35" fillId="0" borderId="0" xfId="0" applyNumberFormat="1" applyFont="1" applyFill="1" applyAlignment="1">
      <alignment vertical="center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4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4" fontId="34" fillId="0" borderId="0" xfId="0" applyNumberFormat="1" applyFont="1" applyFill="1" applyBorder="1" applyAlignment="1">
      <alignment vertical="top"/>
    </xf>
    <xf numFmtId="4" fontId="34" fillId="0" borderId="0" xfId="0" applyNumberFormat="1" applyFont="1" applyBorder="1" applyAlignment="1">
      <alignment vertical="top"/>
    </xf>
    <xf numFmtId="0" fontId="34" fillId="0" borderId="0" xfId="0" applyFont="1" applyBorder="1" applyAlignment="1">
      <alignment vertical="top"/>
    </xf>
    <xf numFmtId="3" fontId="31" fillId="6" borderId="2" xfId="0" applyNumberFormat="1" applyFont="1" applyFill="1" applyBorder="1" applyAlignment="1">
      <alignment vertical="center"/>
    </xf>
    <xf numFmtId="3" fontId="34" fillId="5" borderId="2" xfId="0" applyNumberFormat="1" applyFont="1" applyFill="1" applyBorder="1" applyAlignment="1">
      <alignment vertical="center"/>
    </xf>
    <xf numFmtId="3" fontId="34" fillId="0" borderId="2" xfId="0" applyNumberFormat="1" applyFont="1" applyFill="1" applyBorder="1" applyAlignment="1">
      <alignment vertical="center"/>
    </xf>
    <xf numFmtId="4" fontId="34" fillId="0" borderId="0" xfId="0" applyNumberFormat="1" applyFont="1" applyFill="1" applyAlignment="1">
      <alignment vertical="center"/>
    </xf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1" fillId="5" borderId="2" xfId="0" applyNumberFormat="1" applyFont="1" applyFill="1" applyBorder="1" applyAlignment="1">
      <alignment vertical="top"/>
    </xf>
    <xf numFmtId="3" fontId="31" fillId="0" borderId="2" xfId="0" applyNumberFormat="1" applyFont="1" applyFill="1" applyBorder="1" applyAlignment="1">
      <alignment vertical="top"/>
    </xf>
    <xf numFmtId="1" fontId="31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top"/>
    </xf>
    <xf numFmtId="4" fontId="34" fillId="0" borderId="0" xfId="0" applyNumberFormat="1" applyFont="1" applyFill="1" applyBorder="1" applyAlignment="1">
      <alignment vertical="center"/>
    </xf>
    <xf numFmtId="1" fontId="37" fillId="5" borderId="2" xfId="0" applyNumberFormat="1" applyFont="1" applyFill="1" applyBorder="1" applyAlignment="1">
      <alignment horizontal="center"/>
    </xf>
    <xf numFmtId="4" fontId="37" fillId="5" borderId="2" xfId="0" applyNumberFormat="1" applyFont="1" applyFill="1" applyBorder="1" applyAlignment="1">
      <alignment horizontal="left" vertical="center"/>
    </xf>
    <xf numFmtId="3" fontId="37" fillId="5" borderId="2" xfId="0" applyNumberFormat="1" applyFont="1" applyFill="1" applyBorder="1" applyAlignment="1">
      <alignment vertical="top"/>
    </xf>
    <xf numFmtId="4" fontId="37" fillId="0" borderId="0" xfId="0" applyNumberFormat="1" applyFont="1"/>
    <xf numFmtId="0" fontId="37" fillId="0" borderId="0" xfId="0" applyFont="1"/>
    <xf numFmtId="1" fontId="34" fillId="0" borderId="0" xfId="0" applyNumberFormat="1" applyFont="1" applyAlignment="1">
      <alignment horizontal="center"/>
    </xf>
    <xf numFmtId="4" fontId="34" fillId="0" borderId="0" xfId="0" applyNumberFormat="1" applyFont="1"/>
    <xf numFmtId="3" fontId="34" fillId="0" borderId="0" xfId="0" applyNumberFormat="1" applyFont="1" applyFill="1"/>
    <xf numFmtId="49" fontId="34" fillId="0" borderId="0" xfId="0" applyNumberFormat="1" applyFont="1" applyAlignment="1" applyProtection="1">
      <alignment horizontal="left"/>
    </xf>
    <xf numFmtId="3" fontId="34" fillId="0" borderId="0" xfId="0" applyNumberFormat="1" applyFont="1" applyFill="1" applyAlignment="1">
      <alignment vertical="top"/>
    </xf>
    <xf numFmtId="3" fontId="34" fillId="0" borderId="0" xfId="0" applyNumberFormat="1" applyFont="1" applyAlignment="1">
      <alignment vertical="top"/>
    </xf>
    <xf numFmtId="3" fontId="34" fillId="0" borderId="0" xfId="0" applyNumberFormat="1" applyFont="1" applyAlignment="1">
      <alignment horizontal="center"/>
    </xf>
    <xf numFmtId="49" fontId="17" fillId="0" borderId="2" xfId="22" applyNumberFormat="1" applyFont="1" applyBorder="1" applyAlignment="1">
      <alignment horizontal="center" vertical="top"/>
    </xf>
    <xf numFmtId="3" fontId="17" fillId="0" borderId="2" xfId="22" applyNumberFormat="1" applyFont="1" applyBorder="1" applyAlignment="1">
      <alignment vertical="top"/>
    </xf>
    <xf numFmtId="49" fontId="17" fillId="0" borderId="3" xfId="22" applyNumberFormat="1" applyFont="1" applyBorder="1" applyAlignment="1">
      <alignment horizontal="center" vertical="top"/>
    </xf>
    <xf numFmtId="0" fontId="17" fillId="0" borderId="3" xfId="22" applyFont="1" applyBorder="1" applyAlignment="1">
      <alignment horizontal="center" vertical="top"/>
    </xf>
    <xf numFmtId="0" fontId="17" fillId="0" borderId="3" xfId="22" applyFont="1" applyBorder="1" applyAlignment="1">
      <alignment vertical="top" wrapText="1"/>
    </xf>
    <xf numFmtId="3" fontId="17" fillId="0" borderId="3" xfId="22" applyNumberFormat="1" applyFont="1" applyBorder="1" applyAlignment="1">
      <alignment vertical="top"/>
    </xf>
    <xf numFmtId="49" fontId="1" fillId="0" borderId="3" xfId="22" applyNumberFormat="1" applyFont="1" applyBorder="1" applyAlignment="1">
      <alignment horizontal="center" vertical="top"/>
    </xf>
    <xf numFmtId="0" fontId="1" fillId="0" borderId="3" xfId="22" applyFont="1" applyBorder="1" applyAlignment="1">
      <alignment horizontal="center" vertical="top"/>
    </xf>
    <xf numFmtId="0" fontId="1" fillId="0" borderId="3" xfId="22" applyFont="1" applyBorder="1" applyAlignment="1">
      <alignment vertical="top" wrapText="1"/>
    </xf>
    <xf numFmtId="3" fontId="1" fillId="0" borderId="3" xfId="22" applyNumberFormat="1" applyFont="1" applyBorder="1" applyAlignment="1">
      <alignment vertical="top"/>
    </xf>
    <xf numFmtId="49" fontId="1" fillId="0" borderId="1" xfId="22" applyNumberFormat="1" applyFont="1" applyBorder="1" applyAlignment="1">
      <alignment horizontal="center" vertical="top"/>
    </xf>
    <xf numFmtId="0" fontId="1" fillId="0" borderId="1" xfId="22" applyFont="1" applyBorder="1" applyAlignment="1">
      <alignment horizontal="center" vertical="top"/>
    </xf>
    <xf numFmtId="0" fontId="1" fillId="0" borderId="1" xfId="22" applyFont="1" applyBorder="1" applyAlignment="1">
      <alignment vertical="top" wrapText="1"/>
    </xf>
    <xf numFmtId="3" fontId="1" fillId="0" borderId="1" xfId="22" applyNumberFormat="1" applyFont="1" applyBorder="1" applyAlignment="1">
      <alignment vertical="top"/>
    </xf>
    <xf numFmtId="49" fontId="1" fillId="0" borderId="4" xfId="22" applyNumberFormat="1" applyFont="1" applyBorder="1" applyAlignment="1">
      <alignment horizontal="center" vertical="top"/>
    </xf>
    <xf numFmtId="0" fontId="1" fillId="0" borderId="4" xfId="22" applyFont="1" applyBorder="1" applyAlignment="1">
      <alignment horizontal="center" vertical="top"/>
    </xf>
    <xf numFmtId="0" fontId="1" fillId="0" borderId="4" xfId="22" applyFont="1" applyBorder="1" applyAlignment="1">
      <alignment vertical="top" wrapText="1"/>
    </xf>
    <xf numFmtId="3" fontId="1" fillId="0" borderId="4" xfId="22" applyNumberFormat="1" applyFont="1" applyBorder="1" applyAlignment="1">
      <alignment vertical="top"/>
    </xf>
    <xf numFmtId="0" fontId="17" fillId="0" borderId="2" xfId="22" applyFont="1" applyBorder="1" applyAlignment="1">
      <alignment horizontal="center" vertical="top"/>
    </xf>
    <xf numFmtId="49" fontId="17" fillId="0" borderId="4" xfId="22" applyNumberFormat="1" applyFont="1" applyBorder="1" applyAlignment="1">
      <alignment horizontal="center" vertical="top"/>
    </xf>
    <xf numFmtId="0" fontId="17" fillId="0" borderId="4" xfId="22" applyFont="1" applyBorder="1" applyAlignment="1">
      <alignment horizontal="center" vertical="top"/>
    </xf>
    <xf numFmtId="0" fontId="17" fillId="0" borderId="4" xfId="22" applyFont="1" applyBorder="1" applyAlignment="1">
      <alignment vertical="top" wrapText="1"/>
    </xf>
    <xf numFmtId="3" fontId="17" fillId="0" borderId="4" xfId="22" applyNumberFormat="1" applyFont="1" applyBorder="1" applyAlignment="1">
      <alignment vertical="top"/>
    </xf>
    <xf numFmtId="0" fontId="17" fillId="0" borderId="2" xfId="23" applyFont="1" applyBorder="1" applyAlignment="1">
      <alignment vertical="top" wrapText="1"/>
    </xf>
    <xf numFmtId="49" fontId="1" fillId="0" borderId="2" xfId="22" applyNumberFormat="1" applyFont="1" applyBorder="1" applyAlignment="1">
      <alignment horizontal="center" vertical="top"/>
    </xf>
    <xf numFmtId="0" fontId="1" fillId="0" borderId="2" xfId="22" applyFont="1" applyBorder="1" applyAlignment="1">
      <alignment horizontal="center" vertical="top"/>
    </xf>
    <xf numFmtId="0" fontId="1" fillId="0" borderId="2" xfId="22" applyFont="1" applyBorder="1" applyAlignment="1">
      <alignment vertical="top" wrapText="1"/>
    </xf>
    <xf numFmtId="3" fontId="1" fillId="0" borderId="2" xfId="22" applyNumberFormat="1" applyFont="1" applyBorder="1" applyAlignment="1">
      <alignment vertical="top"/>
    </xf>
    <xf numFmtId="0" fontId="18" fillId="0" borderId="0" xfId="24" applyFont="1" applyFill="1" applyAlignment="1">
      <alignment wrapText="1"/>
    </xf>
    <xf numFmtId="0" fontId="18" fillId="0" borderId="0" xfId="24" applyFont="1" applyFill="1" applyAlignment="1">
      <alignment horizontal="left" wrapText="1"/>
    </xf>
    <xf numFmtId="0" fontId="39" fillId="0" borderId="0" xfId="24" applyFont="1" applyAlignment="1">
      <alignment horizontal="left" wrapText="1"/>
    </xf>
    <xf numFmtId="0" fontId="39" fillId="0" borderId="0" xfId="24" applyFont="1" applyAlignment="1">
      <alignment wrapText="1"/>
    </xf>
    <xf numFmtId="0" fontId="18" fillId="0" borderId="0" xfId="25" applyFont="1" applyFill="1" applyAlignment="1">
      <alignment horizontal="left" vertical="center" wrapText="1"/>
    </xf>
    <xf numFmtId="0" fontId="39" fillId="0" borderId="0" xfId="25" applyFont="1" applyAlignment="1">
      <alignment horizontal="left" vertical="center" wrapText="1"/>
    </xf>
    <xf numFmtId="0" fontId="20" fillId="0" borderId="0" xfId="24" applyFont="1" applyFill="1" applyAlignment="1">
      <alignment horizontal="center" wrapText="1"/>
    </xf>
    <xf numFmtId="0" fontId="39" fillId="0" borderId="0" xfId="25" applyFont="1" applyAlignment="1">
      <alignment wrapText="1"/>
    </xf>
    <xf numFmtId="0" fontId="40" fillId="0" borderId="0" xfId="24" applyFont="1" applyAlignment="1">
      <alignment wrapText="1"/>
    </xf>
    <xf numFmtId="0" fontId="41" fillId="0" borderId="0" xfId="24" applyFont="1" applyAlignment="1">
      <alignment horizontal="center" vertical="center" wrapText="1"/>
    </xf>
    <xf numFmtId="0" fontId="24" fillId="0" borderId="2" xfId="24" applyFont="1" applyFill="1" applyBorder="1" applyAlignment="1">
      <alignment horizontal="center" vertical="center" wrapText="1"/>
    </xf>
    <xf numFmtId="0" fontId="24" fillId="0" borderId="5" xfId="24" applyFont="1" applyFill="1" applyBorder="1" applyAlignment="1">
      <alignment horizontal="center" vertical="center" wrapText="1"/>
    </xf>
    <xf numFmtId="0" fontId="42" fillId="0" borderId="0" xfId="24" applyFont="1" applyAlignment="1">
      <alignment wrapText="1"/>
    </xf>
    <xf numFmtId="0" fontId="24" fillId="0" borderId="14" xfId="24" applyFont="1" applyFill="1" applyBorder="1" applyAlignment="1">
      <alignment wrapText="1"/>
    </xf>
    <xf numFmtId="0" fontId="24" fillId="0" borderId="0" xfId="24" applyFont="1" applyFill="1" applyBorder="1" applyAlignment="1">
      <alignment wrapText="1"/>
    </xf>
    <xf numFmtId="0" fontId="24" fillId="0" borderId="3" xfId="24" applyFont="1" applyFill="1" applyBorder="1" applyAlignment="1">
      <alignment wrapText="1"/>
    </xf>
    <xf numFmtId="0" fontId="26" fillId="0" borderId="2" xfId="24" applyFont="1" applyFill="1" applyBorder="1" applyAlignment="1">
      <alignment horizontal="center" vertical="center" wrapText="1"/>
    </xf>
    <xf numFmtId="0" fontId="26" fillId="0" borderId="2" xfId="24" applyFont="1" applyFill="1" applyBorder="1" applyAlignment="1">
      <alignment vertical="center" wrapText="1"/>
    </xf>
    <xf numFmtId="3" fontId="26" fillId="0" borderId="2" xfId="24" applyNumberFormat="1" applyFont="1" applyFill="1" applyBorder="1" applyAlignment="1">
      <alignment vertical="center" wrapText="1"/>
    </xf>
    <xf numFmtId="0" fontId="43" fillId="0" borderId="0" xfId="24" applyFont="1" applyAlignment="1">
      <alignment wrapText="1"/>
    </xf>
    <xf numFmtId="0" fontId="44" fillId="0" borderId="2" xfId="24" applyFont="1" applyFill="1" applyBorder="1" applyAlignment="1">
      <alignment horizontal="center" vertical="center" wrapText="1"/>
    </xf>
    <xf numFmtId="0" fontId="44" fillId="0" borderId="2" xfId="24" applyFont="1" applyFill="1" applyBorder="1" applyAlignment="1">
      <alignment vertical="center" wrapText="1"/>
    </xf>
    <xf numFmtId="3" fontId="44" fillId="0" borderId="2" xfId="24" applyNumberFormat="1" applyFont="1" applyFill="1" applyBorder="1" applyAlignment="1">
      <alignment vertical="center" wrapText="1"/>
    </xf>
    <xf numFmtId="0" fontId="45" fillId="0" borderId="0" xfId="24" applyFont="1" applyAlignment="1">
      <alignment wrapText="1"/>
    </xf>
    <xf numFmtId="49" fontId="18" fillId="0" borderId="4" xfId="24" applyNumberFormat="1" applyFont="1" applyBorder="1" applyAlignment="1">
      <alignment horizontal="center" vertical="center" wrapText="1"/>
    </xf>
    <xf numFmtId="0" fontId="18" fillId="0" borderId="15" xfId="24" applyFont="1" applyBorder="1" applyAlignment="1">
      <alignment horizontal="center" vertical="center" wrapText="1"/>
    </xf>
    <xf numFmtId="0" fontId="18" fillId="0" borderId="8" xfId="24" applyFont="1" applyBorder="1" applyAlignment="1">
      <alignment vertical="center" wrapText="1"/>
    </xf>
    <xf numFmtId="3" fontId="18" fillId="0" borderId="2" xfId="24" applyNumberFormat="1" applyFont="1" applyFill="1" applyBorder="1" applyAlignment="1">
      <alignment vertical="center" wrapText="1"/>
    </xf>
    <xf numFmtId="0" fontId="46" fillId="0" borderId="0" xfId="24" applyFont="1" applyAlignment="1">
      <alignment vertical="top" wrapText="1"/>
    </xf>
    <xf numFmtId="49" fontId="24" fillId="0" borderId="4" xfId="24" applyNumberFormat="1" applyFont="1" applyFill="1" applyBorder="1" applyAlignment="1">
      <alignment horizontal="center" vertical="center" wrapText="1"/>
    </xf>
    <xf numFmtId="0" fontId="24" fillId="0" borderId="15" xfId="24" applyFont="1" applyFill="1" applyBorder="1" applyAlignment="1">
      <alignment horizontal="center" vertical="center" wrapText="1"/>
    </xf>
    <xf numFmtId="0" fontId="24" fillId="0" borderId="8" xfId="24" applyFont="1" applyFill="1" applyBorder="1" applyAlignment="1">
      <alignment vertical="center" wrapText="1"/>
    </xf>
    <xf numFmtId="3" fontId="24" fillId="0" borderId="2" xfId="24" applyNumberFormat="1" applyFont="1" applyFill="1" applyBorder="1" applyAlignment="1">
      <alignment vertical="center" wrapText="1"/>
    </xf>
    <xf numFmtId="0" fontId="42" fillId="0" borderId="0" xfId="24" applyFont="1" applyAlignment="1">
      <alignment vertical="top" wrapText="1"/>
    </xf>
    <xf numFmtId="49" fontId="24" fillId="0" borderId="2" xfId="24" applyNumberFormat="1" applyFont="1" applyFill="1" applyBorder="1" applyAlignment="1">
      <alignment horizontal="center" vertical="center" wrapText="1"/>
    </xf>
    <xf numFmtId="49" fontId="18" fillId="0" borderId="2" xfId="24" applyNumberFormat="1" applyFont="1" applyFill="1" applyBorder="1" applyAlignment="1">
      <alignment horizontal="center" vertical="center" wrapText="1"/>
    </xf>
    <xf numFmtId="0" fontId="18" fillId="0" borderId="2" xfId="24" applyFont="1" applyFill="1" applyBorder="1" applyAlignment="1">
      <alignment horizontal="center" vertical="center" wrapText="1"/>
    </xf>
    <xf numFmtId="0" fontId="18" fillId="0" borderId="2" xfId="24" applyFont="1" applyFill="1" applyBorder="1" applyAlignment="1">
      <alignment vertical="center" wrapText="1"/>
    </xf>
    <xf numFmtId="0" fontId="24" fillId="0" borderId="2" xfId="24" applyFont="1" applyFill="1" applyBorder="1" applyAlignment="1">
      <alignment vertical="center" wrapText="1"/>
    </xf>
    <xf numFmtId="0" fontId="27" fillId="0" borderId="2" xfId="24" applyFont="1" applyFill="1" applyBorder="1" applyAlignment="1">
      <alignment horizontal="center" vertical="center" wrapText="1"/>
    </xf>
    <xf numFmtId="0" fontId="27" fillId="0" borderId="2" xfId="24" applyFont="1" applyFill="1" applyBorder="1" applyAlignment="1">
      <alignment vertical="center" wrapText="1"/>
    </xf>
    <xf numFmtId="0" fontId="47" fillId="0" borderId="0" xfId="24" applyFont="1" applyAlignment="1">
      <alignment wrapText="1"/>
    </xf>
    <xf numFmtId="0" fontId="18" fillId="0" borderId="14" xfId="24" applyFont="1" applyFill="1" applyBorder="1" applyAlignment="1">
      <alignment horizontal="center" vertical="center" wrapText="1"/>
    </xf>
    <xf numFmtId="0" fontId="18" fillId="0" borderId="0" xfId="24" applyFont="1" applyFill="1" applyBorder="1" applyAlignment="1">
      <alignment horizontal="center" vertical="center" wrapText="1"/>
    </xf>
    <xf numFmtId="0" fontId="18" fillId="0" borderId="0" xfId="24" applyFont="1" applyFill="1" applyBorder="1" applyAlignment="1">
      <alignment vertical="center" wrapText="1"/>
    </xf>
    <xf numFmtId="3" fontId="24" fillId="0" borderId="3" xfId="24" applyNumberFormat="1" applyFont="1" applyFill="1" applyBorder="1" applyAlignment="1">
      <alignment vertical="center" wrapText="1"/>
    </xf>
    <xf numFmtId="0" fontId="48" fillId="0" borderId="0" xfId="24" applyFont="1" applyAlignment="1">
      <alignment wrapText="1"/>
    </xf>
    <xf numFmtId="0" fontId="49" fillId="0" borderId="2" xfId="24" applyFont="1" applyFill="1" applyBorder="1" applyAlignment="1">
      <alignment horizontal="center" vertical="center" wrapText="1"/>
    </xf>
    <xf numFmtId="0" fontId="49" fillId="0" borderId="2" xfId="24" applyFont="1" applyFill="1" applyBorder="1" applyAlignment="1">
      <alignment vertical="center" wrapText="1"/>
    </xf>
    <xf numFmtId="3" fontId="49" fillId="0" borderId="2" xfId="24" applyNumberFormat="1" applyFont="1" applyFill="1" applyBorder="1" applyAlignment="1">
      <alignment vertical="center" wrapText="1"/>
    </xf>
    <xf numFmtId="0" fontId="50" fillId="0" borderId="0" xfId="24" applyFont="1" applyAlignment="1">
      <alignment wrapText="1"/>
    </xf>
    <xf numFmtId="0" fontId="27" fillId="0" borderId="14" xfId="24" applyFont="1" applyFill="1" applyBorder="1" applyAlignment="1">
      <alignment horizontal="center" vertical="center" wrapText="1"/>
    </xf>
    <xf numFmtId="0" fontId="27" fillId="0" borderId="0" xfId="24" applyFont="1" applyFill="1" applyBorder="1" applyAlignment="1">
      <alignment horizontal="center" vertical="center" wrapText="1"/>
    </xf>
    <xf numFmtId="0" fontId="27" fillId="0" borderId="0" xfId="24" applyFont="1" applyFill="1" applyBorder="1" applyAlignment="1">
      <alignment vertical="center" wrapText="1"/>
    </xf>
    <xf numFmtId="3" fontId="26" fillId="0" borderId="3" xfId="24" applyNumberFormat="1" applyFont="1" applyFill="1" applyBorder="1" applyAlignment="1">
      <alignment vertical="center" wrapText="1"/>
    </xf>
    <xf numFmtId="0" fontId="26" fillId="0" borderId="14" xfId="24" applyFont="1" applyFill="1" applyBorder="1" applyAlignment="1">
      <alignment horizontal="center" vertical="center" wrapText="1"/>
    </xf>
    <xf numFmtId="0" fontId="26" fillId="0" borderId="0" xfId="24" applyFont="1" applyFill="1" applyBorder="1" applyAlignment="1">
      <alignment horizontal="center" vertical="center" wrapText="1"/>
    </xf>
    <xf numFmtId="0" fontId="26" fillId="0" borderId="0" xfId="24" applyFont="1" applyFill="1" applyBorder="1" applyAlignment="1">
      <alignment vertical="center" wrapText="1"/>
    </xf>
    <xf numFmtId="0" fontId="26" fillId="0" borderId="4" xfId="24" applyFont="1" applyFill="1" applyBorder="1" applyAlignment="1">
      <alignment horizontal="center" vertical="center" wrapText="1"/>
    </xf>
    <xf numFmtId="0" fontId="26" fillId="0" borderId="4" xfId="24" applyFont="1" applyFill="1" applyBorder="1" applyAlignment="1">
      <alignment vertical="center" wrapText="1"/>
    </xf>
    <xf numFmtId="3" fontId="26" fillId="0" borderId="4" xfId="24" applyNumberFormat="1" applyFont="1" applyFill="1" applyBorder="1" applyAlignment="1">
      <alignment vertical="center" wrapText="1"/>
    </xf>
    <xf numFmtId="3" fontId="51" fillId="0" borderId="4" xfId="24" applyNumberFormat="1" applyFont="1" applyFill="1" applyBorder="1" applyAlignment="1">
      <alignment vertical="center" wrapText="1"/>
    </xf>
    <xf numFmtId="0" fontId="52" fillId="0" borderId="0" xfId="24" applyFont="1" applyAlignment="1">
      <alignment wrapText="1"/>
    </xf>
    <xf numFmtId="0" fontId="24" fillId="0" borderId="8" xfId="24" applyFont="1" applyBorder="1" applyAlignment="1">
      <alignment vertical="center" wrapText="1"/>
    </xf>
    <xf numFmtId="3" fontId="49" fillId="0" borderId="4" xfId="24" applyNumberFormat="1" applyFont="1" applyFill="1" applyBorder="1" applyAlignment="1">
      <alignment vertical="center" wrapText="1"/>
    </xf>
    <xf numFmtId="0" fontId="53" fillId="0" borderId="0" xfId="24" applyFont="1" applyAlignment="1">
      <alignment wrapText="1"/>
    </xf>
    <xf numFmtId="0" fontId="24" fillId="0" borderId="2" xfId="24" applyFont="1" applyBorder="1" applyAlignment="1">
      <alignment vertical="center" wrapText="1"/>
    </xf>
    <xf numFmtId="49" fontId="18" fillId="0" borderId="3" xfId="24" applyNumberFormat="1" applyFont="1" applyFill="1" applyBorder="1" applyAlignment="1">
      <alignment horizontal="center" vertical="center" wrapText="1"/>
    </xf>
    <xf numFmtId="0" fontId="18" fillId="0" borderId="3" xfId="24" applyFont="1" applyFill="1" applyBorder="1" applyAlignment="1">
      <alignment horizontal="center" vertical="center" wrapText="1"/>
    </xf>
    <xf numFmtId="0" fontId="18" fillId="0" borderId="14" xfId="24" applyFont="1" applyFill="1" applyBorder="1" applyAlignment="1">
      <alignment vertical="center" wrapText="1"/>
    </xf>
    <xf numFmtId="0" fontId="18" fillId="0" borderId="8" xfId="24" applyFont="1" applyFill="1" applyBorder="1" applyAlignment="1">
      <alignment wrapText="1"/>
    </xf>
    <xf numFmtId="0" fontId="18" fillId="0" borderId="9" xfId="24" applyFont="1" applyFill="1" applyBorder="1" applyAlignment="1">
      <alignment wrapText="1"/>
    </xf>
    <xf numFmtId="0" fontId="18" fillId="0" borderId="15" xfId="24" applyFont="1" applyFill="1" applyBorder="1" applyAlignment="1">
      <alignment wrapText="1"/>
    </xf>
    <xf numFmtId="0" fontId="18" fillId="0" borderId="4" xfId="24" applyFont="1" applyFill="1" applyBorder="1" applyAlignment="1">
      <alignment wrapText="1"/>
    </xf>
    <xf numFmtId="0" fontId="27" fillId="0" borderId="3" xfId="24" applyFont="1" applyFill="1" applyBorder="1" applyAlignment="1">
      <alignment wrapText="1"/>
    </xf>
    <xf numFmtId="3" fontId="18" fillId="0" borderId="3" xfId="24" applyNumberFormat="1" applyFont="1" applyFill="1" applyBorder="1" applyAlignment="1">
      <alignment wrapText="1"/>
    </xf>
    <xf numFmtId="3" fontId="27" fillId="0" borderId="3" xfId="24" applyNumberFormat="1" applyFont="1" applyFill="1" applyBorder="1" applyAlignment="1">
      <alignment wrapText="1"/>
    </xf>
    <xf numFmtId="0" fontId="21" fillId="0" borderId="8" xfId="24" applyFont="1" applyFill="1" applyBorder="1" applyAlignment="1">
      <alignment wrapText="1"/>
    </xf>
    <xf numFmtId="0" fontId="21" fillId="0" borderId="9" xfId="24" applyFont="1" applyFill="1" applyBorder="1" applyAlignment="1">
      <alignment wrapText="1"/>
    </xf>
    <xf numFmtId="0" fontId="21" fillId="0" borderId="15" xfId="24" applyFont="1" applyFill="1" applyBorder="1" applyAlignment="1">
      <alignment wrapText="1"/>
    </xf>
    <xf numFmtId="3" fontId="21" fillId="0" borderId="4" xfId="24" applyNumberFormat="1" applyFont="1" applyFill="1" applyBorder="1" applyAlignment="1">
      <alignment wrapText="1"/>
    </xf>
    <xf numFmtId="3" fontId="21" fillId="0" borderId="3" xfId="24" applyNumberFormat="1" applyFont="1" applyFill="1" applyBorder="1" applyAlignment="1">
      <alignment wrapText="1"/>
    </xf>
    <xf numFmtId="3" fontId="18" fillId="0" borderId="1" xfId="24" applyNumberFormat="1" applyFont="1" applyFill="1" applyBorder="1" applyAlignment="1">
      <alignment wrapText="1"/>
    </xf>
    <xf numFmtId="0" fontId="39" fillId="0" borderId="29" xfId="24" applyFont="1" applyBorder="1" applyAlignment="1">
      <alignment wrapText="1"/>
    </xf>
    <xf numFmtId="0" fontId="39" fillId="0" borderId="30" xfId="24" applyFont="1" applyBorder="1" applyAlignment="1">
      <alignment wrapText="1"/>
    </xf>
    <xf numFmtId="0" fontId="39" fillId="0" borderId="31" xfId="24" applyFont="1" applyBorder="1" applyAlignment="1">
      <alignment wrapText="1"/>
    </xf>
    <xf numFmtId="0" fontId="39" fillId="0" borderId="32" xfId="24" applyFont="1" applyFill="1" applyBorder="1" applyAlignment="1">
      <alignment wrapText="1"/>
    </xf>
    <xf numFmtId="0" fontId="39" fillId="0" borderId="0" xfId="24" applyFont="1" applyFill="1" applyAlignment="1">
      <alignment wrapText="1"/>
    </xf>
    <xf numFmtId="3" fontId="32" fillId="0" borderId="0" xfId="0" applyNumberFormat="1" applyFont="1" applyAlignment="1">
      <alignment horizontal="center" wrapText="1"/>
    </xf>
    <xf numFmtId="0" fontId="18" fillId="0" borderId="0" xfId="25" applyFont="1" applyFill="1" applyAlignment="1">
      <alignment horizontal="center" wrapText="1"/>
    </xf>
    <xf numFmtId="0" fontId="18" fillId="0" borderId="0" xfId="26" applyFont="1" applyFill="1" applyAlignment="1">
      <alignment horizontal="center"/>
    </xf>
    <xf numFmtId="0" fontId="18" fillId="0" borderId="0" xfId="26" applyFont="1" applyFill="1"/>
    <xf numFmtId="0" fontId="20" fillId="0" borderId="0" xfId="26" applyFont="1" applyFill="1" applyAlignment="1">
      <alignment horizontal="center"/>
    </xf>
    <xf numFmtId="0" fontId="21" fillId="0" borderId="2" xfId="26" applyFont="1" applyFill="1" applyBorder="1" applyAlignment="1">
      <alignment horizontal="center" vertical="center" wrapText="1"/>
    </xf>
    <xf numFmtId="0" fontId="25" fillId="0" borderId="2" xfId="26" applyFont="1" applyFill="1" applyBorder="1" applyAlignment="1">
      <alignment horizontal="center"/>
    </xf>
    <xf numFmtId="0" fontId="25" fillId="0" borderId="0" xfId="26" applyFont="1" applyFill="1" applyAlignment="1">
      <alignment horizontal="center"/>
    </xf>
    <xf numFmtId="0" fontId="20" fillId="0" borderId="0" xfId="26" applyFont="1" applyFill="1" applyBorder="1" applyAlignment="1"/>
    <xf numFmtId="0" fontId="20" fillId="0" borderId="0" xfId="26" applyFont="1" applyFill="1" applyBorder="1" applyAlignment="1">
      <alignment horizontal="center"/>
    </xf>
    <xf numFmtId="3" fontId="18" fillId="0" borderId="2" xfId="26" applyNumberFormat="1" applyFont="1" applyFill="1" applyBorder="1" applyAlignment="1">
      <alignment horizontal="center" vertical="center" wrapText="1"/>
    </xf>
    <xf numFmtId="0" fontId="32" fillId="0" borderId="0" xfId="27" applyFont="1" applyAlignment="1">
      <alignment vertical="center"/>
    </xf>
    <xf numFmtId="3" fontId="18" fillId="0" borderId="2" xfId="26" applyNumberFormat="1" applyFont="1" applyBorder="1" applyAlignment="1">
      <alignment horizontal="center" vertical="center" wrapText="1"/>
    </xf>
    <xf numFmtId="3" fontId="21" fillId="0" borderId="2" xfId="26" applyNumberFormat="1" applyFont="1" applyFill="1" applyBorder="1" applyAlignment="1">
      <alignment horizontal="center" vertical="center"/>
    </xf>
    <xf numFmtId="0" fontId="31" fillId="0" borderId="0" xfId="27" applyFont="1" applyAlignment="1">
      <alignment vertical="center"/>
    </xf>
    <xf numFmtId="0" fontId="32" fillId="0" borderId="5" xfId="27" applyFont="1" applyBorder="1" applyAlignment="1">
      <alignment horizontal="center"/>
    </xf>
    <xf numFmtId="0" fontId="32" fillId="0" borderId="10" xfId="27" applyFont="1" applyBorder="1" applyAlignment="1">
      <alignment horizontal="center"/>
    </xf>
    <xf numFmtId="0" fontId="32" fillId="0" borderId="6" xfId="27" applyFont="1" applyBorder="1" applyAlignment="1">
      <alignment horizontal="center"/>
    </xf>
    <xf numFmtId="0" fontId="32" fillId="0" borderId="0" xfId="27" applyFont="1"/>
    <xf numFmtId="3" fontId="31" fillId="0" borderId="2" xfId="27" applyNumberFormat="1" applyFont="1" applyBorder="1" applyAlignment="1">
      <alignment horizontal="right" vertical="center"/>
    </xf>
    <xf numFmtId="0" fontId="18" fillId="0" borderId="0" xfId="26" applyFont="1" applyFill="1" applyBorder="1" applyAlignment="1">
      <alignment vertical="center"/>
    </xf>
    <xf numFmtId="0" fontId="18" fillId="0" borderId="0" xfId="26" applyFont="1" applyFill="1" applyAlignment="1">
      <alignment vertical="center"/>
    </xf>
    <xf numFmtId="0" fontId="21" fillId="0" borderId="0" xfId="26" applyFont="1" applyFill="1" applyAlignment="1">
      <alignment horizontal="right" vertical="center"/>
    </xf>
    <xf numFmtId="0" fontId="18" fillId="0" borderId="0" xfId="26" applyFont="1" applyFill="1" applyAlignment="1">
      <alignment horizontal="right"/>
    </xf>
    <xf numFmtId="3" fontId="28" fillId="0" borderId="2" xfId="26" applyNumberFormat="1" applyFont="1" applyFill="1" applyBorder="1" applyAlignment="1">
      <alignment horizontal="center" vertical="center" wrapText="1"/>
    </xf>
    <xf numFmtId="0" fontId="28" fillId="0" borderId="0" xfId="26" applyFont="1" applyFill="1" applyAlignment="1">
      <alignment horizontal="right" vertical="center"/>
    </xf>
    <xf numFmtId="0" fontId="28" fillId="0" borderId="0" xfId="26" applyFont="1" applyFill="1" applyAlignment="1">
      <alignment horizontal="right"/>
    </xf>
    <xf numFmtId="3" fontId="18" fillId="0" borderId="2" xfId="26" applyNumberFormat="1" applyFont="1" applyFill="1" applyBorder="1" applyAlignment="1">
      <alignment horizontal="right" vertical="center" wrapText="1"/>
    </xf>
    <xf numFmtId="0" fontId="32" fillId="0" borderId="0" xfId="29" applyFont="1" applyAlignment="1">
      <alignment vertical="center"/>
    </xf>
    <xf numFmtId="3" fontId="21" fillId="0" borderId="2" xfId="26" applyNumberFormat="1" applyFont="1" applyFill="1" applyBorder="1" applyAlignment="1">
      <alignment horizontal="right" vertical="center"/>
    </xf>
    <xf numFmtId="0" fontId="31" fillId="0" borderId="0" xfId="29" applyFont="1" applyAlignment="1">
      <alignment vertical="center"/>
    </xf>
    <xf numFmtId="0" fontId="32" fillId="0" borderId="0" xfId="29" applyFont="1"/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34" fillId="0" borderId="0" xfId="0" applyFont="1" applyFill="1"/>
    <xf numFmtId="0" fontId="28" fillId="0" borderId="0" xfId="0" applyFont="1" applyFill="1"/>
    <xf numFmtId="0" fontId="20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/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3" fontId="28" fillId="0" borderId="2" xfId="0" applyNumberFormat="1" applyFont="1" applyFill="1" applyBorder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2" xfId="0" applyFont="1" applyFill="1" applyBorder="1" applyAlignment="1"/>
    <xf numFmtId="0" fontId="61" fillId="0" borderId="2" xfId="0" applyFont="1" applyFill="1" applyBorder="1" applyAlignment="1">
      <alignment vertical="center"/>
    </xf>
    <xf numFmtId="0" fontId="56" fillId="0" borderId="0" xfId="0" applyFont="1" applyFill="1" applyAlignment="1">
      <alignment vertical="center"/>
    </xf>
    <xf numFmtId="49" fontId="18" fillId="0" borderId="2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3" fontId="21" fillId="0" borderId="2" xfId="0" applyNumberFormat="1" applyFont="1" applyFill="1" applyBorder="1" applyAlignment="1">
      <alignment horizontal="right" vertical="center"/>
    </xf>
    <xf numFmtId="3" fontId="21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3" fontId="18" fillId="0" borderId="2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3" fontId="18" fillId="0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right" vertical="center"/>
    </xf>
    <xf numFmtId="3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8" fillId="0" borderId="2" xfId="30" applyFont="1" applyFill="1" applyBorder="1" applyAlignment="1">
      <alignment horizontal="left" vertical="center" wrapText="1"/>
    </xf>
    <xf numFmtId="3" fontId="21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28" fillId="0" borderId="0" xfId="0" applyFont="1" applyFill="1" applyAlignment="1">
      <alignment vertical="center"/>
    </xf>
    <xf numFmtId="0" fontId="18" fillId="0" borderId="0" xfId="17" applyFont="1" applyFill="1" applyAlignment="1">
      <alignment vertical="center"/>
    </xf>
    <xf numFmtId="3" fontId="18" fillId="0" borderId="0" xfId="17" applyNumberFormat="1" applyFont="1" applyFill="1" applyAlignment="1">
      <alignment horizontal="center" vertical="center" wrapText="1"/>
    </xf>
    <xf numFmtId="3" fontId="18" fillId="0" borderId="0" xfId="17" applyNumberFormat="1" applyFont="1" applyFill="1" applyAlignment="1">
      <alignment horizontal="center" vertical="center"/>
    </xf>
    <xf numFmtId="3" fontId="18" fillId="0" borderId="0" xfId="17" applyNumberFormat="1" applyFont="1" applyFill="1" applyAlignment="1">
      <alignment horizontal="left" vertical="center"/>
    </xf>
    <xf numFmtId="3" fontId="51" fillId="0" borderId="0" xfId="17" applyNumberFormat="1" applyFont="1" applyFill="1" applyAlignment="1">
      <alignment horizontal="left" vertical="center"/>
    </xf>
    <xf numFmtId="3" fontId="18" fillId="0" borderId="0" xfId="17" applyNumberFormat="1" applyFont="1" applyFill="1" applyAlignment="1">
      <alignment horizontal="left" vertical="center" wrapText="1"/>
    </xf>
    <xf numFmtId="0" fontId="18" fillId="0" borderId="0" xfId="17" applyFont="1" applyFill="1" applyAlignment="1">
      <alignment vertical="center" wrapText="1"/>
    </xf>
    <xf numFmtId="0" fontId="18" fillId="0" borderId="0" xfId="17" applyFont="1" applyFill="1" applyAlignment="1">
      <alignment horizontal="center" vertical="center"/>
    </xf>
    <xf numFmtId="0" fontId="18" fillId="0" borderId="0" xfId="17" applyFont="1" applyFill="1" applyAlignment="1">
      <alignment horizontal="center" vertical="center" wrapText="1"/>
    </xf>
    <xf numFmtId="0" fontId="51" fillId="0" borderId="0" xfId="17" applyFont="1" applyFill="1" applyAlignment="1">
      <alignment vertical="center" wrapText="1"/>
    </xf>
    <xf numFmtId="0" fontId="21" fillId="0" borderId="0" xfId="17" applyFont="1" applyFill="1" applyAlignment="1">
      <alignment vertical="center"/>
    </xf>
    <xf numFmtId="3" fontId="26" fillId="0" borderId="10" xfId="17" applyNumberFormat="1" applyFont="1" applyFill="1" applyBorder="1" applyAlignment="1">
      <alignment horizontal="center" vertical="top" wrapText="1"/>
    </xf>
    <xf numFmtId="3" fontId="26" fillId="0" borderId="6" xfId="17" applyNumberFormat="1" applyFont="1" applyFill="1" applyBorder="1" applyAlignment="1">
      <alignment horizontal="center" vertical="top" wrapText="1"/>
    </xf>
    <xf numFmtId="0" fontId="26" fillId="0" borderId="4" xfId="17" applyFont="1" applyFill="1" applyBorder="1" applyAlignment="1">
      <alignment horizontal="center" vertical="top" wrapText="1"/>
    </xf>
    <xf numFmtId="0" fontId="26" fillId="0" borderId="1" xfId="17" applyFont="1" applyFill="1" applyBorder="1" applyAlignment="1">
      <alignment horizontal="center" vertical="top" wrapText="1"/>
    </xf>
    <xf numFmtId="3" fontId="26" fillId="0" borderId="2" xfId="17" applyNumberFormat="1" applyFont="1" applyFill="1" applyBorder="1" applyAlignment="1">
      <alignment horizontal="center" vertical="top" wrapText="1"/>
    </xf>
    <xf numFmtId="0" fontId="22" fillId="0" borderId="2" xfId="17" applyFont="1" applyFill="1" applyBorder="1" applyAlignment="1">
      <alignment horizontal="center" vertical="center" wrapText="1"/>
    </xf>
    <xf numFmtId="3" fontId="22" fillId="0" borderId="2" xfId="17" applyNumberFormat="1" applyFont="1" applyFill="1" applyBorder="1" applyAlignment="1">
      <alignment horizontal="center" vertical="center" wrapText="1"/>
    </xf>
    <xf numFmtId="0" fontId="22" fillId="0" borderId="0" xfId="17" applyFont="1" applyFill="1" applyAlignment="1">
      <alignment horizontal="center" vertical="center"/>
    </xf>
    <xf numFmtId="0" fontId="63" fillId="0" borderId="14" xfId="17" applyFont="1" applyFill="1" applyBorder="1" applyAlignment="1">
      <alignment horizontal="center" vertical="center"/>
    </xf>
    <xf numFmtId="0" fontId="63" fillId="0" borderId="9" xfId="17" applyFont="1" applyFill="1" applyBorder="1" applyAlignment="1">
      <alignment horizontal="center" vertical="center"/>
    </xf>
    <xf numFmtId="0" fontId="63" fillId="0" borderId="9" xfId="17" applyFont="1" applyFill="1" applyBorder="1" applyAlignment="1">
      <alignment horizontal="center" vertical="center" wrapText="1"/>
    </xf>
    <xf numFmtId="0" fontId="44" fillId="0" borderId="9" xfId="17" applyFont="1" applyFill="1" applyBorder="1" applyAlignment="1">
      <alignment horizontal="center" vertical="center" wrapText="1"/>
    </xf>
    <xf numFmtId="3" fontId="63" fillId="0" borderId="9" xfId="17" applyNumberFormat="1" applyFont="1" applyFill="1" applyBorder="1" applyAlignment="1">
      <alignment horizontal="center" vertical="center" wrapText="1"/>
    </xf>
    <xf numFmtId="3" fontId="63" fillId="0" borderId="15" xfId="17" applyNumberFormat="1" applyFont="1" applyFill="1" applyBorder="1" applyAlignment="1">
      <alignment horizontal="center" vertical="center" wrapText="1"/>
    </xf>
    <xf numFmtId="0" fontId="63" fillId="0" borderId="0" xfId="17" applyFont="1" applyFill="1" applyAlignment="1">
      <alignment horizontal="center" vertical="center"/>
    </xf>
    <xf numFmtId="3" fontId="61" fillId="0" borderId="6" xfId="17" applyNumberFormat="1" applyFont="1" applyFill="1" applyBorder="1" applyAlignment="1">
      <alignment horizontal="right" vertical="center" wrapText="1"/>
    </xf>
    <xf numFmtId="3" fontId="61" fillId="0" borderId="2" xfId="17" applyNumberFormat="1" applyFont="1" applyFill="1" applyBorder="1" applyAlignment="1">
      <alignment horizontal="right" vertical="center" wrapText="1"/>
    </xf>
    <xf numFmtId="0" fontId="61" fillId="0" borderId="0" xfId="17" applyFont="1" applyFill="1" applyAlignment="1">
      <alignment horizontal="center" vertical="center"/>
    </xf>
    <xf numFmtId="0" fontId="63" fillId="0" borderId="14" xfId="17" applyFont="1" applyFill="1" applyBorder="1" applyAlignment="1">
      <alignment horizontal="center"/>
    </xf>
    <xf numFmtId="0" fontId="63" fillId="0" borderId="0" xfId="17" applyFont="1" applyFill="1" applyBorder="1" applyAlignment="1">
      <alignment horizontal="center"/>
    </xf>
    <xf numFmtId="0" fontId="63" fillId="0" borderId="0" xfId="17" applyFont="1" applyFill="1" applyBorder="1" applyAlignment="1">
      <alignment horizontal="center" wrapText="1"/>
    </xf>
    <xf numFmtId="0" fontId="63" fillId="0" borderId="0" xfId="17" applyFont="1" applyFill="1" applyBorder="1" applyAlignment="1">
      <alignment horizontal="left" wrapText="1"/>
    </xf>
    <xf numFmtId="0" fontId="44" fillId="0" borderId="0" xfId="17" applyFont="1" applyFill="1" applyBorder="1" applyAlignment="1">
      <alignment horizontal="center" wrapText="1"/>
    </xf>
    <xf numFmtId="3" fontId="63" fillId="0" borderId="0" xfId="17" applyNumberFormat="1" applyFont="1" applyFill="1" applyBorder="1" applyAlignment="1">
      <alignment horizontal="center" wrapText="1"/>
    </xf>
    <xf numFmtId="3" fontId="63" fillId="0" borderId="7" xfId="17" applyNumberFormat="1" applyFont="1" applyFill="1" applyBorder="1" applyAlignment="1">
      <alignment horizontal="center" wrapText="1"/>
    </xf>
    <xf numFmtId="0" fontId="63" fillId="0" borderId="0" xfId="17" applyFont="1" applyFill="1" applyAlignment="1">
      <alignment horizontal="center"/>
    </xf>
    <xf numFmtId="3" fontId="61" fillId="0" borderId="2" xfId="17" applyNumberFormat="1" applyFont="1" applyFill="1" applyBorder="1" applyAlignment="1">
      <alignment horizontal="right" vertical="center"/>
    </xf>
    <xf numFmtId="0" fontId="61" fillId="0" borderId="2" xfId="17" applyFont="1" applyFill="1" applyBorder="1" applyAlignment="1">
      <alignment horizontal="right" vertical="center"/>
    </xf>
    <xf numFmtId="0" fontId="61" fillId="0" borderId="0" xfId="17" applyFont="1" applyFill="1" applyAlignment="1">
      <alignment vertical="center"/>
    </xf>
    <xf numFmtId="0" fontId="63" fillId="0" borderId="11" xfId="17" applyFont="1" applyFill="1" applyBorder="1" applyAlignment="1">
      <alignment horizontal="center"/>
    </xf>
    <xf numFmtId="0" fontId="63" fillId="0" borderId="12" xfId="17" applyFont="1" applyFill="1" applyBorder="1" applyAlignment="1">
      <alignment horizontal="center"/>
    </xf>
    <xf numFmtId="0" fontId="63" fillId="0" borderId="12" xfId="17" applyFont="1" applyFill="1" applyBorder="1" applyAlignment="1">
      <alignment horizontal="center" wrapText="1"/>
    </xf>
    <xf numFmtId="0" fontId="44" fillId="0" borderId="12" xfId="17" applyFont="1" applyFill="1" applyBorder="1" applyAlignment="1">
      <alignment horizontal="center" wrapText="1"/>
    </xf>
    <xf numFmtId="3" fontId="63" fillId="0" borderId="12" xfId="17" applyNumberFormat="1" applyFont="1" applyFill="1" applyBorder="1" applyAlignment="1">
      <alignment horizontal="center" wrapText="1"/>
    </xf>
    <xf numFmtId="3" fontId="63" fillId="0" borderId="13" xfId="17" applyNumberFormat="1" applyFont="1" applyFill="1" applyBorder="1" applyAlignment="1">
      <alignment horizontal="center" wrapText="1"/>
    </xf>
    <xf numFmtId="3" fontId="34" fillId="0" borderId="2" xfId="17" applyNumberFormat="1" applyFont="1" applyFill="1" applyBorder="1" applyAlignment="1">
      <alignment vertical="top" wrapText="1"/>
    </xf>
    <xf numFmtId="0" fontId="26" fillId="0" borderId="0" xfId="17" applyFont="1" applyFill="1" applyAlignment="1">
      <alignment vertical="top"/>
    </xf>
    <xf numFmtId="0" fontId="63" fillId="0" borderId="8" xfId="17" applyFont="1" applyFill="1" applyBorder="1" applyAlignment="1">
      <alignment horizontal="center"/>
    </xf>
    <xf numFmtId="0" fontId="63" fillId="0" borderId="9" xfId="17" applyFont="1" applyFill="1" applyBorder="1" applyAlignment="1">
      <alignment horizontal="center"/>
    </xf>
    <xf numFmtId="0" fontId="63" fillId="0" borderId="9" xfId="17" applyFont="1" applyFill="1" applyBorder="1" applyAlignment="1">
      <alignment horizontal="center" wrapText="1"/>
    </xf>
    <xf numFmtId="0" fontId="63" fillId="0" borderId="9" xfId="17" applyFont="1" applyFill="1" applyBorder="1" applyAlignment="1">
      <alignment horizontal="left" wrapText="1"/>
    </xf>
    <xf numFmtId="0" fontId="44" fillId="0" borderId="9" xfId="17" applyFont="1" applyFill="1" applyBorder="1" applyAlignment="1">
      <alignment horizontal="center" wrapText="1"/>
    </xf>
    <xf numFmtId="3" fontId="63" fillId="0" borderId="9" xfId="17" applyNumberFormat="1" applyFont="1" applyFill="1" applyBorder="1" applyAlignment="1">
      <alignment horizontal="center" wrapText="1"/>
    </xf>
    <xf numFmtId="3" fontId="63" fillId="0" borderId="15" xfId="17" applyNumberFormat="1" applyFont="1" applyFill="1" applyBorder="1" applyAlignment="1">
      <alignment horizontal="center" wrapText="1"/>
    </xf>
    <xf numFmtId="3" fontId="61" fillId="0" borderId="2" xfId="17" applyNumberFormat="1" applyFont="1" applyFill="1" applyBorder="1" applyAlignment="1">
      <alignment vertical="center"/>
    </xf>
    <xf numFmtId="3" fontId="64" fillId="0" borderId="2" xfId="17" applyNumberFormat="1" applyFont="1" applyFill="1" applyBorder="1" applyAlignment="1">
      <alignment vertical="center" wrapText="1"/>
    </xf>
    <xf numFmtId="0" fontId="27" fillId="0" borderId="0" xfId="17" applyFont="1" applyFill="1" applyAlignment="1">
      <alignment vertical="center"/>
    </xf>
    <xf numFmtId="49" fontId="35" fillId="0" borderId="5" xfId="17" applyNumberFormat="1" applyFont="1" applyFill="1" applyBorder="1" applyAlignment="1">
      <alignment horizontal="left" vertical="center"/>
    </xf>
    <xf numFmtId="49" fontId="35" fillId="0" borderId="10" xfId="17" applyNumberFormat="1" applyFont="1" applyFill="1" applyBorder="1" applyAlignment="1">
      <alignment horizontal="left" vertical="center"/>
    </xf>
    <xf numFmtId="0" fontId="32" fillId="0" borderId="10" xfId="17" applyFont="1" applyFill="1" applyBorder="1" applyAlignment="1">
      <alignment vertical="center" wrapText="1"/>
    </xf>
    <xf numFmtId="3" fontId="34" fillId="0" borderId="10" xfId="17" applyNumberFormat="1" applyFont="1" applyFill="1" applyBorder="1" applyAlignment="1">
      <alignment vertical="center" wrapText="1"/>
    </xf>
    <xf numFmtId="3" fontId="34" fillId="0" borderId="6" xfId="17" applyNumberFormat="1" applyFont="1" applyFill="1" applyBorder="1" applyAlignment="1">
      <alignment vertical="center" wrapText="1"/>
    </xf>
    <xf numFmtId="0" fontId="26" fillId="0" borderId="0" xfId="17" applyFont="1" applyFill="1" applyAlignment="1">
      <alignment vertical="center"/>
    </xf>
    <xf numFmtId="3" fontId="35" fillId="0" borderId="2" xfId="17" applyNumberFormat="1" applyFont="1" applyFill="1" applyBorder="1" applyAlignment="1">
      <alignment vertical="center" wrapText="1"/>
    </xf>
    <xf numFmtId="3" fontId="34" fillId="0" borderId="4" xfId="17" applyNumberFormat="1" applyFont="1" applyFill="1" applyBorder="1" applyAlignment="1">
      <alignment vertical="center" wrapText="1"/>
    </xf>
    <xf numFmtId="3" fontId="34" fillId="0" borderId="2" xfId="17" applyNumberFormat="1" applyFont="1" applyFill="1" applyBorder="1" applyAlignment="1">
      <alignment vertical="center" wrapText="1"/>
    </xf>
    <xf numFmtId="3" fontId="36" fillId="0" borderId="4" xfId="17" applyNumberFormat="1" applyFont="1" applyFill="1" applyBorder="1" applyAlignment="1">
      <alignment vertical="center" wrapText="1"/>
    </xf>
    <xf numFmtId="0" fontId="24" fillId="0" borderId="0" xfId="17" applyFont="1" applyFill="1" applyAlignment="1">
      <alignment vertical="center"/>
    </xf>
    <xf numFmtId="3" fontId="36" fillId="0" borderId="2" xfId="17" applyNumberFormat="1" applyFont="1" applyFill="1" applyBorder="1" applyAlignment="1">
      <alignment vertical="center" wrapText="1"/>
    </xf>
    <xf numFmtId="0" fontId="63" fillId="0" borderId="5" xfId="17" applyFont="1" applyFill="1" applyBorder="1" applyAlignment="1">
      <alignment horizontal="center"/>
    </xf>
    <xf numFmtId="0" fontId="63" fillId="0" borderId="10" xfId="17" applyFont="1" applyFill="1" applyBorder="1" applyAlignment="1">
      <alignment horizontal="center"/>
    </xf>
    <xf numFmtId="0" fontId="63" fillId="0" borderId="10" xfId="17" applyFont="1" applyFill="1" applyBorder="1" applyAlignment="1">
      <alignment horizontal="center" wrapText="1"/>
    </xf>
    <xf numFmtId="0" fontId="44" fillId="0" borderId="10" xfId="17" applyFont="1" applyFill="1" applyBorder="1" applyAlignment="1">
      <alignment horizontal="center" wrapText="1"/>
    </xf>
    <xf numFmtId="3" fontId="63" fillId="0" borderId="10" xfId="17" applyNumberFormat="1" applyFont="1" applyFill="1" applyBorder="1" applyAlignment="1">
      <alignment horizontal="center" wrapText="1"/>
    </xf>
    <xf numFmtId="3" fontId="63" fillId="0" borderId="6" xfId="17" applyNumberFormat="1" applyFont="1" applyFill="1" applyBorder="1" applyAlignment="1">
      <alignment horizontal="center" wrapText="1"/>
    </xf>
    <xf numFmtId="3" fontId="65" fillId="0" borderId="2" xfId="17" applyNumberFormat="1" applyFont="1" applyFill="1" applyBorder="1" applyAlignment="1">
      <alignment vertical="center" wrapText="1"/>
    </xf>
    <xf numFmtId="0" fontId="44" fillId="0" borderId="0" xfId="17" applyFont="1" applyFill="1" applyAlignment="1">
      <alignment vertical="center"/>
    </xf>
    <xf numFmtId="49" fontId="35" fillId="0" borderId="8" xfId="17" applyNumberFormat="1" applyFont="1" applyFill="1" applyBorder="1" applyAlignment="1">
      <alignment horizontal="left" vertical="center"/>
    </xf>
    <xf numFmtId="49" fontId="35" fillId="0" borderId="9" xfId="17" applyNumberFormat="1" applyFont="1" applyFill="1" applyBorder="1" applyAlignment="1">
      <alignment horizontal="left" vertical="center"/>
    </xf>
    <xf numFmtId="0" fontId="34" fillId="0" borderId="2" xfId="17" applyFont="1" applyFill="1" applyBorder="1" applyAlignment="1">
      <alignment horizontal="center" vertical="center" wrapText="1"/>
    </xf>
    <xf numFmtId="0" fontId="34" fillId="0" borderId="5" xfId="17" applyFont="1" applyFill="1" applyBorder="1" applyAlignment="1">
      <alignment vertical="center" wrapText="1"/>
    </xf>
    <xf numFmtId="0" fontId="34" fillId="0" borderId="4" xfId="17" applyFont="1" applyFill="1" applyBorder="1" applyAlignment="1">
      <alignment horizontal="center" vertical="top" wrapText="1"/>
    </xf>
    <xf numFmtId="0" fontId="34" fillId="0" borderId="5" xfId="17" applyFont="1" applyFill="1" applyBorder="1" applyAlignment="1">
      <alignment vertical="top" wrapText="1"/>
    </xf>
    <xf numFmtId="3" fontId="34" fillId="0" borderId="4" xfId="17" applyNumberFormat="1" applyFont="1" applyFill="1" applyBorder="1" applyAlignment="1">
      <alignment vertical="top" wrapText="1"/>
    </xf>
    <xf numFmtId="0" fontId="18" fillId="0" borderId="0" xfId="17" applyFont="1" applyFill="1" applyAlignment="1">
      <alignment vertical="top"/>
    </xf>
    <xf numFmtId="0" fontId="34" fillId="0" borderId="1" xfId="17" applyFont="1" applyFill="1" applyBorder="1" applyAlignment="1">
      <alignment horizontal="center" vertical="top" wrapText="1"/>
    </xf>
    <xf numFmtId="0" fontId="34" fillId="0" borderId="2" xfId="17" applyFont="1" applyFill="1" applyBorder="1" applyAlignment="1">
      <alignment horizontal="center" vertical="top" wrapText="1"/>
    </xf>
    <xf numFmtId="0" fontId="34" fillId="0" borderId="4" xfId="17" applyFont="1" applyFill="1" applyBorder="1" applyAlignment="1">
      <alignment horizontal="center" vertical="center" wrapText="1"/>
    </xf>
    <xf numFmtId="0" fontId="34" fillId="0" borderId="3" xfId="17" applyFont="1" applyFill="1" applyBorder="1" applyAlignment="1">
      <alignment horizontal="center" vertical="top" wrapText="1"/>
    </xf>
    <xf numFmtId="0" fontId="34" fillId="0" borderId="3" xfId="17" applyFont="1" applyFill="1" applyBorder="1" applyAlignment="1">
      <alignment horizontal="center" vertical="center" wrapText="1"/>
    </xf>
    <xf numFmtId="0" fontId="34" fillId="0" borderId="1" xfId="17" applyFont="1" applyFill="1" applyBorder="1" applyAlignment="1">
      <alignment horizontal="center" vertical="center" wrapText="1"/>
    </xf>
    <xf numFmtId="0" fontId="34" fillId="0" borderId="2" xfId="17" applyFont="1" applyFill="1" applyBorder="1" applyAlignment="1">
      <alignment vertical="center" wrapText="1"/>
    </xf>
    <xf numFmtId="0" fontId="34" fillId="0" borderId="11" xfId="17" applyFont="1" applyFill="1" applyBorder="1" applyAlignment="1">
      <alignment vertical="center" wrapText="1"/>
    </xf>
    <xf numFmtId="0" fontId="34" fillId="0" borderId="6" xfId="17" applyFont="1" applyFill="1" applyBorder="1" applyAlignment="1">
      <alignment horizontal="left" vertical="center" wrapText="1"/>
    </xf>
    <xf numFmtId="0" fontId="32" fillId="0" borderId="9" xfId="17" applyFont="1" applyFill="1" applyBorder="1" applyAlignment="1">
      <alignment vertical="center" wrapText="1"/>
    </xf>
    <xf numFmtId="3" fontId="34" fillId="0" borderId="9" xfId="17" applyNumberFormat="1" applyFont="1" applyFill="1" applyBorder="1" applyAlignment="1">
      <alignment vertical="center" wrapText="1"/>
    </xf>
    <xf numFmtId="3" fontId="34" fillId="0" borderId="15" xfId="17" applyNumberFormat="1" applyFont="1" applyFill="1" applyBorder="1" applyAlignment="1">
      <alignment vertical="center" wrapText="1"/>
    </xf>
    <xf numFmtId="0" fontId="18" fillId="0" borderId="0" xfId="17" applyFont="1" applyFill="1" applyBorder="1" applyAlignment="1">
      <alignment horizontal="center" vertical="center"/>
    </xf>
    <xf numFmtId="0" fontId="18" fillId="0" borderId="0" xfId="17" applyFont="1" applyFill="1" applyBorder="1" applyAlignment="1">
      <alignment horizontal="center" vertical="center" wrapText="1"/>
    </xf>
    <xf numFmtId="0" fontId="18" fillId="0" borderId="0" xfId="17" applyFont="1" applyFill="1" applyBorder="1" applyAlignment="1">
      <alignment vertical="center" wrapText="1"/>
    </xf>
    <xf numFmtId="0" fontId="51" fillId="0" borderId="0" xfId="17" applyFont="1" applyFill="1" applyBorder="1" applyAlignment="1">
      <alignment vertical="center" wrapText="1"/>
    </xf>
    <xf numFmtId="3" fontId="18" fillId="0" borderId="0" xfId="17" applyNumberFormat="1" applyFont="1" applyFill="1" applyBorder="1" applyAlignment="1">
      <alignment vertical="center" wrapText="1"/>
    </xf>
    <xf numFmtId="0" fontId="66" fillId="0" borderId="0" xfId="17" applyFont="1" applyFill="1" applyAlignment="1">
      <alignment horizontal="left"/>
    </xf>
    <xf numFmtId="0" fontId="66" fillId="0" borderId="0" xfId="17" applyFont="1" applyFill="1" applyAlignment="1">
      <alignment horizontal="center"/>
    </xf>
    <xf numFmtId="0" fontId="51" fillId="0" borderId="0" xfId="17" applyFont="1" applyFill="1" applyAlignment="1">
      <alignment wrapText="1"/>
    </xf>
    <xf numFmtId="0" fontId="18" fillId="0" borderId="0" xfId="17" applyFont="1" applyFill="1" applyAlignment="1">
      <alignment wrapText="1"/>
    </xf>
    <xf numFmtId="3" fontId="18" fillId="0" borderId="0" xfId="17" applyNumberFormat="1" applyFont="1" applyFill="1" applyAlignment="1">
      <alignment wrapText="1"/>
    </xf>
    <xf numFmtId="0" fontId="18" fillId="0" borderId="0" xfId="17" applyFont="1" applyFill="1"/>
    <xf numFmtId="0" fontId="51" fillId="0" borderId="0" xfId="17" applyFont="1" applyFill="1" applyAlignment="1">
      <alignment horizontal="left" vertical="center"/>
    </xf>
    <xf numFmtId="0" fontId="51" fillId="0" borderId="0" xfId="17" applyFont="1" applyFill="1" applyAlignment="1">
      <alignment horizontal="center" vertical="center"/>
    </xf>
    <xf numFmtId="0" fontId="18" fillId="0" borderId="0" xfId="17" applyFont="1" applyFill="1" applyAlignment="1">
      <alignment horizontal="center"/>
    </xf>
    <xf numFmtId="0" fontId="18" fillId="0" borderId="0" xfId="17" applyFont="1" applyFill="1" applyAlignment="1">
      <alignment horizontal="center" wrapText="1"/>
    </xf>
    <xf numFmtId="0" fontId="34" fillId="0" borderId="0" xfId="0" applyFont="1" applyFill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 applyProtection="1">
      <alignment horizontal="center" vertical="center" wrapText="1"/>
    </xf>
    <xf numFmtId="0" fontId="35" fillId="0" borderId="2" xfId="0" applyFont="1" applyFill="1" applyBorder="1" applyAlignment="1" applyProtection="1">
      <alignment horizontal="center" vertical="center" wrapText="1"/>
    </xf>
    <xf numFmtId="0" fontId="36" fillId="0" borderId="3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3" fontId="36" fillId="0" borderId="3" xfId="0" applyNumberFormat="1" applyFont="1" applyFill="1" applyBorder="1" applyAlignment="1">
      <alignment horizontal="center"/>
    </xf>
    <xf numFmtId="0" fontId="35" fillId="0" borderId="3" xfId="0" applyFont="1" applyFill="1" applyBorder="1" applyAlignment="1">
      <alignment vertical="center" wrapText="1"/>
    </xf>
    <xf numFmtId="0" fontId="36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wrapText="1"/>
    </xf>
    <xf numFmtId="3" fontId="34" fillId="0" borderId="2" xfId="0" applyNumberFormat="1" applyFont="1" applyFill="1" applyBorder="1"/>
    <xf numFmtId="0" fontId="35" fillId="0" borderId="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 wrapText="1"/>
    </xf>
    <xf numFmtId="3" fontId="37" fillId="0" borderId="2" xfId="0" applyNumberFormat="1" applyFont="1" applyFill="1" applyBorder="1" applyAlignment="1">
      <alignment vertical="center"/>
    </xf>
    <xf numFmtId="4" fontId="35" fillId="0" borderId="2" xfId="0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left" vertical="center" wrapText="1"/>
    </xf>
    <xf numFmtId="0" fontId="37" fillId="0" borderId="0" xfId="0" applyFont="1" applyFill="1" applyAlignment="1">
      <alignment vertical="center"/>
    </xf>
    <xf numFmtId="0" fontId="34" fillId="0" borderId="3" xfId="0" applyFont="1" applyFill="1" applyBorder="1" applyAlignment="1">
      <alignment horizontal="center"/>
    </xf>
    <xf numFmtId="49" fontId="34" fillId="0" borderId="3" xfId="0" applyNumberFormat="1" applyFont="1" applyFill="1" applyBorder="1" applyAlignment="1">
      <alignment horizontal="center"/>
    </xf>
    <xf numFmtId="0" fontId="34" fillId="0" borderId="3" xfId="0" applyFont="1" applyFill="1" applyBorder="1" applyAlignment="1">
      <alignment wrapText="1"/>
    </xf>
    <xf numFmtId="3" fontId="34" fillId="0" borderId="3" xfId="0" applyNumberFormat="1" applyFont="1" applyFill="1" applyBorder="1"/>
    <xf numFmtId="4" fontId="35" fillId="0" borderId="3" xfId="0" applyNumberFormat="1" applyFont="1" applyFill="1" applyBorder="1" applyAlignment="1">
      <alignment vertical="center" wrapText="1"/>
    </xf>
    <xf numFmtId="4" fontId="34" fillId="0" borderId="3" xfId="0" applyNumberFormat="1" applyFont="1" applyFill="1" applyBorder="1" applyAlignment="1">
      <alignment wrapText="1"/>
    </xf>
    <xf numFmtId="0" fontId="31" fillId="0" borderId="2" xfId="0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4" fontId="31" fillId="0" borderId="2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vertical="center"/>
    </xf>
    <xf numFmtId="0" fontId="34" fillId="0" borderId="1" xfId="0" applyFont="1" applyFill="1" applyBorder="1" applyAlignment="1">
      <alignment horizontal="center"/>
    </xf>
    <xf numFmtId="49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wrapText="1"/>
    </xf>
    <xf numFmtId="3" fontId="34" fillId="0" borderId="1" xfId="0" applyNumberFormat="1" applyFont="1" applyFill="1" applyBorder="1"/>
    <xf numFmtId="4" fontId="34" fillId="0" borderId="1" xfId="0" applyNumberFormat="1" applyFont="1" applyFill="1" applyBorder="1" applyAlignment="1">
      <alignment wrapText="1"/>
    </xf>
    <xf numFmtId="0" fontId="35" fillId="0" borderId="4" xfId="0" applyFont="1" applyFill="1" applyBorder="1" applyAlignment="1">
      <alignment horizontal="center"/>
    </xf>
    <xf numFmtId="49" fontId="35" fillId="0" borderId="4" xfId="0" applyNumberFormat="1" applyFont="1" applyFill="1" applyBorder="1" applyAlignment="1">
      <alignment horizontal="center"/>
    </xf>
    <xf numFmtId="0" fontId="35" fillId="0" borderId="4" xfId="0" applyFont="1" applyFill="1" applyBorder="1" applyAlignment="1">
      <alignment horizontal="left" wrapText="1"/>
    </xf>
    <xf numFmtId="3" fontId="35" fillId="0" borderId="2" xfId="0" applyNumberFormat="1" applyFont="1" applyFill="1" applyBorder="1"/>
    <xf numFmtId="0" fontId="35" fillId="0" borderId="0" xfId="0" applyFont="1" applyFill="1"/>
    <xf numFmtId="49" fontId="34" fillId="0" borderId="2" xfId="0" applyNumberFormat="1" applyFont="1" applyFill="1" applyBorder="1" applyAlignment="1">
      <alignment horizontal="center"/>
    </xf>
    <xf numFmtId="4" fontId="34" fillId="0" borderId="2" xfId="0" applyNumberFormat="1" applyFont="1" applyFill="1" applyBorder="1" applyAlignment="1">
      <alignment wrapText="1"/>
    </xf>
    <xf numFmtId="0" fontId="64" fillId="0" borderId="4" xfId="0" applyFont="1" applyFill="1" applyBorder="1" applyAlignment="1">
      <alignment horizontal="center" vertical="center"/>
    </xf>
    <xf numFmtId="3" fontId="64" fillId="0" borderId="2" xfId="0" applyNumberFormat="1" applyFont="1" applyFill="1" applyBorder="1" applyAlignment="1">
      <alignment vertical="center"/>
    </xf>
    <xf numFmtId="4" fontId="64" fillId="0" borderId="4" xfId="0" applyNumberFormat="1" applyFont="1" applyFill="1" applyBorder="1" applyAlignment="1">
      <alignment horizontal="left" vertical="center" wrapText="1"/>
    </xf>
    <xf numFmtId="0" fontId="64" fillId="0" borderId="0" xfId="0" applyFont="1" applyFill="1" applyAlignment="1">
      <alignment vertical="center"/>
    </xf>
    <xf numFmtId="0" fontId="64" fillId="0" borderId="2" xfId="0" applyFont="1" applyFill="1" applyBorder="1" applyAlignment="1">
      <alignment horizontal="center"/>
    </xf>
    <xf numFmtId="49" fontId="64" fillId="0" borderId="2" xfId="0" applyNumberFormat="1" applyFont="1" applyFill="1" applyBorder="1" applyAlignment="1">
      <alignment horizontal="left" wrapText="1"/>
    </xf>
    <xf numFmtId="3" fontId="64" fillId="0" borderId="2" xfId="0" applyNumberFormat="1" applyFont="1" applyFill="1" applyBorder="1" applyAlignment="1"/>
    <xf numFmtId="4" fontId="64" fillId="0" borderId="2" xfId="0" applyNumberFormat="1" applyFont="1" applyFill="1" applyBorder="1" applyAlignment="1">
      <alignment horizontal="left" wrapText="1"/>
    </xf>
    <xf numFmtId="0" fontId="64" fillId="0" borderId="0" xfId="0" applyFont="1" applyFill="1"/>
    <xf numFmtId="0" fontId="34" fillId="0" borderId="4" xfId="0" applyFont="1" applyFill="1" applyBorder="1" applyAlignment="1">
      <alignment horizontal="center"/>
    </xf>
    <xf numFmtId="0" fontId="34" fillId="0" borderId="4" xfId="0" applyFont="1" applyFill="1" applyBorder="1" applyAlignment="1">
      <alignment horizontal="left" wrapText="1"/>
    </xf>
    <xf numFmtId="3" fontId="34" fillId="0" borderId="4" xfId="0" applyNumberFormat="1" applyFont="1" applyFill="1" applyBorder="1"/>
    <xf numFmtId="4" fontId="34" fillId="0" borderId="4" xfId="0" applyNumberFormat="1" applyFont="1" applyFill="1" applyBorder="1" applyAlignment="1">
      <alignment horizontal="left" wrapText="1"/>
    </xf>
    <xf numFmtId="3" fontId="34" fillId="0" borderId="4" xfId="0" applyNumberFormat="1" applyFont="1" applyFill="1" applyBorder="1" applyAlignment="1"/>
    <xf numFmtId="3" fontId="34" fillId="0" borderId="1" xfId="0" applyNumberFormat="1" applyFont="1" applyFill="1" applyBorder="1" applyAlignment="1">
      <alignment horizontal="center"/>
    </xf>
    <xf numFmtId="4" fontId="35" fillId="0" borderId="4" xfId="0" applyNumberFormat="1" applyFont="1" applyFill="1" applyBorder="1" applyAlignment="1">
      <alignment horizontal="left" wrapText="1"/>
    </xf>
    <xf numFmtId="3" fontId="34" fillId="0" borderId="2" xfId="0" applyNumberFormat="1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Fill="1" applyBorder="1" applyAlignment="1">
      <alignment wrapText="1"/>
    </xf>
    <xf numFmtId="4" fontId="35" fillId="0" borderId="2" xfId="0" applyNumberFormat="1" applyFont="1" applyFill="1" applyBorder="1" applyAlignment="1">
      <alignment wrapText="1"/>
    </xf>
    <xf numFmtId="3" fontId="35" fillId="0" borderId="2" xfId="0" applyNumberFormat="1" applyFont="1" applyFill="1" applyBorder="1" applyAlignment="1">
      <alignment horizontal="center"/>
    </xf>
    <xf numFmtId="49" fontId="64" fillId="0" borderId="2" xfId="0" applyNumberFormat="1" applyFont="1" applyFill="1" applyBorder="1" applyAlignment="1">
      <alignment wrapText="1"/>
    </xf>
    <xf numFmtId="0" fontId="34" fillId="0" borderId="2" xfId="0" applyFont="1" applyFill="1" applyBorder="1" applyAlignment="1">
      <alignment horizontal="center" wrapText="1"/>
    </xf>
    <xf numFmtId="4" fontId="34" fillId="0" borderId="2" xfId="0" applyNumberFormat="1" applyFont="1" applyFill="1" applyBorder="1" applyAlignment="1">
      <alignment horizontal="left" wrapText="1"/>
    </xf>
    <xf numFmtId="0" fontId="34" fillId="0" borderId="4" xfId="0" applyFont="1" applyFill="1" applyBorder="1" applyAlignment="1">
      <alignment horizontal="center" wrapText="1"/>
    </xf>
    <xf numFmtId="3" fontId="34" fillId="0" borderId="4" xfId="0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4" fontId="64" fillId="0" borderId="4" xfId="0" applyNumberFormat="1" applyFont="1" applyFill="1" applyBorder="1" applyAlignment="1">
      <alignment horizontal="left" wrapText="1"/>
    </xf>
    <xf numFmtId="49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wrapText="1"/>
    </xf>
    <xf numFmtId="4" fontId="34" fillId="0" borderId="4" xfId="0" applyNumberFormat="1" applyFont="1" applyFill="1" applyBorder="1" applyAlignment="1">
      <alignment wrapText="1"/>
    </xf>
    <xf numFmtId="0" fontId="35" fillId="0" borderId="2" xfId="0" applyFont="1" applyFill="1" applyBorder="1" applyAlignment="1">
      <alignment horizontal="left" wrapText="1"/>
    </xf>
    <xf numFmtId="4" fontId="35" fillId="0" borderId="6" xfId="0" applyNumberFormat="1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wrapText="1"/>
    </xf>
    <xf numFmtId="4" fontId="35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wrapText="1"/>
    </xf>
    <xf numFmtId="4" fontId="34" fillId="0" borderId="1" xfId="0" applyNumberFormat="1" applyFont="1" applyFill="1" applyBorder="1" applyAlignment="1">
      <alignment horizontal="left" wrapText="1"/>
    </xf>
    <xf numFmtId="4" fontId="34" fillId="0" borderId="6" xfId="0" applyNumberFormat="1" applyFont="1" applyFill="1" applyBorder="1" applyAlignment="1">
      <alignment wrapText="1"/>
    </xf>
    <xf numFmtId="0" fontId="64" fillId="0" borderId="3" xfId="0" applyFont="1" applyFill="1" applyBorder="1" applyAlignment="1">
      <alignment horizontal="center" vertical="center"/>
    </xf>
    <xf numFmtId="3" fontId="64" fillId="0" borderId="1" xfId="0" applyNumberFormat="1" applyFont="1" applyFill="1" applyBorder="1" applyAlignment="1">
      <alignment vertical="center"/>
    </xf>
    <xf numFmtId="4" fontId="64" fillId="0" borderId="3" xfId="0" applyNumberFormat="1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/>
    </xf>
    <xf numFmtId="3" fontId="34" fillId="0" borderId="2" xfId="0" applyNumberFormat="1" applyFont="1" applyFill="1" applyBorder="1" applyAlignment="1"/>
    <xf numFmtId="0" fontId="35" fillId="0" borderId="3" xfId="0" applyFont="1" applyFill="1" applyBorder="1" applyAlignment="1">
      <alignment horizontal="center"/>
    </xf>
    <xf numFmtId="49" fontId="35" fillId="0" borderId="3" xfId="0" applyNumberFormat="1" applyFont="1" applyFill="1" applyBorder="1" applyAlignment="1">
      <alignment horizontal="center"/>
    </xf>
    <xf numFmtId="0" fontId="35" fillId="0" borderId="3" xfId="0" applyFont="1" applyFill="1" applyBorder="1" applyAlignment="1">
      <alignment horizontal="left" wrapText="1"/>
    </xf>
    <xf numFmtId="3" fontId="35" fillId="0" borderId="1" xfId="0" applyNumberFormat="1" applyFont="1" applyFill="1" applyBorder="1"/>
    <xf numFmtId="4" fontId="35" fillId="0" borderId="3" xfId="0" applyNumberFormat="1" applyFont="1" applyFill="1" applyBorder="1" applyAlignment="1">
      <alignment horizontal="left" wrapText="1"/>
    </xf>
    <xf numFmtId="4" fontId="64" fillId="0" borderId="2" xfId="0" applyNumberFormat="1" applyFont="1" applyFill="1" applyBorder="1" applyAlignment="1">
      <alignment horizontal="left" vertical="center" wrapText="1"/>
    </xf>
    <xf numFmtId="4" fontId="35" fillId="0" borderId="2" xfId="0" applyNumberFormat="1" applyFont="1" applyFill="1" applyBorder="1" applyAlignment="1">
      <alignment horizontal="left" wrapText="1"/>
    </xf>
    <xf numFmtId="3" fontId="34" fillId="0" borderId="5" xfId="0" applyNumberFormat="1" applyFont="1" applyFill="1" applyBorder="1"/>
    <xf numFmtId="0" fontId="31" fillId="0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3" fontId="31" fillId="0" borderId="1" xfId="0" applyNumberFormat="1" applyFont="1" applyFill="1" applyBorder="1" applyAlignment="1">
      <alignment vertical="center"/>
    </xf>
    <xf numFmtId="4" fontId="31" fillId="0" borderId="1" xfId="0" applyNumberFormat="1" applyFont="1" applyFill="1" applyBorder="1" applyAlignment="1">
      <alignment horizontal="left" vertical="center" wrapText="1"/>
    </xf>
    <xf numFmtId="49" fontId="35" fillId="0" borderId="2" xfId="0" applyNumberFormat="1" applyFont="1" applyFill="1" applyBorder="1" applyAlignment="1"/>
    <xf numFmtId="0" fontId="31" fillId="0" borderId="3" xfId="0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left" vertical="center" wrapText="1"/>
    </xf>
    <xf numFmtId="4" fontId="35" fillId="0" borderId="2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/>
    <xf numFmtId="3" fontId="34" fillId="0" borderId="0" xfId="0" applyNumberFormat="1" applyFont="1" applyFill="1" applyBorder="1" applyAlignment="1"/>
    <xf numFmtId="4" fontId="34" fillId="0" borderId="0" xfId="0" applyNumberFormat="1" applyFont="1" applyFill="1" applyBorder="1" applyAlignment="1"/>
    <xf numFmtId="4" fontId="34" fillId="0" borderId="1" xfId="0" applyNumberFormat="1" applyFont="1" applyFill="1" applyBorder="1" applyAlignment="1"/>
    <xf numFmtId="3" fontId="34" fillId="0" borderId="1" xfId="0" applyNumberFormat="1" applyFont="1" applyFill="1" applyBorder="1" applyAlignment="1"/>
    <xf numFmtId="0" fontId="34" fillId="0" borderId="0" xfId="0" applyFont="1" applyFill="1" applyBorder="1" applyAlignment="1">
      <alignment horizontal="left" wrapText="1"/>
    </xf>
    <xf numFmtId="3" fontId="34" fillId="0" borderId="0" xfId="0" applyNumberFormat="1" applyFont="1" applyFill="1" applyBorder="1" applyAlignment="1">
      <alignment horizontal="center"/>
    </xf>
    <xf numFmtId="4" fontId="3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wrapText="1"/>
    </xf>
    <xf numFmtId="4" fontId="34" fillId="0" borderId="0" xfId="0" applyNumberFormat="1" applyFont="1" applyFill="1"/>
    <xf numFmtId="0" fontId="61" fillId="0" borderId="0" xfId="0" applyFont="1" applyFill="1" applyBorder="1" applyAlignment="1">
      <alignment horizontal="center" vertical="top" wrapText="1"/>
    </xf>
    <xf numFmtId="3" fontId="24" fillId="0" borderId="0" xfId="0" applyNumberFormat="1" applyFont="1" applyFill="1" applyBorder="1" applyAlignment="1">
      <alignment horizontal="left" wrapText="1"/>
    </xf>
    <xf numFmtId="3" fontId="24" fillId="0" borderId="0" xfId="0" applyNumberFormat="1" applyFont="1" applyFill="1" applyBorder="1" applyAlignment="1">
      <alignment horizontal="center" wrapText="1"/>
    </xf>
    <xf numFmtId="3" fontId="24" fillId="0" borderId="0" xfId="0" applyNumberFormat="1" applyFont="1" applyFill="1" applyBorder="1" applyAlignment="1">
      <alignment horizontal="right"/>
    </xf>
    <xf numFmtId="0" fontId="24" fillId="0" borderId="0" xfId="0" applyFont="1" applyFill="1" applyBorder="1"/>
    <xf numFmtId="0" fontId="51" fillId="0" borderId="0" xfId="0" applyFont="1" applyFill="1" applyBorder="1" applyAlignment="1">
      <alignment horizontal="center" vertical="top" wrapText="1"/>
    </xf>
    <xf numFmtId="3" fontId="49" fillId="0" borderId="0" xfId="0" applyNumberFormat="1" applyFont="1" applyFill="1" applyBorder="1" applyAlignment="1">
      <alignment horizontal="left" wrapText="1"/>
    </xf>
    <xf numFmtId="3" fontId="49" fillId="0" borderId="0" xfId="0" applyNumberFormat="1" applyFont="1" applyFill="1" applyBorder="1" applyAlignment="1">
      <alignment horizontal="center" wrapText="1"/>
    </xf>
    <xf numFmtId="3" fontId="49" fillId="0" borderId="0" xfId="0" applyNumberFormat="1" applyFont="1" applyFill="1" applyBorder="1" applyAlignment="1">
      <alignment horizontal="right"/>
    </xf>
    <xf numFmtId="0" fontId="49" fillId="0" borderId="0" xfId="0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/>
    <xf numFmtId="0" fontId="24" fillId="0" borderId="0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left" wrapText="1"/>
    </xf>
    <xf numFmtId="3" fontId="27" fillId="0" borderId="0" xfId="0" applyNumberFormat="1" applyFont="1" applyFill="1" applyBorder="1" applyAlignment="1">
      <alignment horizontal="center" wrapText="1"/>
    </xf>
    <xf numFmtId="3" fontId="27" fillId="0" borderId="0" xfId="0" applyNumberFormat="1" applyFont="1" applyFill="1" applyBorder="1" applyAlignment="1">
      <alignment horizontal="right"/>
    </xf>
    <xf numFmtId="4" fontId="27" fillId="0" borderId="0" xfId="0" applyNumberFormat="1" applyFont="1" applyFill="1" applyBorder="1"/>
    <xf numFmtId="0" fontId="27" fillId="0" borderId="0" xfId="0" applyFont="1" applyFill="1" applyBorder="1"/>
    <xf numFmtId="49" fontId="21" fillId="0" borderId="2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right"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right" vertical="center" wrapText="1"/>
    </xf>
    <xf numFmtId="3" fontId="18" fillId="0" borderId="0" xfId="0" applyNumberFormat="1" applyFont="1" applyFill="1" applyBorder="1" applyAlignment="1">
      <alignment horizontal="right" vertical="center" wrapText="1"/>
    </xf>
    <xf numFmtId="4" fontId="35" fillId="0" borderId="4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top" wrapText="1"/>
    </xf>
    <xf numFmtId="3" fontId="67" fillId="0" borderId="0" xfId="0" applyNumberFormat="1" applyFont="1" applyFill="1" applyBorder="1" applyAlignment="1">
      <alignment horizontal="left" wrapText="1"/>
    </xf>
    <xf numFmtId="3" fontId="67" fillId="0" borderId="0" xfId="0" applyNumberFormat="1" applyFont="1" applyFill="1" applyBorder="1" applyAlignment="1">
      <alignment horizontal="center" wrapText="1"/>
    </xf>
    <xf numFmtId="3" fontId="67" fillId="0" borderId="0" xfId="0" applyNumberFormat="1" applyFont="1" applyFill="1" applyBorder="1" applyAlignment="1">
      <alignment horizontal="right"/>
    </xf>
    <xf numFmtId="0" fontId="67" fillId="0" borderId="0" xfId="0" applyFont="1" applyFill="1" applyBorder="1"/>
    <xf numFmtId="3" fontId="18" fillId="0" borderId="0" xfId="17" applyNumberFormat="1" applyFont="1" applyFill="1" applyAlignment="1">
      <alignment horizontal="left" wrapText="1"/>
    </xf>
    <xf numFmtId="3" fontId="18" fillId="0" borderId="0" xfId="17" applyNumberFormat="1" applyFont="1" applyFill="1" applyAlignment="1">
      <alignment horizontal="center" wrapText="1"/>
    </xf>
    <xf numFmtId="0" fontId="21" fillId="0" borderId="0" xfId="17" applyFont="1" applyFill="1" applyAlignment="1">
      <alignment vertical="center" wrapText="1"/>
    </xf>
    <xf numFmtId="0" fontId="21" fillId="0" borderId="4" xfId="17" applyFont="1" applyFill="1" applyBorder="1" applyAlignment="1">
      <alignment horizontal="center" vertical="top" wrapText="1"/>
    </xf>
    <xf numFmtId="0" fontId="63" fillId="0" borderId="2" xfId="17" applyFont="1" applyFill="1" applyBorder="1" applyAlignment="1">
      <alignment horizontal="center"/>
    </xf>
    <xf numFmtId="0" fontId="63" fillId="0" borderId="2" xfId="17" applyFont="1" applyFill="1" applyBorder="1" applyAlignment="1">
      <alignment horizontal="center" wrapText="1"/>
    </xf>
    <xf numFmtId="3" fontId="63" fillId="0" borderId="2" xfId="17" applyNumberFormat="1" applyFont="1" applyFill="1" applyBorder="1" applyAlignment="1">
      <alignment horizontal="center" wrapText="1"/>
    </xf>
    <xf numFmtId="0" fontId="63" fillId="0" borderId="0" xfId="17" applyFont="1" applyFill="1" applyAlignment="1">
      <alignment horizontal="center" wrapText="1"/>
    </xf>
    <xf numFmtId="3" fontId="28" fillId="0" borderId="2" xfId="17" applyNumberFormat="1" applyFont="1" applyFill="1" applyBorder="1" applyAlignment="1">
      <alignment horizontal="right" vertical="center" wrapText="1"/>
    </xf>
    <xf numFmtId="0" fontId="28" fillId="0" borderId="0" xfId="17" applyFont="1" applyFill="1" applyAlignment="1">
      <alignment horizontal="center" vertical="center"/>
    </xf>
    <xf numFmtId="49" fontId="18" fillId="0" borderId="4" xfId="17" applyNumberFormat="1" applyFont="1" applyFill="1" applyBorder="1" applyAlignment="1">
      <alignment horizontal="center" vertical="top"/>
    </xf>
    <xf numFmtId="0" fontId="18" fillId="0" borderId="2" xfId="17" applyFont="1" applyFill="1" applyBorder="1" applyAlignment="1">
      <alignment vertical="top" wrapText="1"/>
    </xf>
    <xf numFmtId="0" fontId="18" fillId="0" borderId="2" xfId="17" applyFont="1" applyFill="1" applyBorder="1" applyAlignment="1">
      <alignment horizontal="justify" vertical="top" wrapText="1"/>
    </xf>
    <xf numFmtId="3" fontId="18" fillId="0" borderId="2" xfId="17" applyNumberFormat="1" applyFont="1" applyFill="1" applyBorder="1" applyAlignment="1">
      <alignment horizontal="right" vertical="top"/>
    </xf>
    <xf numFmtId="3" fontId="18" fillId="0" borderId="2" xfId="17" applyNumberFormat="1" applyFont="1" applyFill="1" applyBorder="1" applyAlignment="1">
      <alignment vertical="top" wrapText="1"/>
    </xf>
    <xf numFmtId="0" fontId="18" fillId="0" borderId="0" xfId="17" applyFont="1" applyFill="1" applyAlignment="1">
      <alignment vertical="top" wrapText="1"/>
    </xf>
    <xf numFmtId="49" fontId="18" fillId="0" borderId="3" xfId="17" applyNumberFormat="1" applyFont="1" applyFill="1" applyBorder="1" applyAlignment="1">
      <alignment horizontal="center" vertical="top"/>
    </xf>
    <xf numFmtId="49" fontId="18" fillId="0" borderId="1" xfId="17" applyNumberFormat="1" applyFont="1" applyFill="1" applyBorder="1" applyAlignment="1">
      <alignment horizontal="center" vertical="top"/>
    </xf>
    <xf numFmtId="49" fontId="18" fillId="0" borderId="2" xfId="17" applyNumberFormat="1" applyFont="1" applyFill="1" applyBorder="1" applyAlignment="1">
      <alignment horizontal="center" vertical="top"/>
    </xf>
    <xf numFmtId="0" fontId="51" fillId="0" borderId="0" xfId="17" applyFont="1" applyFill="1" applyAlignment="1">
      <alignment vertical="center"/>
    </xf>
    <xf numFmtId="0" fontId="51" fillId="0" borderId="0" xfId="17" applyFont="1" applyFill="1"/>
    <xf numFmtId="0" fontId="51" fillId="0" borderId="0" xfId="17" applyFont="1" applyFill="1" applyAlignment="1">
      <alignment horizontal="center" vertical="center" wrapText="1"/>
    </xf>
    <xf numFmtId="0" fontId="26" fillId="0" borderId="0" xfId="17" applyFont="1" applyFill="1"/>
    <xf numFmtId="0" fontId="21" fillId="0" borderId="0" xfId="17" applyFont="1" applyFill="1"/>
    <xf numFmtId="3" fontId="18" fillId="0" borderId="0" xfId="17" applyNumberFormat="1" applyFont="1" applyFill="1" applyAlignment="1">
      <alignment horizontal="left"/>
    </xf>
    <xf numFmtId="0" fontId="18" fillId="0" borderId="3" xfId="18" applyNumberFormat="1" applyFont="1" applyFill="1" applyBorder="1" applyAlignment="1">
      <alignment horizontal="center" vertical="top"/>
    </xf>
    <xf numFmtId="1" fontId="18" fillId="0" borderId="3" xfId="18" applyNumberFormat="1" applyFont="1" applyFill="1" applyBorder="1" applyAlignment="1">
      <alignment horizontal="center" vertical="top"/>
    </xf>
    <xf numFmtId="9" fontId="18" fillId="0" borderId="2" xfId="18" applyFont="1" applyFill="1" applyBorder="1" applyAlignment="1">
      <alignment vertical="top" wrapText="1"/>
    </xf>
    <xf numFmtId="9" fontId="18" fillId="0" borderId="2" xfId="18" applyFont="1" applyFill="1" applyBorder="1" applyAlignment="1">
      <alignment horizontal="justify" vertical="top" wrapText="1"/>
    </xf>
    <xf numFmtId="3" fontId="18" fillId="0" borderId="2" xfId="18" applyNumberFormat="1" applyFont="1" applyFill="1" applyBorder="1" applyAlignment="1">
      <alignment horizontal="right" vertical="top"/>
    </xf>
    <xf numFmtId="3" fontId="18" fillId="0" borderId="2" xfId="18" applyNumberFormat="1" applyFont="1" applyFill="1" applyBorder="1" applyAlignment="1">
      <alignment vertical="top" wrapText="1"/>
    </xf>
    <xf numFmtId="9" fontId="18" fillId="0" borderId="0" xfId="18" applyFont="1" applyFill="1" applyAlignment="1">
      <alignment vertical="top" wrapText="1"/>
    </xf>
    <xf numFmtId="9" fontId="18" fillId="0" borderId="0" xfId="18" applyFont="1" applyFill="1" applyAlignment="1">
      <alignment vertical="top"/>
    </xf>
    <xf numFmtId="9" fontId="18" fillId="0" borderId="3" xfId="18" applyFont="1" applyFill="1" applyBorder="1" applyAlignment="1">
      <alignment horizontal="center" vertical="top"/>
    </xf>
    <xf numFmtId="3" fontId="18" fillId="0" borderId="0" xfId="17" applyNumberFormat="1" applyFont="1" applyFill="1" applyAlignment="1">
      <alignment vertical="center" wrapText="1"/>
    </xf>
    <xf numFmtId="0" fontId="18" fillId="0" borderId="0" xfId="15" applyFont="1" applyFill="1" applyAlignment="1">
      <alignment horizontal="center"/>
    </xf>
    <xf numFmtId="0" fontId="18" fillId="0" borderId="0" xfId="15" applyFont="1" applyFill="1" applyAlignment="1">
      <alignment horizontal="center" wrapText="1"/>
    </xf>
    <xf numFmtId="0" fontId="18" fillId="0" borderId="0" xfId="15" applyFont="1" applyFill="1" applyAlignment="1">
      <alignment horizontal="center" vertical="center" wrapText="1"/>
    </xf>
    <xf numFmtId="0" fontId="18" fillId="0" borderId="0" xfId="15" applyFont="1" applyFill="1" applyAlignment="1"/>
    <xf numFmtId="0" fontId="18" fillId="0" borderId="0" xfId="15" applyFont="1" applyFill="1"/>
    <xf numFmtId="0" fontId="13" fillId="0" borderId="0" xfId="15" applyFill="1"/>
    <xf numFmtId="0" fontId="18" fillId="0" borderId="0" xfId="15" applyFont="1" applyFill="1" applyAlignment="1">
      <alignment horizontal="left"/>
    </xf>
    <xf numFmtId="0" fontId="18" fillId="0" borderId="0" xfId="15" applyFont="1" applyAlignment="1">
      <alignment horizontal="center" wrapText="1"/>
    </xf>
    <xf numFmtId="0" fontId="18" fillId="0" borderId="0" xfId="15" applyFont="1" applyAlignment="1">
      <alignment horizontal="center" vertical="center" wrapText="1"/>
    </xf>
    <xf numFmtId="0" fontId="18" fillId="0" borderId="0" xfId="15" applyFont="1"/>
    <xf numFmtId="0" fontId="13" fillId="0" borderId="0" xfId="15"/>
    <xf numFmtId="0" fontId="21" fillId="0" borderId="2" xfId="15" applyFont="1" applyBorder="1" applyAlignment="1">
      <alignment horizontal="center" vertical="center" wrapText="1"/>
    </xf>
    <xf numFmtId="0" fontId="13" fillId="0" borderId="0" xfId="15" applyAlignment="1">
      <alignment horizontal="center" vertical="center" wrapText="1"/>
    </xf>
    <xf numFmtId="0" fontId="24" fillId="0" borderId="2" xfId="15" applyFont="1" applyBorder="1" applyAlignment="1">
      <alignment horizontal="center" wrapText="1"/>
    </xf>
    <xf numFmtId="0" fontId="68" fillId="0" borderId="0" xfId="15" applyFont="1" applyAlignment="1">
      <alignment horizontal="center"/>
    </xf>
    <xf numFmtId="0" fontId="51" fillId="0" borderId="2" xfId="15" applyFont="1" applyFill="1" applyBorder="1" applyAlignment="1">
      <alignment horizontal="center" vertical="center"/>
    </xf>
    <xf numFmtId="0" fontId="56" fillId="0" borderId="2" xfId="15" applyFont="1" applyFill="1" applyBorder="1" applyAlignment="1">
      <alignment horizontal="left" vertical="center" wrapText="1"/>
    </xf>
    <xf numFmtId="0" fontId="56" fillId="0" borderId="6" xfId="15" applyFont="1" applyFill="1" applyBorder="1" applyAlignment="1">
      <alignment horizontal="center" vertical="center" wrapText="1"/>
    </xf>
    <xf numFmtId="0" fontId="56" fillId="0" borderId="6" xfId="15" applyFont="1" applyFill="1" applyBorder="1" applyAlignment="1">
      <alignment horizontal="right" vertical="center" wrapText="1"/>
    </xf>
    <xf numFmtId="3" fontId="56" fillId="0" borderId="2" xfId="15" applyNumberFormat="1" applyFont="1" applyFill="1" applyBorder="1" applyAlignment="1">
      <alignment vertical="center"/>
    </xf>
    <xf numFmtId="3" fontId="56" fillId="0" borderId="2" xfId="15" applyNumberFormat="1" applyFont="1" applyFill="1" applyBorder="1" applyAlignment="1">
      <alignment horizontal="right" vertical="center"/>
    </xf>
    <xf numFmtId="0" fontId="69" fillId="0" borderId="0" xfId="15" applyFont="1" applyFill="1" applyAlignment="1">
      <alignment vertical="center"/>
    </xf>
    <xf numFmtId="0" fontId="51" fillId="0" borderId="4" xfId="15" applyFont="1" applyFill="1" applyBorder="1" applyAlignment="1">
      <alignment horizontal="center" vertical="center"/>
    </xf>
    <xf numFmtId="0" fontId="56" fillId="0" borderId="4" xfId="15" applyFont="1" applyFill="1" applyBorder="1" applyAlignment="1">
      <alignment horizontal="left" vertical="center" wrapText="1"/>
    </xf>
    <xf numFmtId="0" fontId="49" fillId="0" borderId="3" xfId="15" applyFont="1" applyFill="1" applyBorder="1" applyAlignment="1">
      <alignment horizontal="center" vertical="center"/>
    </xf>
    <xf numFmtId="0" fontId="49" fillId="0" borderId="3" xfId="15" applyFont="1" applyFill="1" applyBorder="1" applyAlignment="1">
      <alignment horizontal="left" vertical="center" wrapText="1"/>
    </xf>
    <xf numFmtId="0" fontId="49" fillId="0" borderId="6" xfId="15" applyFont="1" applyFill="1" applyBorder="1" applyAlignment="1">
      <alignment horizontal="center" vertical="center" wrapText="1"/>
    </xf>
    <xf numFmtId="0" fontId="49" fillId="0" borderId="6" xfId="15" applyFont="1" applyFill="1" applyBorder="1" applyAlignment="1">
      <alignment horizontal="right" vertical="center" wrapText="1"/>
    </xf>
    <xf numFmtId="3" fontId="49" fillId="0" borderId="2" xfId="15" applyNumberFormat="1" applyFont="1" applyFill="1" applyBorder="1" applyAlignment="1">
      <alignment vertical="center"/>
    </xf>
    <xf numFmtId="3" fontId="49" fillId="0" borderId="2" xfId="15" applyNumberFormat="1" applyFont="1" applyFill="1" applyBorder="1" applyAlignment="1">
      <alignment horizontal="right" vertical="center"/>
    </xf>
    <xf numFmtId="0" fontId="70" fillId="0" borderId="0" xfId="15" applyFont="1" applyFill="1" applyAlignment="1">
      <alignment vertical="center"/>
    </xf>
    <xf numFmtId="0" fontId="49" fillId="0" borderId="1" xfId="15" applyFont="1" applyFill="1" applyBorder="1" applyAlignment="1">
      <alignment horizontal="center" vertical="center"/>
    </xf>
    <xf numFmtId="0" fontId="49" fillId="0" borderId="1" xfId="15" applyFont="1" applyFill="1" applyBorder="1" applyAlignment="1">
      <alignment horizontal="left" vertical="center" wrapText="1"/>
    </xf>
    <xf numFmtId="0" fontId="56" fillId="0" borderId="2" xfId="15" applyFont="1" applyFill="1" applyBorder="1" applyAlignment="1">
      <alignment horizontal="left" vertical="top" wrapText="1"/>
    </xf>
    <xf numFmtId="0" fontId="69" fillId="0" borderId="0" xfId="15" applyFont="1" applyFill="1" applyAlignment="1"/>
    <xf numFmtId="0" fontId="69" fillId="0" borderId="0" xfId="15" applyFont="1" applyFill="1"/>
    <xf numFmtId="0" fontId="26" fillId="0" borderId="5" xfId="15" applyFont="1" applyFill="1" applyBorder="1" applyAlignment="1">
      <alignment horizontal="center" vertical="center"/>
    </xf>
    <xf numFmtId="0" fontId="28" fillId="0" borderId="10" xfId="15" applyFont="1" applyFill="1" applyBorder="1" applyAlignment="1">
      <alignment horizontal="left" vertical="center" wrapText="1"/>
    </xf>
    <xf numFmtId="0" fontId="28" fillId="0" borderId="6" xfId="15" applyFont="1" applyFill="1" applyBorder="1" applyAlignment="1">
      <alignment horizontal="center" vertical="center" wrapText="1"/>
    </xf>
    <xf numFmtId="3" fontId="28" fillId="0" borderId="2" xfId="15" applyNumberFormat="1" applyFont="1" applyFill="1" applyBorder="1" applyAlignment="1">
      <alignment horizontal="right" vertical="center"/>
    </xf>
    <xf numFmtId="0" fontId="71" fillId="0" borderId="0" xfId="15" applyFont="1" applyFill="1" applyAlignment="1">
      <alignment vertical="center"/>
    </xf>
    <xf numFmtId="0" fontId="72" fillId="0" borderId="0" xfId="15" applyFont="1" applyAlignment="1">
      <alignment horizontal="center"/>
    </xf>
    <xf numFmtId="0" fontId="72" fillId="0" borderId="0" xfId="15" applyFont="1" applyAlignment="1">
      <alignment horizontal="center" wrapText="1"/>
    </xf>
    <xf numFmtId="0" fontId="72" fillId="0" borderId="0" xfId="15" applyFont="1" applyAlignment="1">
      <alignment horizontal="center" vertical="center" wrapText="1"/>
    </xf>
    <xf numFmtId="0" fontId="72" fillId="0" borderId="0" xfId="15" applyFont="1"/>
    <xf numFmtId="49" fontId="17" fillId="0" borderId="1" xfId="22" applyNumberFormat="1" applyFont="1" applyBorder="1" applyAlignment="1">
      <alignment horizontal="center" vertical="top"/>
    </xf>
    <xf numFmtId="0" fontId="17" fillId="0" borderId="1" xfId="22" applyFont="1" applyBorder="1" applyAlignment="1">
      <alignment horizontal="center" vertical="top"/>
    </xf>
    <xf numFmtId="0" fontId="17" fillId="0" borderId="1" xfId="22" applyFont="1" applyBorder="1" applyAlignment="1">
      <alignment vertical="top" wrapText="1"/>
    </xf>
    <xf numFmtId="3" fontId="17" fillId="0" borderId="1" xfId="22" applyNumberFormat="1" applyFont="1" applyBorder="1" applyAlignment="1">
      <alignment vertical="top"/>
    </xf>
    <xf numFmtId="49" fontId="20" fillId="0" borderId="0" xfId="16" applyNumberFormat="1" applyFont="1" applyFill="1" applyAlignment="1">
      <alignment horizontal="center"/>
    </xf>
    <xf numFmtId="49" fontId="20" fillId="0" borderId="0" xfId="16" applyNumberFormat="1" applyFont="1" applyFill="1" applyAlignment="1">
      <alignment horizontal="center" vertical="center"/>
    </xf>
    <xf numFmtId="49" fontId="21" fillId="0" borderId="4" xfId="16" applyNumberFormat="1" applyFont="1" applyFill="1" applyBorder="1" applyAlignment="1">
      <alignment horizontal="center" vertical="center" wrapText="1"/>
    </xf>
    <xf numFmtId="49" fontId="21" fillId="0" borderId="3" xfId="16" applyNumberFormat="1" applyFont="1" applyFill="1" applyBorder="1" applyAlignment="1">
      <alignment horizontal="center" vertical="center" wrapText="1"/>
    </xf>
    <xf numFmtId="49" fontId="21" fillId="0" borderId="1" xfId="16" applyNumberFormat="1" applyFont="1" applyFill="1" applyBorder="1" applyAlignment="1">
      <alignment horizontal="center" vertical="center" wrapText="1"/>
    </xf>
    <xf numFmtId="49" fontId="21" fillId="0" borderId="8" xfId="16" applyNumberFormat="1" applyFont="1" applyFill="1" applyBorder="1" applyAlignment="1">
      <alignment horizontal="center" vertical="center" wrapText="1"/>
    </xf>
    <xf numFmtId="49" fontId="21" fillId="0" borderId="14" xfId="16" applyNumberFormat="1" applyFont="1" applyFill="1" applyBorder="1" applyAlignment="1">
      <alignment horizontal="center" vertical="center" wrapText="1"/>
    </xf>
    <xf numFmtId="49" fontId="21" fillId="0" borderId="11" xfId="16" applyNumberFormat="1" applyFont="1" applyFill="1" applyBorder="1" applyAlignment="1">
      <alignment horizontal="center" vertical="center" wrapText="1"/>
    </xf>
    <xf numFmtId="2" fontId="21" fillId="0" borderId="4" xfId="16" applyNumberFormat="1" applyFont="1" applyFill="1" applyBorder="1" applyAlignment="1">
      <alignment horizontal="center" vertical="center" wrapText="1"/>
    </xf>
    <xf numFmtId="2" fontId="21" fillId="0" borderId="3" xfId="16" applyNumberFormat="1" applyFont="1" applyFill="1" applyBorder="1" applyAlignment="1">
      <alignment horizontal="center" vertical="center" wrapText="1"/>
    </xf>
    <xf numFmtId="2" fontId="21" fillId="0" borderId="1" xfId="16" applyNumberFormat="1" applyFont="1" applyFill="1" applyBorder="1" applyAlignment="1">
      <alignment horizontal="center" vertical="center" wrapText="1"/>
    </xf>
    <xf numFmtId="2" fontId="21" fillId="0" borderId="8" xfId="16" applyNumberFormat="1" applyFont="1" applyFill="1" applyBorder="1" applyAlignment="1">
      <alignment horizontal="center" vertical="center" wrapText="1"/>
    </xf>
    <xf numFmtId="2" fontId="21" fillId="0" borderId="11" xfId="16" applyNumberFormat="1" applyFont="1" applyFill="1" applyBorder="1" applyAlignment="1">
      <alignment horizontal="center" vertical="center" wrapText="1"/>
    </xf>
    <xf numFmtId="2" fontId="21" fillId="0" borderId="2" xfId="16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49" fontId="28" fillId="2" borderId="5" xfId="16" applyNumberFormat="1" applyFont="1" applyFill="1" applyBorder="1" applyAlignment="1">
      <alignment horizontal="center" vertical="center"/>
    </xf>
    <xf numFmtId="49" fontId="28" fillId="2" borderId="10" xfId="16" applyNumberFormat="1" applyFont="1" applyFill="1" applyBorder="1" applyAlignment="1">
      <alignment horizontal="center" vertical="center"/>
    </xf>
    <xf numFmtId="2" fontId="21" fillId="0" borderId="15" xfId="16" applyNumberFormat="1" applyFont="1" applyFill="1" applyBorder="1" applyAlignment="1">
      <alignment horizontal="center" vertical="center" wrapText="1"/>
    </xf>
    <xf numFmtId="2" fontId="21" fillId="0" borderId="14" xfId="16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49" fontId="38" fillId="0" borderId="0" xfId="0" applyNumberFormat="1" applyFont="1" applyAlignment="1">
      <alignment horizontal="center" vertical="top" wrapText="1"/>
    </xf>
    <xf numFmtId="3" fontId="35" fillId="0" borderId="2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3" fontId="35" fillId="5" borderId="2" xfId="0" applyNumberFormat="1" applyFont="1" applyFill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wrapText="1"/>
    </xf>
    <xf numFmtId="3" fontId="35" fillId="0" borderId="10" xfId="0" applyNumberFormat="1" applyFont="1" applyBorder="1" applyAlignment="1">
      <alignment horizontal="center" wrapText="1"/>
    </xf>
    <xf numFmtId="3" fontId="35" fillId="0" borderId="6" xfId="0" applyNumberFormat="1" applyFont="1" applyBorder="1" applyAlignment="1">
      <alignment horizontal="center" wrapText="1"/>
    </xf>
    <xf numFmtId="3" fontId="35" fillId="0" borderId="2" xfId="0" applyNumberFormat="1" applyFont="1" applyBorder="1" applyAlignment="1">
      <alignment horizontal="left" wrapText="1"/>
    </xf>
    <xf numFmtId="0" fontId="18" fillId="0" borderId="3" xfId="24" applyFont="1" applyFill="1" applyBorder="1" applyAlignment="1">
      <alignment horizontal="center" wrapText="1"/>
    </xf>
    <xf numFmtId="0" fontId="21" fillId="0" borderId="1" xfId="24" applyFont="1" applyFill="1" applyBorder="1" applyAlignment="1">
      <alignment horizontal="center" wrapText="1"/>
    </xf>
    <xf numFmtId="0" fontId="21" fillId="0" borderId="3" xfId="24" applyFont="1" applyFill="1" applyBorder="1" applyAlignment="1">
      <alignment horizontal="center" wrapText="1"/>
    </xf>
    <xf numFmtId="0" fontId="20" fillId="0" borderId="0" xfId="25" applyFont="1" applyFill="1" applyAlignment="1">
      <alignment horizontal="center" wrapText="1"/>
    </xf>
    <xf numFmtId="0" fontId="18" fillId="0" borderId="0" xfId="25" applyFont="1" applyFill="1" applyAlignment="1">
      <alignment horizontal="left" wrapText="1"/>
    </xf>
    <xf numFmtId="0" fontId="21" fillId="0" borderId="2" xfId="24" applyFont="1" applyFill="1" applyBorder="1" applyAlignment="1">
      <alignment horizontal="center" vertical="center" wrapText="1"/>
    </xf>
    <xf numFmtId="0" fontId="21" fillId="0" borderId="5" xfId="24" applyFont="1" applyFill="1" applyBorder="1" applyAlignment="1">
      <alignment horizontal="center" vertical="center" wrapText="1"/>
    </xf>
    <xf numFmtId="0" fontId="54" fillId="0" borderId="3" xfId="24" applyFont="1" applyFill="1" applyBorder="1" applyAlignment="1">
      <alignment horizontal="left" wrapText="1"/>
    </xf>
    <xf numFmtId="0" fontId="27" fillId="0" borderId="3" xfId="24" applyFont="1" applyFill="1" applyBorder="1" applyAlignment="1">
      <alignment horizontal="center" wrapText="1"/>
    </xf>
    <xf numFmtId="3" fontId="28" fillId="0" borderId="2" xfId="26" applyNumberFormat="1" applyFont="1" applyFill="1" applyBorder="1" applyAlignment="1">
      <alignment horizontal="right" vertical="center"/>
    </xf>
    <xf numFmtId="3" fontId="21" fillId="0" borderId="2" xfId="26" applyNumberFormat="1" applyFont="1" applyFill="1" applyBorder="1" applyAlignment="1">
      <alignment horizontal="right" vertical="center"/>
    </xf>
    <xf numFmtId="0" fontId="60" fillId="0" borderId="2" xfId="26" applyFont="1" applyFill="1" applyBorder="1" applyAlignment="1">
      <alignment horizontal="center" vertical="center" wrapText="1"/>
    </xf>
    <xf numFmtId="3" fontId="32" fillId="8" borderId="2" xfId="27" applyNumberFormat="1" applyFont="1" applyFill="1" applyBorder="1" applyAlignment="1">
      <alignment vertical="center"/>
    </xf>
    <xf numFmtId="3" fontId="33" fillId="0" borderId="2" xfId="27" applyNumberFormat="1" applyFont="1" applyBorder="1" applyAlignment="1">
      <alignment vertical="center"/>
    </xf>
    <xf numFmtId="0" fontId="28" fillId="0" borderId="2" xfId="26" applyFont="1" applyFill="1" applyBorder="1" applyAlignment="1">
      <alignment horizontal="center" vertical="center" wrapText="1"/>
    </xf>
    <xf numFmtId="0" fontId="18" fillId="0" borderId="2" xfId="26" applyFont="1" applyFill="1" applyBorder="1" applyAlignment="1">
      <alignment horizontal="center" vertical="center" wrapText="1"/>
    </xf>
    <xf numFmtId="0" fontId="18" fillId="0" borderId="2" xfId="26" applyFont="1" applyFill="1" applyBorder="1" applyAlignment="1">
      <alignment horizontal="center" vertical="center"/>
    </xf>
    <xf numFmtId="0" fontId="59" fillId="0" borderId="2" xfId="26" applyFont="1" applyFill="1" applyBorder="1" applyAlignment="1">
      <alignment horizontal="center" vertical="center"/>
    </xf>
    <xf numFmtId="49" fontId="18" fillId="0" borderId="2" xfId="26" applyNumberFormat="1" applyFont="1" applyFill="1" applyBorder="1" applyAlignment="1">
      <alignment horizontal="center" vertical="center"/>
    </xf>
    <xf numFmtId="0" fontId="59" fillId="0" borderId="2" xfId="26" applyFont="1" applyFill="1" applyBorder="1" applyAlignment="1">
      <alignment horizontal="left" vertical="center" wrapText="1"/>
    </xf>
    <xf numFmtId="3" fontId="32" fillId="8" borderId="4" xfId="27" applyNumberFormat="1" applyFont="1" applyFill="1" applyBorder="1" applyAlignment="1">
      <alignment vertical="center"/>
    </xf>
    <xf numFmtId="3" fontId="32" fillId="8" borderId="3" xfId="27" applyNumberFormat="1" applyFont="1" applyFill="1" applyBorder="1" applyAlignment="1">
      <alignment vertical="center"/>
    </xf>
    <xf numFmtId="3" fontId="32" fillId="8" borderId="1" xfId="27" applyNumberFormat="1" applyFont="1" applyFill="1" applyBorder="1" applyAlignment="1">
      <alignment vertical="center"/>
    </xf>
    <xf numFmtId="3" fontId="33" fillId="0" borderId="4" xfId="27" applyNumberFormat="1" applyFont="1" applyBorder="1" applyAlignment="1">
      <alignment vertical="center"/>
    </xf>
    <xf numFmtId="3" fontId="33" fillId="0" borderId="3" xfId="27" applyNumberFormat="1" applyFont="1" applyBorder="1" applyAlignment="1">
      <alignment vertical="center"/>
    </xf>
    <xf numFmtId="3" fontId="33" fillId="0" borderId="1" xfId="27" applyNumberFormat="1" applyFont="1" applyBorder="1" applyAlignment="1">
      <alignment vertical="center"/>
    </xf>
    <xf numFmtId="0" fontId="18" fillId="0" borderId="4" xfId="26" applyFont="1" applyFill="1" applyBorder="1" applyAlignment="1">
      <alignment horizontal="center" vertical="center" wrapText="1"/>
    </xf>
    <xf numFmtId="0" fontId="18" fillId="0" borderId="3" xfId="26" applyFont="1" applyFill="1" applyBorder="1" applyAlignment="1">
      <alignment horizontal="center" vertical="center" wrapText="1"/>
    </xf>
    <xf numFmtId="0" fontId="18" fillId="0" borderId="1" xfId="26" applyFont="1" applyFill="1" applyBorder="1" applyAlignment="1">
      <alignment horizontal="center" vertical="center" wrapText="1"/>
    </xf>
    <xf numFmtId="0" fontId="18" fillId="0" borderId="4" xfId="26" applyFont="1" applyFill="1" applyBorder="1" applyAlignment="1">
      <alignment horizontal="center" vertical="center"/>
    </xf>
    <xf numFmtId="0" fontId="18" fillId="0" borderId="3" xfId="26" applyFont="1" applyFill="1" applyBorder="1" applyAlignment="1">
      <alignment horizontal="center" vertical="center"/>
    </xf>
    <xf numFmtId="0" fontId="18" fillId="0" borderId="1" xfId="26" applyFont="1" applyFill="1" applyBorder="1" applyAlignment="1">
      <alignment horizontal="center" vertical="center"/>
    </xf>
    <xf numFmtId="0" fontId="59" fillId="0" borderId="4" xfId="26" applyFont="1" applyFill="1" applyBorder="1" applyAlignment="1">
      <alignment horizontal="center" vertical="center"/>
    </xf>
    <xf numFmtId="0" fontId="59" fillId="0" borderId="3" xfId="26" applyFont="1" applyFill="1" applyBorder="1" applyAlignment="1">
      <alignment horizontal="center" vertical="center"/>
    </xf>
    <xf numFmtId="0" fontId="59" fillId="0" borderId="1" xfId="26" applyFont="1" applyFill="1" applyBorder="1" applyAlignment="1">
      <alignment horizontal="center" vertical="center"/>
    </xf>
    <xf numFmtId="49" fontId="18" fillId="0" borderId="4" xfId="26" applyNumberFormat="1" applyFont="1" applyFill="1" applyBorder="1" applyAlignment="1">
      <alignment horizontal="center" vertical="center"/>
    </xf>
    <xf numFmtId="49" fontId="18" fillId="0" borderId="3" xfId="26" applyNumberFormat="1" applyFont="1" applyFill="1" applyBorder="1" applyAlignment="1">
      <alignment horizontal="center" vertical="center"/>
    </xf>
    <xf numFmtId="49" fontId="18" fillId="0" borderId="1" xfId="26" applyNumberFormat="1" applyFont="1" applyFill="1" applyBorder="1" applyAlignment="1">
      <alignment horizontal="center" vertical="center"/>
    </xf>
    <xf numFmtId="0" fontId="59" fillId="0" borderId="4" xfId="26" applyFont="1" applyFill="1" applyBorder="1" applyAlignment="1">
      <alignment horizontal="left" vertical="center" wrapText="1"/>
    </xf>
    <xf numFmtId="0" fontId="59" fillId="0" borderId="3" xfId="26" applyFont="1" applyFill="1" applyBorder="1" applyAlignment="1">
      <alignment horizontal="left" vertical="center" wrapText="1"/>
    </xf>
    <xf numFmtId="0" fontId="59" fillId="0" borderId="1" xfId="26" applyFont="1" applyFill="1" applyBorder="1" applyAlignment="1">
      <alignment horizontal="left" vertical="center" wrapText="1"/>
    </xf>
    <xf numFmtId="49" fontId="59" fillId="0" borderId="2" xfId="26" applyNumberFormat="1" applyFont="1" applyBorder="1" applyAlignment="1">
      <alignment horizontal="center" vertical="center"/>
    </xf>
    <xf numFmtId="49" fontId="18" fillId="0" borderId="2" xfId="26" applyNumberFormat="1" applyFont="1" applyBorder="1" applyAlignment="1">
      <alignment horizontal="center" vertical="center"/>
    </xf>
    <xf numFmtId="0" fontId="59" fillId="0" borderId="2" xfId="26" applyFont="1" applyBorder="1" applyAlignment="1">
      <alignment horizontal="left" vertical="center" wrapText="1"/>
    </xf>
    <xf numFmtId="0" fontId="18" fillId="0" borderId="2" xfId="26" applyFont="1" applyBorder="1" applyAlignment="1">
      <alignment horizontal="center" vertical="center" wrapText="1"/>
    </xf>
    <xf numFmtId="49" fontId="59" fillId="0" borderId="2" xfId="26" applyNumberFormat="1" applyFont="1" applyFill="1" applyBorder="1" applyAlignment="1">
      <alignment horizontal="center" vertical="center"/>
    </xf>
    <xf numFmtId="49" fontId="18" fillId="0" borderId="4" xfId="26" applyNumberFormat="1" applyFont="1" applyFill="1" applyBorder="1" applyAlignment="1">
      <alignment horizontal="center" vertical="center" wrapText="1"/>
    </xf>
    <xf numFmtId="49" fontId="18" fillId="0" borderId="3" xfId="26" applyNumberFormat="1" applyFont="1" applyFill="1" applyBorder="1" applyAlignment="1">
      <alignment horizontal="center" vertical="center" wrapText="1"/>
    </xf>
    <xf numFmtId="49" fontId="18" fillId="0" borderId="1" xfId="26" applyNumberFormat="1" applyFont="1" applyFill="1" applyBorder="1" applyAlignment="1">
      <alignment horizontal="center" vertical="center" wrapText="1"/>
    </xf>
    <xf numFmtId="49" fontId="18" fillId="0" borderId="4" xfId="26" applyNumberFormat="1" applyFont="1" applyBorder="1" applyAlignment="1">
      <alignment horizontal="center" vertical="center" wrapText="1"/>
    </xf>
    <xf numFmtId="49" fontId="18" fillId="0" borderId="3" xfId="26" applyNumberFormat="1" applyFont="1" applyBorder="1" applyAlignment="1">
      <alignment horizontal="center" vertical="center" wrapText="1"/>
    </xf>
    <xf numFmtId="49" fontId="18" fillId="0" borderId="1" xfId="26" applyNumberFormat="1" applyFont="1" applyBorder="1" applyAlignment="1">
      <alignment horizontal="center" vertical="center" wrapText="1"/>
    </xf>
    <xf numFmtId="3" fontId="31" fillId="0" borderId="2" xfId="27" applyNumberFormat="1" applyFont="1" applyBorder="1" applyAlignment="1">
      <alignment horizontal="right" vertical="center"/>
    </xf>
    <xf numFmtId="0" fontId="31" fillId="0" borderId="2" xfId="27" applyFont="1" applyBorder="1" applyAlignment="1">
      <alignment horizontal="right" vertical="center"/>
    </xf>
    <xf numFmtId="0" fontId="20" fillId="8" borderId="5" xfId="26" applyFont="1" applyFill="1" applyBorder="1" applyAlignment="1">
      <alignment horizontal="center" vertical="center"/>
    </xf>
    <xf numFmtId="0" fontId="20" fillId="8" borderId="10" xfId="26" applyFont="1" applyFill="1" applyBorder="1" applyAlignment="1">
      <alignment horizontal="center" vertical="center"/>
    </xf>
    <xf numFmtId="0" fontId="20" fillId="8" borderId="6" xfId="26" applyFont="1" applyFill="1" applyBorder="1" applyAlignment="1">
      <alignment horizontal="center" vertical="center"/>
    </xf>
    <xf numFmtId="0" fontId="32" fillId="0" borderId="2" xfId="27" applyFont="1" applyBorder="1" applyAlignment="1">
      <alignment horizontal="center"/>
    </xf>
    <xf numFmtId="3" fontId="31" fillId="0" borderId="2" xfId="27" applyNumberFormat="1" applyFont="1" applyBorder="1" applyAlignment="1">
      <alignment vertical="center"/>
    </xf>
    <xf numFmtId="0" fontId="18" fillId="0" borderId="4" xfId="26" applyFont="1" applyFill="1" applyBorder="1" applyAlignment="1">
      <alignment horizontal="left" vertical="center" wrapText="1"/>
    </xf>
    <xf numFmtId="0" fontId="18" fillId="0" borderId="3" xfId="26" applyFont="1" applyFill="1" applyBorder="1" applyAlignment="1">
      <alignment horizontal="left" vertical="center" wrapText="1"/>
    </xf>
    <xf numFmtId="0" fontId="18" fillId="0" borderId="1" xfId="26" applyFont="1" applyFill="1" applyBorder="1" applyAlignment="1">
      <alignment horizontal="left" vertical="center" wrapText="1"/>
    </xf>
    <xf numFmtId="0" fontId="18" fillId="0" borderId="4" xfId="26" applyFont="1" applyBorder="1" applyAlignment="1">
      <alignment horizontal="center" vertical="center"/>
    </xf>
    <xf numFmtId="0" fontId="18" fillId="0" borderId="3" xfId="26" applyFont="1" applyBorder="1" applyAlignment="1">
      <alignment horizontal="center" vertical="center"/>
    </xf>
    <xf numFmtId="0" fontId="18" fillId="0" borderId="1" xfId="26" applyFont="1" applyBorder="1" applyAlignment="1">
      <alignment horizontal="center" vertical="center"/>
    </xf>
    <xf numFmtId="0" fontId="18" fillId="0" borderId="4" xfId="26" applyFont="1" applyBorder="1" applyAlignment="1">
      <alignment horizontal="left" vertical="center" wrapText="1"/>
    </xf>
    <xf numFmtId="0" fontId="18" fillId="0" borderId="3" xfId="26" applyFont="1" applyBorder="1" applyAlignment="1">
      <alignment horizontal="left" vertical="center" wrapText="1"/>
    </xf>
    <xf numFmtId="0" fontId="18" fillId="0" borderId="1" xfId="26" applyFont="1" applyBorder="1" applyAlignment="1">
      <alignment horizontal="left" vertical="center" wrapText="1"/>
    </xf>
    <xf numFmtId="0" fontId="18" fillId="0" borderId="4" xfId="26" applyFont="1" applyBorder="1" applyAlignment="1">
      <alignment horizontal="center" vertical="center" wrapText="1"/>
    </xf>
    <xf numFmtId="0" fontId="18" fillId="0" borderId="3" xfId="26" applyFont="1" applyBorder="1" applyAlignment="1">
      <alignment horizontal="center" vertical="center" wrapText="1"/>
    </xf>
    <xf numFmtId="0" fontId="18" fillId="0" borderId="1" xfId="26" applyFont="1" applyBorder="1" applyAlignment="1">
      <alignment horizontal="center" vertical="center" wrapText="1"/>
    </xf>
    <xf numFmtId="49" fontId="18" fillId="0" borderId="4" xfId="26" applyNumberFormat="1" applyFont="1" applyBorder="1" applyAlignment="1">
      <alignment horizontal="center" vertical="center"/>
    </xf>
    <xf numFmtId="49" fontId="18" fillId="0" borderId="3" xfId="26" applyNumberFormat="1" applyFont="1" applyBorder="1" applyAlignment="1">
      <alignment horizontal="center" vertical="center"/>
    </xf>
    <xf numFmtId="49" fontId="18" fillId="0" borderId="1" xfId="26" applyNumberFormat="1" applyFont="1" applyBorder="1" applyAlignment="1">
      <alignment horizontal="center" vertical="center"/>
    </xf>
    <xf numFmtId="0" fontId="18" fillId="0" borderId="2" xfId="26" applyFont="1" applyFill="1" applyBorder="1" applyAlignment="1">
      <alignment horizontal="left" vertical="center" wrapText="1"/>
    </xf>
    <xf numFmtId="0" fontId="18" fillId="0" borderId="2" xfId="26" applyFont="1" applyBorder="1" applyAlignment="1">
      <alignment horizontal="left" vertical="center" wrapText="1"/>
    </xf>
    <xf numFmtId="0" fontId="18" fillId="0" borderId="2" xfId="26" applyFont="1" applyBorder="1" applyAlignment="1">
      <alignment horizontal="center" vertical="center"/>
    </xf>
    <xf numFmtId="0" fontId="20" fillId="0" borderId="2" xfId="26" applyFont="1" applyFill="1" applyBorder="1" applyAlignment="1">
      <alignment horizontal="center"/>
    </xf>
    <xf numFmtId="0" fontId="20" fillId="0" borderId="0" xfId="26" applyNumberFormat="1" applyFont="1" applyFill="1" applyAlignment="1">
      <alignment horizontal="center" vertical="center" wrapText="1"/>
    </xf>
    <xf numFmtId="0" fontId="21" fillId="0" borderId="4" xfId="26" applyFont="1" applyFill="1" applyBorder="1" applyAlignment="1">
      <alignment horizontal="center" vertical="center"/>
    </xf>
    <xf numFmtId="0" fontId="21" fillId="0" borderId="3" xfId="26" applyFont="1" applyFill="1" applyBorder="1" applyAlignment="1">
      <alignment horizontal="center" vertical="center"/>
    </xf>
    <xf numFmtId="0" fontId="21" fillId="0" borderId="1" xfId="26" applyFont="1" applyFill="1" applyBorder="1" applyAlignment="1">
      <alignment horizontal="center" vertical="center"/>
    </xf>
    <xf numFmtId="0" fontId="57" fillId="0" borderId="4" xfId="26" applyFont="1" applyFill="1" applyBorder="1" applyAlignment="1">
      <alignment horizontal="center" vertical="center" wrapText="1"/>
    </xf>
    <xf numFmtId="0" fontId="57" fillId="0" borderId="3" xfId="26" applyFont="1" applyFill="1" applyBorder="1" applyAlignment="1">
      <alignment horizontal="center" vertical="center" wrapText="1"/>
    </xf>
    <xf numFmtId="0" fontId="57" fillId="0" borderId="1" xfId="26" applyFont="1" applyFill="1" applyBorder="1" applyAlignment="1">
      <alignment horizontal="center" vertical="center" wrapText="1"/>
    </xf>
    <xf numFmtId="0" fontId="58" fillId="0" borderId="4" xfId="26" applyFont="1" applyFill="1" applyBorder="1" applyAlignment="1">
      <alignment horizontal="center" vertical="center" wrapText="1"/>
    </xf>
    <xf numFmtId="0" fontId="58" fillId="0" borderId="3" xfId="26" applyFont="1" applyFill="1" applyBorder="1" applyAlignment="1">
      <alignment horizontal="center" vertical="center" wrapText="1"/>
    </xf>
    <xf numFmtId="0" fontId="58" fillId="0" borderId="1" xfId="26" applyFont="1" applyFill="1" applyBorder="1" applyAlignment="1">
      <alignment horizontal="center" vertical="center" wrapText="1"/>
    </xf>
    <xf numFmtId="0" fontId="58" fillId="0" borderId="2" xfId="26" applyFont="1" applyFill="1" applyBorder="1" applyAlignment="1">
      <alignment horizontal="center" vertical="center" wrapText="1"/>
    </xf>
    <xf numFmtId="0" fontId="57" fillId="0" borderId="2" xfId="26" applyFont="1" applyFill="1" applyBorder="1" applyAlignment="1">
      <alignment horizontal="center" vertical="center" wrapText="1"/>
    </xf>
    <xf numFmtId="0" fontId="58" fillId="0" borderId="2" xfId="26" applyFont="1" applyFill="1" applyBorder="1" applyAlignment="1">
      <alignment horizontal="center" vertical="center"/>
    </xf>
    <xf numFmtId="0" fontId="21" fillId="0" borderId="2" xfId="26" applyFont="1" applyFill="1" applyBorder="1" applyAlignment="1">
      <alignment horizontal="center" vertical="center" wrapText="1"/>
    </xf>
    <xf numFmtId="0" fontId="21" fillId="0" borderId="2" xfId="26" applyFont="1" applyFill="1" applyBorder="1" applyAlignment="1">
      <alignment horizontal="center" vertical="center"/>
    </xf>
    <xf numFmtId="0" fontId="25" fillId="0" borderId="2" xfId="26" applyFont="1" applyFill="1" applyBorder="1" applyAlignment="1">
      <alignment horizontal="center"/>
    </xf>
    <xf numFmtId="0" fontId="20" fillId="7" borderId="2" xfId="26" applyFont="1" applyFill="1" applyBorder="1" applyAlignment="1">
      <alignment horizontal="center"/>
    </xf>
    <xf numFmtId="0" fontId="28" fillId="0" borderId="2" xfId="26" applyFont="1" applyFill="1" applyBorder="1" applyAlignment="1">
      <alignment horizontal="center" vertical="center"/>
    </xf>
    <xf numFmtId="3" fontId="31" fillId="0" borderId="2" xfId="29" applyNumberFormat="1" applyFont="1" applyBorder="1" applyAlignment="1">
      <alignment vertical="center"/>
    </xf>
    <xf numFmtId="3" fontId="33" fillId="0" borderId="2" xfId="29" applyNumberFormat="1" applyFont="1" applyBorder="1" applyAlignment="1">
      <alignment vertical="center"/>
    </xf>
    <xf numFmtId="3" fontId="32" fillId="9" borderId="2" xfId="29" applyNumberFormat="1" applyFont="1" applyFill="1" applyBorder="1" applyAlignment="1">
      <alignment vertical="center"/>
    </xf>
    <xf numFmtId="0" fontId="20" fillId="0" borderId="8" xfId="26" applyFont="1" applyFill="1" applyBorder="1" applyAlignment="1">
      <alignment horizontal="center" vertical="center" wrapText="1"/>
    </xf>
    <xf numFmtId="0" fontId="20" fillId="0" borderId="9" xfId="26" applyFont="1" applyFill="1" applyBorder="1" applyAlignment="1">
      <alignment horizontal="center" vertical="center" wrapText="1"/>
    </xf>
    <xf numFmtId="0" fontId="20" fillId="0" borderId="15" xfId="26" applyFont="1" applyFill="1" applyBorder="1" applyAlignment="1">
      <alignment horizontal="center" vertical="center" wrapText="1"/>
    </xf>
    <xf numFmtId="0" fontId="20" fillId="0" borderId="14" xfId="26" applyFont="1" applyFill="1" applyBorder="1" applyAlignment="1">
      <alignment horizontal="center" vertical="center" wrapText="1"/>
    </xf>
    <xf numFmtId="0" fontId="20" fillId="0" borderId="0" xfId="26" applyFont="1" applyFill="1" applyBorder="1" applyAlignment="1">
      <alignment horizontal="center" vertical="center" wrapText="1"/>
    </xf>
    <xf numFmtId="0" fontId="20" fillId="0" borderId="7" xfId="26" applyFont="1" applyFill="1" applyBorder="1" applyAlignment="1">
      <alignment horizontal="center" vertical="center" wrapText="1"/>
    </xf>
    <xf numFmtId="0" fontId="20" fillId="0" borderId="11" xfId="26" applyFont="1" applyFill="1" applyBorder="1" applyAlignment="1">
      <alignment horizontal="center" vertical="center" wrapText="1"/>
    </xf>
    <xf numFmtId="0" fontId="20" fillId="0" borderId="12" xfId="26" applyFont="1" applyFill="1" applyBorder="1" applyAlignment="1">
      <alignment horizontal="center" vertical="center" wrapText="1"/>
    </xf>
    <xf numFmtId="0" fontId="20" fillId="0" borderId="13" xfId="26" applyFont="1" applyFill="1" applyBorder="1" applyAlignment="1">
      <alignment horizontal="center" vertical="center" wrapText="1"/>
    </xf>
    <xf numFmtId="0" fontId="18" fillId="0" borderId="4" xfId="28" applyFont="1" applyFill="1" applyBorder="1" applyAlignment="1">
      <alignment horizontal="left" vertical="center" wrapText="1"/>
    </xf>
    <xf numFmtId="0" fontId="18" fillId="0" borderId="3" xfId="28" applyFont="1" applyFill="1" applyBorder="1" applyAlignment="1">
      <alignment horizontal="left" vertical="center" wrapText="1"/>
    </xf>
    <xf numFmtId="0" fontId="18" fillId="0" borderId="1" xfId="28" applyFont="1" applyFill="1" applyBorder="1" applyAlignment="1">
      <alignment horizontal="left" vertical="center" wrapText="1"/>
    </xf>
    <xf numFmtId="49" fontId="18" fillId="0" borderId="2" xfId="26" applyNumberFormat="1" applyFont="1" applyFill="1" applyBorder="1" applyAlignment="1">
      <alignment horizontal="center" vertical="center" wrapText="1"/>
    </xf>
    <xf numFmtId="0" fontId="18" fillId="0" borderId="4" xfId="28" applyFont="1" applyBorder="1" applyAlignment="1">
      <alignment horizontal="left" vertical="center" wrapText="1"/>
    </xf>
    <xf numFmtId="0" fontId="18" fillId="0" borderId="3" xfId="28" applyFont="1" applyBorder="1" applyAlignment="1">
      <alignment horizontal="left" vertical="center" wrapText="1"/>
    </xf>
    <xf numFmtId="0" fontId="18" fillId="0" borderId="1" xfId="28" applyFont="1" applyBorder="1" applyAlignment="1">
      <alignment horizontal="left" vertical="center" wrapText="1"/>
    </xf>
    <xf numFmtId="49" fontId="18" fillId="0" borderId="2" xfId="26" applyNumberFormat="1" applyFont="1" applyBorder="1" applyAlignment="1">
      <alignment horizontal="center" vertical="center" wrapText="1"/>
    </xf>
    <xf numFmtId="0" fontId="18" fillId="0" borderId="2" xfId="28" applyFont="1" applyBorder="1" applyAlignment="1">
      <alignment horizontal="left" vertical="center" wrapText="1"/>
    </xf>
    <xf numFmtId="0" fontId="20" fillId="0" borderId="0" xfId="26" applyNumberFormat="1" applyFont="1" applyFill="1" applyAlignment="1">
      <alignment horizontal="center" wrapText="1"/>
    </xf>
    <xf numFmtId="3" fontId="18" fillId="0" borderId="0" xfId="17" applyNumberFormat="1" applyFont="1" applyFill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3" fontId="21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34" fillId="0" borderId="14" xfId="17" applyNumberFormat="1" applyFont="1" applyFill="1" applyBorder="1" applyAlignment="1">
      <alignment horizontal="center" vertical="top"/>
    </xf>
    <xf numFmtId="49" fontId="34" fillId="0" borderId="7" xfId="17" applyNumberFormat="1" applyFont="1" applyFill="1" applyBorder="1" applyAlignment="1">
      <alignment horizontal="center" vertical="top"/>
    </xf>
    <xf numFmtId="49" fontId="34" fillId="0" borderId="11" xfId="17" applyNumberFormat="1" applyFont="1" applyFill="1" applyBorder="1" applyAlignment="1">
      <alignment horizontal="center" vertical="top"/>
    </xf>
    <xf numFmtId="49" fontId="34" fillId="0" borderId="13" xfId="17" applyNumberFormat="1" applyFont="1" applyFill="1" applyBorder="1" applyAlignment="1">
      <alignment horizontal="center" vertical="top"/>
    </xf>
    <xf numFmtId="0" fontId="34" fillId="0" borderId="5" xfId="17" applyFont="1" applyFill="1" applyBorder="1" applyAlignment="1">
      <alignment horizontal="left" vertical="top" wrapText="1"/>
    </xf>
    <xf numFmtId="0" fontId="34" fillId="0" borderId="6" xfId="17" applyFont="1" applyFill="1" applyBorder="1" applyAlignment="1">
      <alignment horizontal="left" vertical="top" wrapText="1"/>
    </xf>
    <xf numFmtId="0" fontId="61" fillId="0" borderId="5" xfId="17" applyFont="1" applyFill="1" applyBorder="1" applyAlignment="1">
      <alignment horizontal="center" vertical="center" wrapText="1"/>
    </xf>
    <xf numFmtId="0" fontId="61" fillId="0" borderId="10" xfId="17" applyFont="1" applyFill="1" applyBorder="1" applyAlignment="1">
      <alignment horizontal="center" vertical="center" wrapText="1"/>
    </xf>
    <xf numFmtId="0" fontId="61" fillId="0" borderId="6" xfId="17" applyFont="1" applyFill="1" applyBorder="1" applyAlignment="1">
      <alignment horizontal="center" vertical="center" wrapText="1"/>
    </xf>
    <xf numFmtId="49" fontId="34" fillId="0" borderId="14" xfId="17" applyNumberFormat="1" applyFont="1" applyFill="1" applyBorder="1" applyAlignment="1">
      <alignment horizontal="center" vertical="center"/>
    </xf>
    <xf numFmtId="49" fontId="34" fillId="0" borderId="7" xfId="17" applyNumberFormat="1" applyFont="1" applyFill="1" applyBorder="1" applyAlignment="1">
      <alignment horizontal="center" vertical="center"/>
    </xf>
    <xf numFmtId="0" fontId="34" fillId="0" borderId="5" xfId="17" applyFont="1" applyFill="1" applyBorder="1" applyAlignment="1">
      <alignment horizontal="left" vertical="center" wrapText="1"/>
    </xf>
    <xf numFmtId="0" fontId="34" fillId="0" borderId="6" xfId="17" applyFont="1" applyFill="1" applyBorder="1" applyAlignment="1">
      <alignment horizontal="left" vertical="center" wrapText="1"/>
    </xf>
    <xf numFmtId="49" fontId="34" fillId="0" borderId="8" xfId="17" applyNumberFormat="1" applyFont="1" applyFill="1" applyBorder="1" applyAlignment="1">
      <alignment horizontal="center" vertical="center"/>
    </xf>
    <xf numFmtId="49" fontId="34" fillId="0" borderId="15" xfId="17" applyNumberFormat="1" applyFont="1" applyFill="1" applyBorder="1" applyAlignment="1">
      <alignment horizontal="center" vertical="center"/>
    </xf>
    <xf numFmtId="49" fontId="34" fillId="0" borderId="8" xfId="17" applyNumberFormat="1" applyFont="1" applyFill="1" applyBorder="1" applyAlignment="1">
      <alignment horizontal="center" vertical="top"/>
    </xf>
    <xf numFmtId="49" fontId="34" fillId="0" borderId="15" xfId="17" applyNumberFormat="1" applyFont="1" applyFill="1" applyBorder="1" applyAlignment="1">
      <alignment horizontal="center" vertical="top"/>
    </xf>
    <xf numFmtId="49" fontId="34" fillId="0" borderId="5" xfId="17" applyNumberFormat="1" applyFont="1" applyFill="1" applyBorder="1" applyAlignment="1">
      <alignment horizontal="center" vertical="center"/>
    </xf>
    <xf numFmtId="49" fontId="34" fillId="0" borderId="6" xfId="17" applyNumberFormat="1" applyFont="1" applyFill="1" applyBorder="1" applyAlignment="1">
      <alignment horizontal="center" vertical="center"/>
    </xf>
    <xf numFmtId="0" fontId="36" fillId="0" borderId="5" xfId="17" applyFont="1" applyFill="1" applyBorder="1" applyAlignment="1">
      <alignment horizontal="left" vertical="top" wrapText="1"/>
    </xf>
    <xf numFmtId="49" fontId="34" fillId="0" borderId="5" xfId="17" applyNumberFormat="1" applyFont="1" applyFill="1" applyBorder="1" applyAlignment="1">
      <alignment horizontal="center" vertical="top"/>
    </xf>
    <xf numFmtId="49" fontId="34" fillId="0" borderId="6" xfId="17" applyNumberFormat="1" applyFont="1" applyFill="1" applyBorder="1" applyAlignment="1">
      <alignment horizontal="center" vertical="top"/>
    </xf>
    <xf numFmtId="49" fontId="34" fillId="0" borderId="11" xfId="17" applyNumberFormat="1" applyFont="1" applyFill="1" applyBorder="1" applyAlignment="1">
      <alignment horizontal="center" vertical="center"/>
    </xf>
    <xf numFmtId="49" fontId="34" fillId="0" borderId="13" xfId="17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49" fontId="64" fillId="0" borderId="5" xfId="17" applyNumberFormat="1" applyFont="1" applyFill="1" applyBorder="1" applyAlignment="1">
      <alignment horizontal="left" vertical="center"/>
    </xf>
    <xf numFmtId="49" fontId="64" fillId="0" borderId="10" xfId="17" applyNumberFormat="1" applyFont="1" applyFill="1" applyBorder="1" applyAlignment="1">
      <alignment horizontal="left" vertical="center"/>
    </xf>
    <xf numFmtId="49" fontId="64" fillId="0" borderId="6" xfId="17" applyNumberFormat="1" applyFont="1" applyFill="1" applyBorder="1" applyAlignment="1">
      <alignment horizontal="left" vertical="center"/>
    </xf>
    <xf numFmtId="49" fontId="65" fillId="0" borderId="5" xfId="17" applyNumberFormat="1" applyFont="1" applyFill="1" applyBorder="1" applyAlignment="1">
      <alignment horizontal="left" vertical="center"/>
    </xf>
    <xf numFmtId="49" fontId="65" fillId="0" borderId="10" xfId="17" applyNumberFormat="1" applyFont="1" applyFill="1" applyBorder="1" applyAlignment="1">
      <alignment horizontal="left" vertical="center"/>
    </xf>
    <xf numFmtId="49" fontId="65" fillId="0" borderId="6" xfId="17" applyNumberFormat="1" applyFont="1" applyFill="1" applyBorder="1" applyAlignment="1">
      <alignment horizontal="left" vertical="center"/>
    </xf>
    <xf numFmtId="0" fontId="61" fillId="0" borderId="5" xfId="17" applyFont="1" applyFill="1" applyBorder="1" applyAlignment="1">
      <alignment horizontal="left" vertical="center"/>
    </xf>
    <xf numFmtId="0" fontId="61" fillId="0" borderId="10" xfId="17" applyFont="1" applyFill="1" applyBorder="1" applyAlignment="1">
      <alignment horizontal="left" vertical="center"/>
    </xf>
    <xf numFmtId="49" fontId="35" fillId="0" borderId="5" xfId="17" applyNumberFormat="1" applyFont="1" applyFill="1" applyBorder="1" applyAlignment="1">
      <alignment horizontal="center" vertical="center"/>
    </xf>
    <xf numFmtId="49" fontId="35" fillId="0" borderId="6" xfId="17" applyNumberFormat="1" applyFont="1" applyFill="1" applyBorder="1" applyAlignment="1">
      <alignment horizontal="center" vertical="center"/>
    </xf>
    <xf numFmtId="0" fontId="35" fillId="0" borderId="5" xfId="17" applyFont="1" applyFill="1" applyBorder="1" applyAlignment="1">
      <alignment horizontal="left" vertical="center" wrapText="1"/>
    </xf>
    <xf numFmtId="0" fontId="35" fillId="0" borderId="6" xfId="17" applyFont="1" applyFill="1" applyBorder="1" applyAlignment="1">
      <alignment horizontal="left" vertical="center" wrapText="1"/>
    </xf>
    <xf numFmtId="49" fontId="35" fillId="0" borderId="8" xfId="17" applyNumberFormat="1" applyFont="1" applyFill="1" applyBorder="1" applyAlignment="1">
      <alignment horizontal="center" vertical="center"/>
    </xf>
    <xf numFmtId="49" fontId="35" fillId="0" borderId="15" xfId="17" applyNumberFormat="1" applyFont="1" applyFill="1" applyBorder="1" applyAlignment="1">
      <alignment horizontal="center" vertical="center"/>
    </xf>
    <xf numFmtId="49" fontId="36" fillId="0" borderId="14" xfId="17" applyNumberFormat="1" applyFont="1" applyFill="1" applyBorder="1" applyAlignment="1">
      <alignment horizontal="center" vertical="center"/>
    </xf>
    <xf numFmtId="49" fontId="36" fillId="0" borderId="7" xfId="17" applyNumberFormat="1" applyFont="1" applyFill="1" applyBorder="1" applyAlignment="1">
      <alignment horizontal="center" vertical="center"/>
    </xf>
    <xf numFmtId="0" fontId="36" fillId="0" borderId="5" xfId="17" applyFont="1" applyFill="1" applyBorder="1" applyAlignment="1">
      <alignment horizontal="left" vertical="center" wrapText="1"/>
    </xf>
    <xf numFmtId="0" fontId="36" fillId="0" borderId="6" xfId="17" applyFont="1" applyFill="1" applyBorder="1" applyAlignment="1">
      <alignment horizontal="left" vertical="center" wrapText="1"/>
    </xf>
    <xf numFmtId="3" fontId="26" fillId="0" borderId="4" xfId="17" applyNumberFormat="1" applyFont="1" applyFill="1" applyBorder="1" applyAlignment="1">
      <alignment horizontal="center" vertical="top" wrapText="1"/>
    </xf>
    <xf numFmtId="3" fontId="26" fillId="0" borderId="1" xfId="17" applyNumberFormat="1" applyFont="1" applyFill="1" applyBorder="1" applyAlignment="1">
      <alignment horizontal="center" vertical="top" wrapText="1"/>
    </xf>
    <xf numFmtId="0" fontId="22" fillId="0" borderId="5" xfId="17" applyFont="1" applyFill="1" applyBorder="1" applyAlignment="1">
      <alignment horizontal="center" vertical="center"/>
    </xf>
    <xf numFmtId="0" fontId="22" fillId="0" borderId="6" xfId="31" applyFont="1" applyFill="1" applyBorder="1" applyAlignment="1">
      <alignment horizontal="center" vertical="center"/>
    </xf>
    <xf numFmtId="0" fontId="20" fillId="0" borderId="0" xfId="17" applyNumberFormat="1" applyFont="1" applyFill="1" applyAlignment="1">
      <alignment horizontal="center" vertical="center"/>
    </xf>
    <xf numFmtId="0" fontId="26" fillId="0" borderId="8" xfId="17" applyFont="1" applyFill="1" applyBorder="1" applyAlignment="1">
      <alignment horizontal="center" vertical="top" wrapText="1"/>
    </xf>
    <xf numFmtId="0" fontId="26" fillId="0" borderId="15" xfId="17" applyFont="1" applyFill="1" applyBorder="1" applyAlignment="1">
      <alignment horizontal="center" vertical="top" wrapText="1"/>
    </xf>
    <xf numFmtId="0" fontId="26" fillId="0" borderId="14" xfId="17" applyFont="1" applyFill="1" applyBorder="1" applyAlignment="1">
      <alignment horizontal="center" vertical="top" wrapText="1"/>
    </xf>
    <xf numFmtId="0" fontId="26" fillId="0" borderId="7" xfId="17" applyFont="1" applyFill="1" applyBorder="1" applyAlignment="1">
      <alignment horizontal="center" vertical="top" wrapText="1"/>
    </xf>
    <xf numFmtId="0" fontId="26" fillId="0" borderId="11" xfId="17" applyFont="1" applyFill="1" applyBorder="1" applyAlignment="1">
      <alignment horizontal="center" vertical="top" wrapText="1"/>
    </xf>
    <xf numFmtId="0" fontId="26" fillId="0" borderId="13" xfId="17" applyFont="1" applyFill="1" applyBorder="1" applyAlignment="1">
      <alignment horizontal="center" vertical="top" wrapText="1"/>
    </xf>
    <xf numFmtId="0" fontId="18" fillId="0" borderId="15" xfId="31" applyFont="1" applyFill="1" applyBorder="1" applyAlignment="1">
      <alignment vertical="top"/>
    </xf>
    <xf numFmtId="0" fontId="18" fillId="0" borderId="14" xfId="31" applyFont="1" applyFill="1" applyBorder="1" applyAlignment="1">
      <alignment vertical="top"/>
    </xf>
    <xf numFmtId="0" fontId="18" fillId="0" borderId="7" xfId="31" applyFont="1" applyFill="1" applyBorder="1" applyAlignment="1">
      <alignment vertical="top"/>
    </xf>
    <xf numFmtId="0" fontId="26" fillId="0" borderId="4" xfId="31" applyFont="1" applyFill="1" applyBorder="1" applyAlignment="1">
      <alignment horizontal="center" vertical="top"/>
    </xf>
    <xf numFmtId="0" fontId="26" fillId="0" borderId="3" xfId="31" applyFont="1" applyFill="1" applyBorder="1" applyAlignment="1">
      <alignment horizontal="center" vertical="top"/>
    </xf>
    <xf numFmtId="0" fontId="26" fillId="0" borderId="1" xfId="31" applyFont="1" applyFill="1" applyBorder="1" applyAlignment="1">
      <alignment horizontal="center" vertical="top"/>
    </xf>
    <xf numFmtId="3" fontId="26" fillId="0" borderId="5" xfId="17" applyNumberFormat="1" applyFont="1" applyFill="1" applyBorder="1" applyAlignment="1">
      <alignment horizontal="center" vertical="top" wrapText="1"/>
    </xf>
    <xf numFmtId="3" fontId="26" fillId="0" borderId="10" xfId="17" applyNumberFormat="1" applyFont="1" applyFill="1" applyBorder="1" applyAlignment="1">
      <alignment horizontal="center" vertical="top" wrapText="1"/>
    </xf>
    <xf numFmtId="3" fontId="26" fillId="0" borderId="6" xfId="17" applyNumberFormat="1" applyFont="1" applyFill="1" applyBorder="1" applyAlignment="1">
      <alignment horizontal="center" vertical="top" wrapText="1"/>
    </xf>
    <xf numFmtId="0" fontId="20" fillId="0" borderId="0" xfId="17" applyFont="1" applyAlignment="1">
      <alignment horizontal="center" vertical="center"/>
    </xf>
    <xf numFmtId="0" fontId="17" fillId="0" borderId="5" xfId="20" applyFont="1" applyBorder="1" applyAlignment="1">
      <alignment horizontal="center" vertical="top"/>
    </xf>
    <xf numFmtId="0" fontId="17" fillId="0" borderId="10" xfId="20" applyFont="1" applyBorder="1" applyAlignment="1">
      <alignment horizontal="center" vertical="top"/>
    </xf>
    <xf numFmtId="0" fontId="17" fillId="0" borderId="6" xfId="20" applyFont="1" applyBorder="1" applyAlignment="1">
      <alignment horizontal="center" vertical="top"/>
    </xf>
    <xf numFmtId="0" fontId="19" fillId="0" borderId="0" xfId="20" applyFont="1" applyAlignment="1">
      <alignment horizontal="left" vertical="top"/>
    </xf>
    <xf numFmtId="0" fontId="20" fillId="0" borderId="0" xfId="17" applyFont="1" applyAlignment="1">
      <alignment horizontal="center" vertical="center" wrapText="1"/>
    </xf>
    <xf numFmtId="49" fontId="64" fillId="0" borderId="5" xfId="0" applyNumberFormat="1" applyFont="1" applyFill="1" applyBorder="1" applyAlignment="1">
      <alignment horizontal="left" vertical="center" wrapText="1"/>
    </xf>
    <xf numFmtId="49" fontId="64" fillId="0" borderId="6" xfId="0" applyNumberFormat="1" applyFont="1" applyFill="1" applyBorder="1" applyAlignment="1">
      <alignment horizontal="left" vertical="center" wrapText="1"/>
    </xf>
    <xf numFmtId="0" fontId="18" fillId="0" borderId="0" xfId="16" applyFont="1" applyFill="1" applyAlignment="1">
      <alignment vertical="center"/>
    </xf>
    <xf numFmtId="0" fontId="0" fillId="0" borderId="0" xfId="0" applyAlignment="1">
      <alignment vertical="center"/>
    </xf>
    <xf numFmtId="49" fontId="64" fillId="0" borderId="5" xfId="0" applyNumberFormat="1" applyFont="1" applyFill="1" applyBorder="1" applyAlignment="1">
      <alignment vertical="center" wrapText="1"/>
    </xf>
    <xf numFmtId="49" fontId="64" fillId="0" borderId="6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left"/>
    </xf>
    <xf numFmtId="49" fontId="35" fillId="0" borderId="4" xfId="0" applyNumberFormat="1" applyFont="1" applyFill="1" applyBorder="1" applyAlignment="1" applyProtection="1">
      <alignment horizontal="center" vertical="center" wrapText="1"/>
    </xf>
    <xf numFmtId="49" fontId="35" fillId="0" borderId="1" xfId="0" applyNumberFormat="1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5" fillId="0" borderId="5" xfId="0" applyFont="1" applyFill="1" applyBorder="1" applyAlignment="1" applyProtection="1">
      <alignment horizontal="center" vertical="center" wrapText="1"/>
    </xf>
    <xf numFmtId="0" fontId="35" fillId="0" borderId="6" xfId="0" applyFont="1" applyFill="1" applyBorder="1" applyAlignment="1" applyProtection="1">
      <alignment horizontal="center" vertical="center" wrapText="1"/>
    </xf>
    <xf numFmtId="49" fontId="64" fillId="0" borderId="5" xfId="0" applyNumberFormat="1" applyFont="1" applyFill="1" applyBorder="1" applyAlignment="1">
      <alignment horizontal="left" wrapText="1"/>
    </xf>
    <xf numFmtId="49" fontId="64" fillId="0" borderId="6" xfId="0" applyNumberFormat="1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center" wrapText="1"/>
    </xf>
    <xf numFmtId="0" fontId="28" fillId="0" borderId="5" xfId="17" applyFont="1" applyFill="1" applyBorder="1" applyAlignment="1">
      <alignment horizontal="center" vertical="center" wrapText="1"/>
    </xf>
    <xf numFmtId="0" fontId="28" fillId="0" borderId="10" xfId="17" applyFont="1" applyFill="1" applyBorder="1" applyAlignment="1">
      <alignment horizontal="center" vertical="center" wrapText="1"/>
    </xf>
    <xf numFmtId="0" fontId="28" fillId="0" borderId="6" xfId="17" applyFont="1" applyFill="1" applyBorder="1" applyAlignment="1">
      <alignment horizontal="center" vertical="center" wrapText="1"/>
    </xf>
    <xf numFmtId="3" fontId="18" fillId="0" borderId="0" xfId="17" applyNumberFormat="1" applyFont="1" applyFill="1" applyAlignment="1">
      <alignment horizontal="left"/>
    </xf>
    <xf numFmtId="3" fontId="18" fillId="0" borderId="0" xfId="17" applyNumberFormat="1" applyFont="1" applyFill="1" applyAlignment="1">
      <alignment horizontal="left" wrapText="1"/>
    </xf>
    <xf numFmtId="0" fontId="21" fillId="0" borderId="4" xfId="17" applyFont="1" applyFill="1" applyBorder="1" applyAlignment="1">
      <alignment horizontal="center" vertical="top"/>
    </xf>
    <xf numFmtId="0" fontId="21" fillId="0" borderId="1" xfId="17" applyFont="1" applyFill="1" applyBorder="1" applyAlignment="1">
      <alignment horizontal="center" vertical="top"/>
    </xf>
    <xf numFmtId="0" fontId="21" fillId="0" borderId="5" xfId="17" applyFont="1" applyFill="1" applyBorder="1" applyAlignment="1">
      <alignment horizontal="center" vertical="top" wrapText="1"/>
    </xf>
    <xf numFmtId="0" fontId="21" fillId="0" borderId="6" xfId="17" applyFont="1" applyFill="1" applyBorder="1" applyAlignment="1">
      <alignment horizontal="center" vertical="top" wrapText="1"/>
    </xf>
    <xf numFmtId="3" fontId="21" fillId="0" borderId="4" xfId="17" applyNumberFormat="1" applyFont="1" applyFill="1" applyBorder="1" applyAlignment="1">
      <alignment horizontal="center" vertical="top" wrapText="1"/>
    </xf>
    <xf numFmtId="3" fontId="21" fillId="0" borderId="1" xfId="17" applyNumberFormat="1" applyFont="1" applyFill="1" applyBorder="1" applyAlignment="1">
      <alignment horizontal="center" vertical="top" wrapText="1"/>
    </xf>
    <xf numFmtId="0" fontId="21" fillId="0" borderId="4" xfId="17" applyFont="1" applyFill="1" applyBorder="1" applyAlignment="1">
      <alignment horizontal="center" vertical="top" wrapText="1"/>
    </xf>
    <xf numFmtId="0" fontId="21" fillId="0" borderId="1" xfId="17" applyFont="1" applyFill="1" applyBorder="1" applyAlignment="1">
      <alignment horizontal="center" vertical="top" wrapText="1"/>
    </xf>
    <xf numFmtId="0" fontId="20" fillId="0" borderId="0" xfId="15" applyFont="1" applyAlignment="1">
      <alignment horizontal="center"/>
    </xf>
  </cellXfs>
  <cellStyles count="32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Dziesiętny 4" xfId="4" xr:uid="{00000000-0005-0000-0000-000003000000}"/>
    <cellStyle name="Normalny" xfId="0" builtinId="0"/>
    <cellStyle name="Normalny 10" xfId="5" xr:uid="{00000000-0005-0000-0000-000005000000}"/>
    <cellStyle name="Normalny 11" xfId="21" xr:uid="{00000000-0005-0000-0000-000006000000}"/>
    <cellStyle name="Normalny 11 2" xfId="22" xr:uid="{00000000-0005-0000-0000-000007000000}"/>
    <cellStyle name="Normalny 2" xfId="6" xr:uid="{00000000-0005-0000-0000-000008000000}"/>
    <cellStyle name="Normalny 2 2" xfId="7" xr:uid="{00000000-0005-0000-0000-000009000000}"/>
    <cellStyle name="Normalny 2_RDW" xfId="8" xr:uid="{00000000-0005-0000-0000-00000A000000}"/>
    <cellStyle name="Normalny 3" xfId="9" xr:uid="{00000000-0005-0000-0000-00000B000000}"/>
    <cellStyle name="Normalny 4" xfId="10" xr:uid="{00000000-0005-0000-0000-00000C000000}"/>
    <cellStyle name="Normalny 5" xfId="11" xr:uid="{00000000-0005-0000-0000-00000D000000}"/>
    <cellStyle name="Normalny 6" xfId="12" xr:uid="{00000000-0005-0000-0000-00000E000000}"/>
    <cellStyle name="Normalny 6 2" xfId="23" xr:uid="{00000000-0005-0000-0000-00000F000000}"/>
    <cellStyle name="Normalny 7" xfId="20" xr:uid="{00000000-0005-0000-0000-000010000000}"/>
    <cellStyle name="Normalny 8" xfId="13" xr:uid="{00000000-0005-0000-0000-000011000000}"/>
    <cellStyle name="Normalny 9" xfId="14" xr:uid="{00000000-0005-0000-0000-000012000000}"/>
    <cellStyle name="Normalny_IZ 2011" xfId="29" xr:uid="{00000000-0005-0000-0000-000013000000}"/>
    <cellStyle name="Normalny_RDW 2014" xfId="15" xr:uid="{00000000-0005-0000-0000-000014000000}"/>
    <cellStyle name="Normalny_RPO 2011" xfId="27" xr:uid="{00000000-0005-0000-0000-000015000000}"/>
    <cellStyle name="Normalny_Załącznik  nr 7  RPO na 2010" xfId="26" xr:uid="{00000000-0005-0000-0000-000016000000}"/>
    <cellStyle name="Normalny_załącznik nr 1" xfId="16" xr:uid="{00000000-0005-0000-0000-000017000000}"/>
    <cellStyle name="Normalny_Załącznik nr 10 IZ na 2010" xfId="30" xr:uid="{00000000-0005-0000-0000-000018000000}"/>
    <cellStyle name="Normalny_Załącznik nr 3  do proj. budżetu na 2006r._Zał. Nr 3 i Nr 21 do proj.budż.po Autopoprawce" xfId="25" xr:uid="{00000000-0005-0000-0000-000019000000}"/>
    <cellStyle name="Normalny_Załącznik nr 9  PROW na 2010" xfId="28" xr:uid="{00000000-0005-0000-0000-00001A000000}"/>
    <cellStyle name="Normalny_Załączniki do  budżetu na 2005 r" xfId="17" xr:uid="{00000000-0005-0000-0000-00001B000000}"/>
    <cellStyle name="Normalny_Załączniki do budżetu na 2006 r._Zał. Nr 3 i Nr 21 do proj.budż.po Autopoprawce" xfId="24" xr:uid="{00000000-0005-0000-0000-00001C000000}"/>
    <cellStyle name="Normalny_Załączniki do projektu budżetu na 2009 r." xfId="31" xr:uid="{00000000-0005-0000-0000-00001D000000}"/>
    <cellStyle name="Procentowy 2" xfId="18" xr:uid="{00000000-0005-0000-0000-00001E000000}"/>
    <cellStyle name="Styl 1" xfId="1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6"/>
  <sheetViews>
    <sheetView view="pageBreakPreview" zoomScaleNormal="100" zoomScaleSheetLayoutView="100" workbookViewId="0">
      <selection activeCell="B23" sqref="B23"/>
    </sheetView>
  </sheetViews>
  <sheetFormatPr defaultColWidth="8" defaultRowHeight="12.75"/>
  <cols>
    <col min="1" max="1" width="5" style="112" customWidth="1"/>
    <col min="2" max="2" width="27.625" style="113" customWidth="1"/>
    <col min="3" max="3" width="12.875" style="115" customWidth="1"/>
    <col min="4" max="6" width="11.375" style="42" customWidth="1"/>
    <col min="7" max="8" width="11.125" style="42" customWidth="1"/>
    <col min="9" max="10" width="10.875" style="42" customWidth="1"/>
    <col min="11" max="13" width="11.375" style="42" customWidth="1"/>
    <col min="14" max="14" width="11.125" style="42" customWidth="1"/>
    <col min="15" max="16" width="11.375" style="42" customWidth="1"/>
    <col min="17" max="16384" width="8" style="42"/>
  </cols>
  <sheetData>
    <row r="1" spans="1:16">
      <c r="A1" s="38"/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N1" s="41" t="s">
        <v>153</v>
      </c>
      <c r="O1" s="41"/>
      <c r="P1" s="41"/>
    </row>
    <row r="2" spans="1:16">
      <c r="A2" s="38"/>
      <c r="B2" s="39"/>
      <c r="C2" s="40"/>
      <c r="D2" s="41"/>
      <c r="E2" s="41"/>
      <c r="F2" s="41"/>
      <c r="G2" s="41"/>
      <c r="H2" s="41"/>
      <c r="I2" s="41"/>
      <c r="J2" s="41"/>
      <c r="K2" s="41"/>
      <c r="L2" s="41"/>
      <c r="N2" s="41" t="s">
        <v>364</v>
      </c>
      <c r="O2" s="41"/>
      <c r="P2" s="41"/>
    </row>
    <row r="3" spans="1:16">
      <c r="A3" s="38"/>
      <c r="B3" s="39"/>
      <c r="C3" s="40"/>
      <c r="D3" s="41"/>
      <c r="E3" s="41"/>
      <c r="F3" s="41"/>
      <c r="G3" s="41"/>
      <c r="H3" s="41"/>
      <c r="I3" s="41"/>
      <c r="J3" s="41"/>
      <c r="K3" s="41"/>
      <c r="L3" s="41"/>
      <c r="N3" s="41" t="s">
        <v>365</v>
      </c>
      <c r="O3" s="41"/>
      <c r="P3" s="41"/>
    </row>
    <row r="4" spans="1:16" ht="60.75" customHeight="1">
      <c r="A4" s="905" t="s">
        <v>154</v>
      </c>
      <c r="B4" s="905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</row>
    <row r="5" spans="1:16" ht="17.25" customHeight="1">
      <c r="A5" s="906" t="s">
        <v>362</v>
      </c>
      <c r="B5" s="906"/>
      <c r="C5" s="906"/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</row>
    <row r="6" spans="1:16">
      <c r="A6" s="38"/>
      <c r="B6" s="39"/>
      <c r="C6" s="40"/>
      <c r="D6" s="41"/>
      <c r="E6" s="41"/>
      <c r="F6" s="43"/>
      <c r="G6" s="43"/>
      <c r="H6" s="43"/>
      <c r="I6" s="43"/>
      <c r="J6" s="43"/>
      <c r="K6" s="43"/>
      <c r="L6" s="43"/>
      <c r="M6" s="41"/>
      <c r="N6" s="41"/>
      <c r="O6" s="44"/>
      <c r="P6" s="44" t="s">
        <v>15</v>
      </c>
    </row>
    <row r="7" spans="1:16" s="45" customFormat="1" ht="18.75" customHeight="1">
      <c r="A7" s="907" t="s">
        <v>145</v>
      </c>
      <c r="B7" s="910" t="s">
        <v>16</v>
      </c>
      <c r="C7" s="913" t="s">
        <v>17</v>
      </c>
      <c r="D7" s="916" t="s">
        <v>155</v>
      </c>
      <c r="E7" s="913" t="s">
        <v>156</v>
      </c>
      <c r="F7" s="918" t="s">
        <v>157</v>
      </c>
      <c r="G7" s="918"/>
      <c r="H7" s="918"/>
      <c r="I7" s="918"/>
      <c r="J7" s="918"/>
      <c r="K7" s="918"/>
      <c r="L7" s="918"/>
      <c r="M7" s="918"/>
      <c r="N7" s="918"/>
      <c r="O7" s="918"/>
      <c r="P7" s="918"/>
    </row>
    <row r="8" spans="1:16" s="45" customFormat="1" ht="19.5" customHeight="1">
      <c r="A8" s="908"/>
      <c r="B8" s="911"/>
      <c r="C8" s="914"/>
      <c r="D8" s="923"/>
      <c r="E8" s="914"/>
      <c r="F8" s="918" t="s">
        <v>158</v>
      </c>
      <c r="G8" s="919"/>
      <c r="H8" s="919"/>
      <c r="I8" s="919"/>
      <c r="J8" s="919"/>
      <c r="K8" s="919"/>
      <c r="L8" s="919"/>
      <c r="M8" s="918" t="s">
        <v>159</v>
      </c>
      <c r="N8" s="918"/>
      <c r="O8" s="918"/>
      <c r="P8" s="918"/>
    </row>
    <row r="9" spans="1:16" s="45" customFormat="1" ht="29.25" customHeight="1">
      <c r="A9" s="908"/>
      <c r="B9" s="911"/>
      <c r="C9" s="914"/>
      <c r="D9" s="923"/>
      <c r="E9" s="914"/>
      <c r="F9" s="913" t="s">
        <v>366</v>
      </c>
      <c r="G9" s="916" t="s">
        <v>367</v>
      </c>
      <c r="H9" s="922"/>
      <c r="I9" s="913" t="s">
        <v>160</v>
      </c>
      <c r="J9" s="913" t="s">
        <v>161</v>
      </c>
      <c r="K9" s="913" t="s">
        <v>162</v>
      </c>
      <c r="L9" s="913" t="s">
        <v>163</v>
      </c>
      <c r="M9" s="913" t="s">
        <v>164</v>
      </c>
      <c r="N9" s="913" t="s">
        <v>160</v>
      </c>
      <c r="O9" s="916" t="s">
        <v>161</v>
      </c>
      <c r="P9" s="913" t="s">
        <v>163</v>
      </c>
    </row>
    <row r="10" spans="1:16" s="45" customFormat="1" ht="42" customHeight="1">
      <c r="A10" s="909"/>
      <c r="B10" s="912"/>
      <c r="C10" s="915"/>
      <c r="D10" s="917"/>
      <c r="E10" s="915"/>
      <c r="F10" s="917"/>
      <c r="G10" s="46" t="s">
        <v>165</v>
      </c>
      <c r="H10" s="47" t="s">
        <v>166</v>
      </c>
      <c r="I10" s="915"/>
      <c r="J10" s="915"/>
      <c r="K10" s="915"/>
      <c r="L10" s="915"/>
      <c r="M10" s="915"/>
      <c r="N10" s="915"/>
      <c r="O10" s="917"/>
      <c r="P10" s="915"/>
    </row>
    <row r="11" spans="1:16" s="52" customFormat="1" ht="12" customHeight="1">
      <c r="A11" s="48" t="s">
        <v>18</v>
      </c>
      <c r="B11" s="49" t="s">
        <v>19</v>
      </c>
      <c r="C11" s="48" t="s">
        <v>20</v>
      </c>
      <c r="D11" s="48" t="s">
        <v>6</v>
      </c>
      <c r="E11" s="48" t="s">
        <v>9</v>
      </c>
      <c r="F11" s="50" t="s">
        <v>10</v>
      </c>
      <c r="G11" s="48" t="s">
        <v>11</v>
      </c>
      <c r="H11" s="51" t="s">
        <v>12</v>
      </c>
      <c r="I11" s="48" t="s">
        <v>13</v>
      </c>
      <c r="J11" s="48" t="s">
        <v>14</v>
      </c>
      <c r="K11" s="48" t="s">
        <v>0</v>
      </c>
      <c r="L11" s="48" t="s">
        <v>1</v>
      </c>
      <c r="M11" s="48" t="s">
        <v>2</v>
      </c>
      <c r="N11" s="48" t="s">
        <v>3</v>
      </c>
      <c r="O11" s="50" t="s">
        <v>57</v>
      </c>
      <c r="P11" s="48" t="s">
        <v>58</v>
      </c>
    </row>
    <row r="12" spans="1:16" s="58" customFormat="1" ht="7.5" customHeight="1">
      <c r="A12" s="53"/>
      <c r="B12" s="54"/>
      <c r="C12" s="55"/>
      <c r="D12" s="56"/>
      <c r="E12" s="56"/>
      <c r="F12" s="56"/>
      <c r="G12" s="57"/>
      <c r="H12" s="56"/>
      <c r="I12" s="56"/>
      <c r="J12" s="56"/>
      <c r="K12" s="56"/>
      <c r="L12" s="56"/>
      <c r="M12" s="56"/>
      <c r="N12" s="56"/>
      <c r="O12" s="56"/>
      <c r="P12" s="57"/>
    </row>
    <row r="13" spans="1:16" s="64" customFormat="1" ht="20.100000000000001" customHeight="1">
      <c r="A13" s="59"/>
      <c r="B13" s="60" t="s">
        <v>167</v>
      </c>
      <c r="C13" s="61">
        <f t="shared" ref="C13:O13" si="0">SUM(C15:C35)</f>
        <v>1106016697</v>
      </c>
      <c r="D13" s="61">
        <f t="shared" si="0"/>
        <v>855168749</v>
      </c>
      <c r="E13" s="61">
        <f t="shared" si="0"/>
        <v>19869798</v>
      </c>
      <c r="F13" s="62">
        <f t="shared" si="0"/>
        <v>81848694</v>
      </c>
      <c r="G13" s="61">
        <f t="shared" si="0"/>
        <v>54671252</v>
      </c>
      <c r="H13" s="63">
        <f t="shared" si="0"/>
        <v>27790483</v>
      </c>
      <c r="I13" s="61">
        <f t="shared" si="0"/>
        <v>958876</v>
      </c>
      <c r="J13" s="61">
        <f t="shared" si="0"/>
        <v>0</v>
      </c>
      <c r="K13" s="61">
        <f t="shared" si="0"/>
        <v>1116221</v>
      </c>
      <c r="L13" s="61">
        <f t="shared" si="0"/>
        <v>555</v>
      </c>
      <c r="M13" s="61">
        <f t="shared" si="0"/>
        <v>59890956</v>
      </c>
      <c r="N13" s="61">
        <f t="shared" si="0"/>
        <v>4701113</v>
      </c>
      <c r="O13" s="62">
        <f t="shared" si="0"/>
        <v>0</v>
      </c>
      <c r="P13" s="61">
        <f>SUM(P15:P35)</f>
        <v>0</v>
      </c>
    </row>
    <row r="14" spans="1:16" s="72" customFormat="1" ht="8.25" customHeight="1">
      <c r="A14" s="65"/>
      <c r="B14" s="66"/>
      <c r="C14" s="67"/>
      <c r="D14" s="68"/>
      <c r="E14" s="69"/>
      <c r="F14" s="69"/>
      <c r="G14" s="70"/>
      <c r="H14" s="69"/>
      <c r="I14" s="69"/>
      <c r="J14" s="71"/>
      <c r="K14" s="69"/>
      <c r="L14" s="69"/>
      <c r="M14" s="69"/>
      <c r="N14" s="69"/>
      <c r="O14" s="69"/>
      <c r="P14" s="70"/>
    </row>
    <row r="15" spans="1:16" s="80" customFormat="1" ht="21" customHeight="1">
      <c r="A15" s="73" t="s">
        <v>61</v>
      </c>
      <c r="B15" s="74" t="s">
        <v>168</v>
      </c>
      <c r="C15" s="75">
        <f>SUM(D15:P15)</f>
        <v>12864600</v>
      </c>
      <c r="D15" s="76">
        <v>0</v>
      </c>
      <c r="E15" s="76">
        <f>6080000+12600</f>
        <v>6092600</v>
      </c>
      <c r="F15" s="77">
        <v>0</v>
      </c>
      <c r="G15" s="76">
        <f>318000+3920000</f>
        <v>4238000</v>
      </c>
      <c r="H15" s="78">
        <f>182000+2240000</f>
        <v>2422000</v>
      </c>
      <c r="I15" s="76">
        <v>0</v>
      </c>
      <c r="J15" s="79">
        <v>0</v>
      </c>
      <c r="K15" s="77">
        <v>0</v>
      </c>
      <c r="L15" s="77">
        <v>0</v>
      </c>
      <c r="M15" s="76">
        <v>112000</v>
      </c>
      <c r="N15" s="76">
        <v>0</v>
      </c>
      <c r="O15" s="78">
        <v>0</v>
      </c>
      <c r="P15" s="76">
        <v>0</v>
      </c>
    </row>
    <row r="16" spans="1:16" s="80" customFormat="1" ht="21" customHeight="1">
      <c r="A16" s="73" t="s">
        <v>21</v>
      </c>
      <c r="B16" s="74" t="s">
        <v>22</v>
      </c>
      <c r="C16" s="81">
        <f t="shared" ref="C16:C35" si="1">SUM(D16:P16)</f>
        <v>348000</v>
      </c>
      <c r="D16" s="76">
        <v>0</v>
      </c>
      <c r="E16" s="76">
        <v>0</v>
      </c>
      <c r="F16" s="78">
        <v>0</v>
      </c>
      <c r="G16" s="76">
        <v>210000</v>
      </c>
      <c r="H16" s="78">
        <v>70000</v>
      </c>
      <c r="I16" s="76">
        <v>0</v>
      </c>
      <c r="J16" s="79">
        <v>0</v>
      </c>
      <c r="K16" s="77">
        <v>0</v>
      </c>
      <c r="L16" s="77">
        <v>0</v>
      </c>
      <c r="M16" s="76">
        <v>68000</v>
      </c>
      <c r="N16" s="76">
        <v>0</v>
      </c>
      <c r="O16" s="78">
        <v>0</v>
      </c>
      <c r="P16" s="76">
        <v>0</v>
      </c>
    </row>
    <row r="17" spans="1:16" s="80" customFormat="1" ht="21" customHeight="1">
      <c r="A17" s="73" t="s">
        <v>71</v>
      </c>
      <c r="B17" s="74" t="s">
        <v>72</v>
      </c>
      <c r="C17" s="81">
        <f t="shared" si="1"/>
        <v>225000</v>
      </c>
      <c r="D17" s="76">
        <v>0</v>
      </c>
      <c r="E17" s="76">
        <v>0</v>
      </c>
      <c r="F17" s="78">
        <v>0</v>
      </c>
      <c r="G17" s="76">
        <v>0</v>
      </c>
      <c r="H17" s="78">
        <v>0</v>
      </c>
      <c r="I17" s="76">
        <v>0</v>
      </c>
      <c r="J17" s="79">
        <v>0</v>
      </c>
      <c r="K17" s="76">
        <v>225000</v>
      </c>
      <c r="L17" s="76">
        <v>0</v>
      </c>
      <c r="M17" s="76">
        <v>0</v>
      </c>
      <c r="N17" s="76">
        <v>0</v>
      </c>
      <c r="O17" s="78">
        <v>0</v>
      </c>
      <c r="P17" s="76">
        <v>0</v>
      </c>
    </row>
    <row r="18" spans="1:16" s="40" customFormat="1" ht="21" customHeight="1">
      <c r="A18" s="82" t="s">
        <v>23</v>
      </c>
      <c r="B18" s="83" t="s">
        <v>24</v>
      </c>
      <c r="C18" s="81">
        <f t="shared" si="1"/>
        <v>45134501</v>
      </c>
      <c r="D18" s="84">
        <v>0</v>
      </c>
      <c r="E18" s="84">
        <f>2202775+1200+5000000+32000+280000+490000+50000+5000</f>
        <v>8060975</v>
      </c>
      <c r="F18" s="85">
        <v>0</v>
      </c>
      <c r="G18" s="84">
        <v>0</v>
      </c>
      <c r="H18" s="86">
        <v>0</v>
      </c>
      <c r="I18" s="84">
        <v>0</v>
      </c>
      <c r="J18" s="86">
        <v>0</v>
      </c>
      <c r="K18" s="84">
        <v>362526</v>
      </c>
      <c r="L18" s="84">
        <v>0</v>
      </c>
      <c r="M18" s="84">
        <f>36443000+268000</f>
        <v>36711000</v>
      </c>
      <c r="N18" s="84"/>
      <c r="O18" s="85">
        <v>0</v>
      </c>
      <c r="P18" s="84">
        <v>0</v>
      </c>
    </row>
    <row r="19" spans="1:16" s="40" customFormat="1" ht="21" customHeight="1">
      <c r="A19" s="82" t="s">
        <v>55</v>
      </c>
      <c r="B19" s="83" t="s">
        <v>56</v>
      </c>
      <c r="C19" s="81">
        <f t="shared" si="1"/>
        <v>718145</v>
      </c>
      <c r="D19" s="84">
        <v>0</v>
      </c>
      <c r="E19" s="84">
        <v>450</v>
      </c>
      <c r="F19" s="85">
        <v>0</v>
      </c>
      <c r="G19" s="84">
        <v>0</v>
      </c>
      <c r="H19" s="86">
        <v>0</v>
      </c>
      <c r="I19" s="84">
        <v>0</v>
      </c>
      <c r="J19" s="86">
        <v>0</v>
      </c>
      <c r="K19" s="86">
        <v>528695</v>
      </c>
      <c r="L19" s="84">
        <v>0</v>
      </c>
      <c r="M19" s="84">
        <v>189000</v>
      </c>
      <c r="N19" s="84">
        <v>0</v>
      </c>
      <c r="O19" s="85">
        <v>0</v>
      </c>
      <c r="P19" s="84">
        <v>0</v>
      </c>
    </row>
    <row r="20" spans="1:16" s="40" customFormat="1" ht="21" customHeight="1">
      <c r="A20" s="82" t="s">
        <v>25</v>
      </c>
      <c r="B20" s="83" t="s">
        <v>26</v>
      </c>
      <c r="C20" s="81">
        <f t="shared" si="1"/>
        <v>1000500</v>
      </c>
      <c r="D20" s="84">
        <v>0</v>
      </c>
      <c r="E20" s="84">
        <f>211500+104000+685000</f>
        <v>1000500</v>
      </c>
      <c r="F20" s="85">
        <v>0</v>
      </c>
      <c r="G20" s="84">
        <v>0</v>
      </c>
      <c r="H20" s="86">
        <v>0</v>
      </c>
      <c r="I20" s="84">
        <v>0</v>
      </c>
      <c r="J20" s="86">
        <v>0</v>
      </c>
      <c r="K20" s="84">
        <v>0</v>
      </c>
      <c r="L20" s="84">
        <v>0</v>
      </c>
      <c r="M20" s="84">
        <v>0</v>
      </c>
      <c r="N20" s="84">
        <v>0</v>
      </c>
      <c r="O20" s="85">
        <v>0</v>
      </c>
      <c r="P20" s="84">
        <v>0</v>
      </c>
    </row>
    <row r="21" spans="1:16" s="40" customFormat="1" ht="21" customHeight="1">
      <c r="A21" s="82" t="s">
        <v>27</v>
      </c>
      <c r="B21" s="83" t="s">
        <v>28</v>
      </c>
      <c r="C21" s="81">
        <f t="shared" si="1"/>
        <v>392400</v>
      </c>
      <c r="D21" s="84">
        <v>0</v>
      </c>
      <c r="E21" s="84">
        <f>2150+1250+20000</f>
        <v>23400</v>
      </c>
      <c r="F21" s="85">
        <v>0</v>
      </c>
      <c r="G21" s="84">
        <v>0</v>
      </c>
      <c r="H21" s="86">
        <v>0</v>
      </c>
      <c r="I21" s="84">
        <v>0</v>
      </c>
      <c r="J21" s="86">
        <v>0</v>
      </c>
      <c r="K21" s="84">
        <v>0</v>
      </c>
      <c r="L21" s="84">
        <v>0</v>
      </c>
      <c r="M21" s="84">
        <f>269000+100000</f>
        <v>369000</v>
      </c>
      <c r="N21" s="84">
        <v>0</v>
      </c>
      <c r="O21" s="85">
        <v>0</v>
      </c>
      <c r="P21" s="84">
        <v>0</v>
      </c>
    </row>
    <row r="22" spans="1:16" s="40" customFormat="1" ht="21" customHeight="1">
      <c r="A22" s="82" t="s">
        <v>85</v>
      </c>
      <c r="B22" s="83" t="s">
        <v>86</v>
      </c>
      <c r="C22" s="81">
        <f t="shared" si="1"/>
        <v>60990</v>
      </c>
      <c r="D22" s="84">
        <v>0</v>
      </c>
      <c r="E22" s="84">
        <v>0</v>
      </c>
      <c r="F22" s="85">
        <v>0</v>
      </c>
      <c r="G22" s="84">
        <v>0</v>
      </c>
      <c r="H22" s="86">
        <v>0</v>
      </c>
      <c r="I22" s="84">
        <v>60435</v>
      </c>
      <c r="J22" s="86">
        <v>0</v>
      </c>
      <c r="K22" s="85">
        <v>0</v>
      </c>
      <c r="L22" s="84">
        <v>555</v>
      </c>
      <c r="M22" s="84">
        <v>0</v>
      </c>
      <c r="N22" s="84">
        <v>0</v>
      </c>
      <c r="O22" s="85">
        <v>0</v>
      </c>
      <c r="P22" s="84"/>
    </row>
    <row r="23" spans="1:16" s="40" customFormat="1" ht="21" customHeight="1">
      <c r="A23" s="82" t="s">
        <v>29</v>
      </c>
      <c r="B23" s="83" t="s">
        <v>30</v>
      </c>
      <c r="C23" s="81">
        <f t="shared" si="1"/>
        <v>3156862</v>
      </c>
      <c r="D23" s="84">
        <v>0</v>
      </c>
      <c r="E23" s="84">
        <f>1000+45000+45000+10000+10000+30000+300</f>
        <v>141300</v>
      </c>
      <c r="F23" s="87">
        <v>71016</v>
      </c>
      <c r="G23" s="84">
        <f>391237+1099900</f>
        <v>1491137</v>
      </c>
      <c r="H23" s="86">
        <f>69042+198926</f>
        <v>267968</v>
      </c>
      <c r="I23" s="84">
        <v>898441</v>
      </c>
      <c r="J23" s="86">
        <v>0</v>
      </c>
      <c r="K23" s="84">
        <v>0</v>
      </c>
      <c r="L23" s="84">
        <v>0</v>
      </c>
      <c r="M23" s="84">
        <f>85000+202000</f>
        <v>287000</v>
      </c>
      <c r="N23" s="84">
        <v>0</v>
      </c>
      <c r="O23" s="85">
        <v>0</v>
      </c>
      <c r="P23" s="84">
        <v>0</v>
      </c>
    </row>
    <row r="24" spans="1:16" s="40" customFormat="1" ht="21" customHeight="1">
      <c r="A24" s="82" t="s">
        <v>31</v>
      </c>
      <c r="B24" s="83" t="s">
        <v>32</v>
      </c>
      <c r="C24" s="81">
        <f t="shared" si="1"/>
        <v>5000</v>
      </c>
      <c r="D24" s="84">
        <v>0</v>
      </c>
      <c r="E24" s="84">
        <v>0</v>
      </c>
      <c r="F24" s="87">
        <v>0</v>
      </c>
      <c r="G24" s="84">
        <v>0</v>
      </c>
      <c r="H24" s="86">
        <v>0</v>
      </c>
      <c r="I24" s="84">
        <v>0</v>
      </c>
      <c r="J24" s="86">
        <v>0</v>
      </c>
      <c r="K24" s="84">
        <v>0</v>
      </c>
      <c r="L24" s="84">
        <v>0</v>
      </c>
      <c r="M24" s="84">
        <v>5000</v>
      </c>
      <c r="N24" s="84">
        <v>0</v>
      </c>
      <c r="O24" s="85">
        <v>0</v>
      </c>
      <c r="P24" s="84">
        <v>0</v>
      </c>
    </row>
    <row r="25" spans="1:16" s="40" customFormat="1" ht="66.75" customHeight="1">
      <c r="A25" s="82" t="s">
        <v>169</v>
      </c>
      <c r="B25" s="83" t="s">
        <v>170</v>
      </c>
      <c r="C25" s="81">
        <f t="shared" si="1"/>
        <v>456487046</v>
      </c>
      <c r="D25" s="84">
        <f>455735946</f>
        <v>455735946</v>
      </c>
      <c r="E25" s="84">
        <f>751100</f>
        <v>751100</v>
      </c>
      <c r="F25" s="85">
        <v>0</v>
      </c>
      <c r="G25" s="84">
        <v>0</v>
      </c>
      <c r="H25" s="86">
        <v>0</v>
      </c>
      <c r="I25" s="84">
        <v>0</v>
      </c>
      <c r="J25" s="86">
        <v>0</v>
      </c>
      <c r="K25" s="84">
        <v>0</v>
      </c>
      <c r="L25" s="84">
        <v>0</v>
      </c>
      <c r="M25" s="84">
        <v>0</v>
      </c>
      <c r="N25" s="84">
        <v>0</v>
      </c>
      <c r="O25" s="85">
        <v>0</v>
      </c>
      <c r="P25" s="84">
        <v>0</v>
      </c>
    </row>
    <row r="26" spans="1:16" s="40" customFormat="1" ht="18.75" customHeight="1">
      <c r="A26" s="82" t="s">
        <v>99</v>
      </c>
      <c r="B26" s="83" t="s">
        <v>100</v>
      </c>
      <c r="C26" s="81">
        <f t="shared" si="1"/>
        <v>542430888</v>
      </c>
      <c r="D26" s="84">
        <f>64988100+186891199+20398510+127154994</f>
        <v>399432803</v>
      </c>
      <c r="E26" s="84">
        <v>0</v>
      </c>
      <c r="F26" s="85">
        <f>6309836+31349660+18048681+21233298</f>
        <v>76941475</v>
      </c>
      <c r="G26" s="84">
        <f>46007000</f>
        <v>46007000</v>
      </c>
      <c r="H26" s="86">
        <f>314575+1902177+15545858+2287000</f>
        <v>20049610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7">
        <v>0</v>
      </c>
      <c r="P26" s="84">
        <v>0</v>
      </c>
    </row>
    <row r="27" spans="1:16" s="40" customFormat="1" ht="18.75" customHeight="1">
      <c r="A27" s="82" t="s">
        <v>33</v>
      </c>
      <c r="B27" s="83" t="s">
        <v>34</v>
      </c>
      <c r="C27" s="81">
        <f t="shared" si="1"/>
        <v>2067110</v>
      </c>
      <c r="D27" s="84">
        <v>0</v>
      </c>
      <c r="E27" s="84">
        <f>5900+1170+300+800+580000+600+2040+1300</f>
        <v>592110</v>
      </c>
      <c r="F27" s="85">
        <v>0</v>
      </c>
      <c r="G27" s="84">
        <v>0</v>
      </c>
      <c r="H27" s="86">
        <v>0</v>
      </c>
      <c r="I27" s="84">
        <v>0</v>
      </c>
      <c r="J27" s="86">
        <v>0</v>
      </c>
      <c r="K27" s="84">
        <v>0</v>
      </c>
      <c r="L27" s="84">
        <v>0</v>
      </c>
      <c r="M27" s="84">
        <v>625000</v>
      </c>
      <c r="N27" s="84">
        <f>120000+730000</f>
        <v>850000</v>
      </c>
      <c r="O27" s="85">
        <v>0</v>
      </c>
      <c r="P27" s="84">
        <v>0</v>
      </c>
    </row>
    <row r="28" spans="1:16" s="40" customFormat="1" ht="18.75" customHeight="1">
      <c r="A28" s="82" t="s">
        <v>35</v>
      </c>
      <c r="B28" s="83" t="s">
        <v>36</v>
      </c>
      <c r="C28" s="81">
        <f t="shared" si="1"/>
        <v>15304956</v>
      </c>
      <c r="D28" s="84">
        <v>0</v>
      </c>
      <c r="E28" s="84">
        <v>0</v>
      </c>
      <c r="F28" s="84">
        <v>0</v>
      </c>
      <c r="G28" s="84">
        <v>0</v>
      </c>
      <c r="H28" s="86">
        <v>0</v>
      </c>
      <c r="I28" s="84">
        <v>0</v>
      </c>
      <c r="J28" s="86">
        <v>0</v>
      </c>
      <c r="K28" s="84">
        <v>0</v>
      </c>
      <c r="L28" s="84">
        <v>0</v>
      </c>
      <c r="M28" s="84">
        <v>15304956</v>
      </c>
      <c r="N28" s="84">
        <v>0</v>
      </c>
      <c r="O28" s="85">
        <v>0</v>
      </c>
      <c r="P28" s="84">
        <v>0</v>
      </c>
    </row>
    <row r="29" spans="1:16" s="40" customFormat="1" ht="18.75" customHeight="1">
      <c r="A29" s="82" t="s">
        <v>146</v>
      </c>
      <c r="B29" s="83" t="s">
        <v>117</v>
      </c>
      <c r="C29" s="81">
        <f t="shared" si="1"/>
        <v>5918108</v>
      </c>
      <c r="D29" s="84">
        <v>0</v>
      </c>
      <c r="E29" s="84">
        <v>4000</v>
      </c>
      <c r="F29" s="87">
        <f>3678142+1158061</f>
        <v>4836203</v>
      </c>
      <c r="G29" s="84">
        <v>0</v>
      </c>
      <c r="H29" s="86">
        <f>686051+213854</f>
        <v>899905</v>
      </c>
      <c r="I29" s="84">
        <v>0</v>
      </c>
      <c r="J29" s="86">
        <v>0</v>
      </c>
      <c r="K29" s="84">
        <v>0</v>
      </c>
      <c r="L29" s="84">
        <v>0</v>
      </c>
      <c r="M29" s="84">
        <v>100000</v>
      </c>
      <c r="N29" s="84">
        <v>78000</v>
      </c>
      <c r="O29" s="85">
        <v>0</v>
      </c>
      <c r="P29" s="84">
        <v>0</v>
      </c>
    </row>
    <row r="30" spans="1:16" s="40" customFormat="1" ht="29.25" customHeight="1">
      <c r="A30" s="82" t="s">
        <v>37</v>
      </c>
      <c r="B30" s="83" t="s">
        <v>171</v>
      </c>
      <c r="C30" s="81">
        <f t="shared" si="1"/>
        <v>8610115</v>
      </c>
      <c r="D30" s="84">
        <v>0</v>
      </c>
      <c r="E30" s="84">
        <f>375000+1398000+30000</f>
        <v>1803000</v>
      </c>
      <c r="F30" s="87">
        <v>0</v>
      </c>
      <c r="G30" s="84">
        <v>2725115</v>
      </c>
      <c r="H30" s="86">
        <f>4081000</f>
        <v>4081000</v>
      </c>
      <c r="I30" s="84">
        <v>0</v>
      </c>
      <c r="J30" s="86">
        <v>0</v>
      </c>
      <c r="K30" s="84">
        <v>0</v>
      </c>
      <c r="L30" s="84">
        <v>0</v>
      </c>
      <c r="M30" s="84">
        <v>1000</v>
      </c>
      <c r="N30" s="84">
        <v>0</v>
      </c>
      <c r="O30" s="85">
        <v>0</v>
      </c>
      <c r="P30" s="84">
        <v>0</v>
      </c>
    </row>
    <row r="31" spans="1:16" s="40" customFormat="1" ht="20.25" customHeight="1">
      <c r="A31" s="82" t="s">
        <v>7</v>
      </c>
      <c r="B31" s="83" t="s">
        <v>8</v>
      </c>
      <c r="C31" s="81">
        <f t="shared" si="1"/>
        <v>4230</v>
      </c>
      <c r="D31" s="84">
        <v>0</v>
      </c>
      <c r="E31" s="84">
        <v>4230</v>
      </c>
      <c r="F31" s="87">
        <v>0</v>
      </c>
      <c r="G31" s="84">
        <v>0</v>
      </c>
      <c r="H31" s="85">
        <v>0</v>
      </c>
      <c r="I31" s="84">
        <v>0</v>
      </c>
      <c r="J31" s="86">
        <v>0</v>
      </c>
      <c r="K31" s="87">
        <v>0</v>
      </c>
      <c r="L31" s="87">
        <v>0</v>
      </c>
      <c r="M31" s="84">
        <v>0</v>
      </c>
      <c r="N31" s="84">
        <v>0</v>
      </c>
      <c r="O31" s="85">
        <v>0</v>
      </c>
      <c r="P31" s="84">
        <v>0</v>
      </c>
    </row>
    <row r="32" spans="1:16" s="40" customFormat="1" ht="20.25" customHeight="1">
      <c r="A32" s="82" t="s">
        <v>52</v>
      </c>
      <c r="B32" s="83" t="s">
        <v>53</v>
      </c>
      <c r="C32" s="81">
        <f t="shared" si="1"/>
        <v>3137000</v>
      </c>
      <c r="D32" s="84">
        <v>0</v>
      </c>
      <c r="E32" s="84">
        <v>0</v>
      </c>
      <c r="F32" s="87">
        <v>0</v>
      </c>
      <c r="G32" s="84">
        <v>0</v>
      </c>
      <c r="H32" s="85">
        <v>0</v>
      </c>
      <c r="I32" s="84">
        <v>0</v>
      </c>
      <c r="J32" s="86">
        <v>0</v>
      </c>
      <c r="K32" s="87">
        <v>0</v>
      </c>
      <c r="L32" s="87">
        <v>0</v>
      </c>
      <c r="M32" s="84">
        <v>3137000</v>
      </c>
      <c r="N32" s="84">
        <v>0</v>
      </c>
      <c r="O32" s="85">
        <v>0</v>
      </c>
      <c r="P32" s="84">
        <v>0</v>
      </c>
    </row>
    <row r="33" spans="1:16" s="40" customFormat="1" ht="29.25" customHeight="1">
      <c r="A33" s="82" t="s">
        <v>38</v>
      </c>
      <c r="B33" s="83" t="s">
        <v>39</v>
      </c>
      <c r="C33" s="81">
        <f t="shared" si="1"/>
        <v>2092133</v>
      </c>
      <c r="D33" s="84">
        <v>0</v>
      </c>
      <c r="E33" s="84">
        <f>910000+24248+3510+120300+232075</f>
        <v>1290133</v>
      </c>
      <c r="F33" s="87">
        <v>0</v>
      </c>
      <c r="G33" s="84">
        <v>0</v>
      </c>
      <c r="H33" s="85">
        <v>0</v>
      </c>
      <c r="I33" s="84">
        <v>0</v>
      </c>
      <c r="J33" s="86">
        <v>0</v>
      </c>
      <c r="K33" s="84">
        <v>0</v>
      </c>
      <c r="L33" s="84">
        <v>0</v>
      </c>
      <c r="M33" s="84">
        <f>2000+137000+59000+604000</f>
        <v>802000</v>
      </c>
      <c r="N33" s="84">
        <v>0</v>
      </c>
      <c r="O33" s="85">
        <v>0</v>
      </c>
      <c r="P33" s="84">
        <v>0</v>
      </c>
    </row>
    <row r="34" spans="1:16" s="40" customFormat="1" ht="29.25" customHeight="1">
      <c r="A34" s="82" t="s">
        <v>40</v>
      </c>
      <c r="B34" s="83" t="s">
        <v>41</v>
      </c>
      <c r="C34" s="81">
        <f t="shared" si="1"/>
        <v>3773113</v>
      </c>
      <c r="D34" s="84">
        <v>0</v>
      </c>
      <c r="E34" s="84">
        <v>0</v>
      </c>
      <c r="F34" s="87">
        <v>0</v>
      </c>
      <c r="G34" s="84">
        <v>0</v>
      </c>
      <c r="H34" s="85">
        <v>0</v>
      </c>
      <c r="I34" s="84">
        <v>0</v>
      </c>
      <c r="J34" s="86">
        <v>0</v>
      </c>
      <c r="K34" s="84">
        <v>0</v>
      </c>
      <c r="L34" s="84">
        <v>0</v>
      </c>
      <c r="M34" s="84">
        <v>0</v>
      </c>
      <c r="N34" s="84">
        <f>73113+3700000</f>
        <v>3773113</v>
      </c>
      <c r="O34" s="85">
        <v>0</v>
      </c>
      <c r="P34" s="84">
        <v>0</v>
      </c>
    </row>
    <row r="35" spans="1:16" s="40" customFormat="1" ht="42.75" customHeight="1">
      <c r="A35" s="88" t="s">
        <v>172</v>
      </c>
      <c r="B35" s="89" t="s">
        <v>141</v>
      </c>
      <c r="C35" s="81">
        <f t="shared" si="1"/>
        <v>2286000</v>
      </c>
      <c r="D35" s="84">
        <v>0</v>
      </c>
      <c r="E35" s="84">
        <v>106000</v>
      </c>
      <c r="F35" s="87">
        <v>0</v>
      </c>
      <c r="G35" s="84">
        <v>0</v>
      </c>
      <c r="H35" s="86">
        <v>0</v>
      </c>
      <c r="I35" s="84">
        <v>0</v>
      </c>
      <c r="J35" s="84">
        <v>0</v>
      </c>
      <c r="K35" s="84">
        <v>0</v>
      </c>
      <c r="L35" s="84">
        <v>0</v>
      </c>
      <c r="M35" s="84">
        <v>2180000</v>
      </c>
      <c r="N35" s="84"/>
      <c r="O35" s="87">
        <v>0</v>
      </c>
      <c r="P35" s="84">
        <v>0</v>
      </c>
    </row>
    <row r="36" spans="1:16" s="72" customFormat="1" ht="6" customHeight="1">
      <c r="A36" s="90"/>
      <c r="B36" s="91"/>
      <c r="C36" s="92"/>
      <c r="D36" s="93"/>
      <c r="E36" s="94"/>
      <c r="F36" s="94"/>
      <c r="G36" s="95"/>
      <c r="H36" s="94"/>
      <c r="I36" s="94"/>
      <c r="J36" s="96"/>
      <c r="K36" s="94"/>
      <c r="L36" s="94"/>
      <c r="M36" s="94"/>
      <c r="N36" s="94"/>
      <c r="O36" s="94"/>
      <c r="P36" s="95"/>
    </row>
    <row r="37" spans="1:16" s="64" customFormat="1" ht="20.100000000000001" customHeight="1">
      <c r="A37" s="97"/>
      <c r="B37" s="98" t="s">
        <v>173</v>
      </c>
      <c r="C37" s="99">
        <f t="shared" ref="C37:P37" si="2">SUM(C39:C45)</f>
        <v>415213132</v>
      </c>
      <c r="D37" s="99">
        <f t="shared" si="2"/>
        <v>0</v>
      </c>
      <c r="E37" s="99">
        <f t="shared" si="2"/>
        <v>469500</v>
      </c>
      <c r="F37" s="99">
        <f t="shared" si="2"/>
        <v>290214407</v>
      </c>
      <c r="G37" s="99">
        <f t="shared" si="2"/>
        <v>10139000</v>
      </c>
      <c r="H37" s="99">
        <f t="shared" si="2"/>
        <v>51714095</v>
      </c>
      <c r="I37" s="99">
        <f t="shared" si="2"/>
        <v>3543022</v>
      </c>
      <c r="J37" s="99">
        <f t="shared" si="2"/>
        <v>0</v>
      </c>
      <c r="K37" s="99">
        <f t="shared" si="2"/>
        <v>0</v>
      </c>
      <c r="L37" s="99">
        <f t="shared" si="2"/>
        <v>37500</v>
      </c>
      <c r="M37" s="99">
        <f t="shared" si="2"/>
        <v>0</v>
      </c>
      <c r="N37" s="99">
        <f t="shared" si="2"/>
        <v>17204066</v>
      </c>
      <c r="O37" s="99">
        <f t="shared" si="2"/>
        <v>41891542</v>
      </c>
      <c r="P37" s="99">
        <f t="shared" si="2"/>
        <v>0</v>
      </c>
    </row>
    <row r="38" spans="1:16" s="72" customFormat="1" ht="6.75" customHeight="1">
      <c r="A38" s="210"/>
      <c r="B38" s="211"/>
      <c r="C38" s="212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5"/>
    </row>
    <row r="39" spans="1:16" s="80" customFormat="1" ht="21" customHeight="1">
      <c r="A39" s="73" t="s">
        <v>61</v>
      </c>
      <c r="B39" s="74" t="s">
        <v>168</v>
      </c>
      <c r="C39" s="75">
        <f>SUM(D39:P39)</f>
        <v>50000</v>
      </c>
      <c r="D39" s="76">
        <v>0</v>
      </c>
      <c r="E39" s="76">
        <v>0</v>
      </c>
      <c r="F39" s="77">
        <v>0</v>
      </c>
      <c r="G39" s="76">
        <v>32000</v>
      </c>
      <c r="H39" s="78">
        <v>18000</v>
      </c>
      <c r="I39" s="76">
        <v>0</v>
      </c>
      <c r="J39" s="79">
        <v>0</v>
      </c>
      <c r="K39" s="77">
        <v>0</v>
      </c>
      <c r="L39" s="77">
        <v>0</v>
      </c>
      <c r="M39" s="76">
        <v>0</v>
      </c>
      <c r="N39" s="76">
        <v>0</v>
      </c>
      <c r="O39" s="78">
        <v>0</v>
      </c>
      <c r="P39" s="76">
        <v>0</v>
      </c>
    </row>
    <row r="40" spans="1:16" s="40" customFormat="1" ht="21" customHeight="1">
      <c r="A40" s="82" t="s">
        <v>23</v>
      </c>
      <c r="B40" s="83" t="s">
        <v>24</v>
      </c>
      <c r="C40" s="81">
        <f t="shared" ref="C40:C45" si="3">SUM(D40:P40)</f>
        <v>49301254</v>
      </c>
      <c r="D40" s="84">
        <v>0</v>
      </c>
      <c r="E40" s="84">
        <v>60000</v>
      </c>
      <c r="F40" s="87">
        <v>0</v>
      </c>
      <c r="G40" s="84">
        <v>0</v>
      </c>
      <c r="H40" s="85">
        <v>0</v>
      </c>
      <c r="I40" s="84">
        <f>1405608+1780006+357408</f>
        <v>3543022</v>
      </c>
      <c r="J40" s="85">
        <v>0</v>
      </c>
      <c r="K40" s="87">
        <v>0</v>
      </c>
      <c r="L40" s="87">
        <v>0</v>
      </c>
      <c r="M40" s="84">
        <v>0</v>
      </c>
      <c r="N40" s="84">
        <f>2119190+1125000+562500</f>
        <v>3806690</v>
      </c>
      <c r="O40" s="85">
        <v>41891542</v>
      </c>
      <c r="P40" s="84">
        <v>0</v>
      </c>
    </row>
    <row r="41" spans="1:16" s="40" customFormat="1" ht="21" customHeight="1">
      <c r="A41" s="82" t="s">
        <v>25</v>
      </c>
      <c r="B41" s="83" t="s">
        <v>26</v>
      </c>
      <c r="C41" s="81">
        <f t="shared" si="3"/>
        <v>409500</v>
      </c>
      <c r="D41" s="84">
        <v>0</v>
      </c>
      <c r="E41" s="84">
        <f>9500+400000</f>
        <v>409500</v>
      </c>
      <c r="F41" s="87">
        <v>0</v>
      </c>
      <c r="G41" s="84">
        <v>0</v>
      </c>
      <c r="H41" s="86">
        <v>0</v>
      </c>
      <c r="I41" s="84">
        <v>0</v>
      </c>
      <c r="J41" s="86">
        <v>0</v>
      </c>
      <c r="K41" s="84">
        <v>0</v>
      </c>
      <c r="L41" s="84">
        <v>0</v>
      </c>
      <c r="M41" s="84">
        <v>0</v>
      </c>
      <c r="N41" s="84">
        <v>0</v>
      </c>
      <c r="O41" s="85">
        <v>0</v>
      </c>
      <c r="P41" s="84">
        <v>0</v>
      </c>
    </row>
    <row r="42" spans="1:16" s="40" customFormat="1" ht="21" customHeight="1">
      <c r="A42" s="82" t="s">
        <v>85</v>
      </c>
      <c r="B42" s="83" t="s">
        <v>86</v>
      </c>
      <c r="C42" s="81">
        <f t="shared" si="3"/>
        <v>37500</v>
      </c>
      <c r="D42" s="84">
        <v>0</v>
      </c>
      <c r="E42" s="84">
        <v>0</v>
      </c>
      <c r="F42" s="85">
        <v>0</v>
      </c>
      <c r="G42" s="84">
        <v>0</v>
      </c>
      <c r="H42" s="86">
        <v>0</v>
      </c>
      <c r="I42" s="84">
        <v>0</v>
      </c>
      <c r="J42" s="86">
        <v>0</v>
      </c>
      <c r="K42" s="85">
        <v>0</v>
      </c>
      <c r="L42" s="84">
        <f>33000+4500</f>
        <v>37500</v>
      </c>
      <c r="M42" s="84">
        <v>0</v>
      </c>
      <c r="N42" s="84">
        <v>0</v>
      </c>
      <c r="O42" s="85">
        <v>0</v>
      </c>
      <c r="P42" s="84">
        <v>0</v>
      </c>
    </row>
    <row r="43" spans="1:16" s="40" customFormat="1" ht="21" customHeight="1">
      <c r="A43" s="82" t="s">
        <v>99</v>
      </c>
      <c r="B43" s="83" t="s">
        <v>100</v>
      </c>
      <c r="C43" s="81">
        <f t="shared" si="3"/>
        <v>352017502</v>
      </c>
      <c r="D43" s="84">
        <v>0</v>
      </c>
      <c r="E43" s="84">
        <v>0</v>
      </c>
      <c r="F43" s="85">
        <f>54442680+235771727</f>
        <v>290214407</v>
      </c>
      <c r="G43" s="84">
        <v>10107000</v>
      </c>
      <c r="H43" s="86">
        <f>40369362+10996733+330000</f>
        <v>51696095</v>
      </c>
      <c r="I43" s="84">
        <v>0</v>
      </c>
      <c r="J43" s="86">
        <v>0</v>
      </c>
      <c r="K43" s="87">
        <v>0</v>
      </c>
      <c r="L43" s="87">
        <v>0</v>
      </c>
      <c r="M43" s="84">
        <v>0</v>
      </c>
      <c r="N43" s="84">
        <v>0</v>
      </c>
      <c r="O43" s="87">
        <v>0</v>
      </c>
      <c r="P43" s="84">
        <v>0</v>
      </c>
    </row>
    <row r="44" spans="1:16" s="40" customFormat="1" ht="30" customHeight="1">
      <c r="A44" s="82" t="s">
        <v>40</v>
      </c>
      <c r="B44" s="83" t="s">
        <v>41</v>
      </c>
      <c r="C44" s="81">
        <f t="shared" si="3"/>
        <v>13397376</v>
      </c>
      <c r="D44" s="84">
        <v>0</v>
      </c>
      <c r="E44" s="84">
        <v>0</v>
      </c>
      <c r="F44" s="87">
        <v>0</v>
      </c>
      <c r="G44" s="84">
        <v>0</v>
      </c>
      <c r="H44" s="85">
        <v>0</v>
      </c>
      <c r="I44" s="84">
        <v>0</v>
      </c>
      <c r="J44" s="86">
        <v>0</v>
      </c>
      <c r="K44" s="87">
        <v>0</v>
      </c>
      <c r="L44" s="87">
        <v>0</v>
      </c>
      <c r="M44" s="84">
        <v>0</v>
      </c>
      <c r="N44" s="84">
        <v>13397376</v>
      </c>
      <c r="O44" s="85">
        <v>0</v>
      </c>
      <c r="P44" s="84">
        <v>0</v>
      </c>
    </row>
    <row r="45" spans="1:16" s="40" customFormat="1" ht="59.25" hidden="1" customHeight="1">
      <c r="A45" s="100" t="s">
        <v>172</v>
      </c>
      <c r="B45" s="101" t="s">
        <v>141</v>
      </c>
      <c r="C45" s="102">
        <f t="shared" si="3"/>
        <v>0</v>
      </c>
      <c r="D45" s="103">
        <v>0</v>
      </c>
      <c r="E45" s="103">
        <v>0</v>
      </c>
      <c r="F45" s="104">
        <v>0</v>
      </c>
      <c r="G45" s="103">
        <v>0</v>
      </c>
      <c r="H45" s="105">
        <v>0</v>
      </c>
      <c r="I45" s="106">
        <v>0</v>
      </c>
      <c r="J45" s="107">
        <v>0</v>
      </c>
      <c r="K45" s="104">
        <v>0</v>
      </c>
      <c r="L45" s="104">
        <v>0</v>
      </c>
      <c r="M45" s="103">
        <v>0</v>
      </c>
      <c r="N45" s="103">
        <v>0</v>
      </c>
      <c r="O45" s="105">
        <v>0</v>
      </c>
      <c r="P45" s="103">
        <v>0</v>
      </c>
    </row>
    <row r="46" spans="1:16" s="111" customFormat="1" ht="29.25" customHeight="1">
      <c r="A46" s="920" t="s">
        <v>174</v>
      </c>
      <c r="B46" s="921"/>
      <c r="C46" s="108">
        <f t="shared" ref="C46:P46" si="4">C13+C37</f>
        <v>1521229829</v>
      </c>
      <c r="D46" s="108">
        <f t="shared" si="4"/>
        <v>855168749</v>
      </c>
      <c r="E46" s="108">
        <f t="shared" si="4"/>
        <v>20339298</v>
      </c>
      <c r="F46" s="109">
        <f t="shared" si="4"/>
        <v>372063101</v>
      </c>
      <c r="G46" s="108">
        <f t="shared" si="4"/>
        <v>64810252</v>
      </c>
      <c r="H46" s="110">
        <f t="shared" si="4"/>
        <v>79504578</v>
      </c>
      <c r="I46" s="108">
        <f t="shared" si="4"/>
        <v>4501898</v>
      </c>
      <c r="J46" s="108">
        <f t="shared" si="4"/>
        <v>0</v>
      </c>
      <c r="K46" s="108">
        <f t="shared" si="4"/>
        <v>1116221</v>
      </c>
      <c r="L46" s="108">
        <f t="shared" si="4"/>
        <v>38055</v>
      </c>
      <c r="M46" s="108">
        <f t="shared" si="4"/>
        <v>59890956</v>
      </c>
      <c r="N46" s="108">
        <f t="shared" si="4"/>
        <v>21905179</v>
      </c>
      <c r="O46" s="109">
        <f t="shared" si="4"/>
        <v>41891542</v>
      </c>
      <c r="P46" s="108">
        <f t="shared" si="4"/>
        <v>0</v>
      </c>
    </row>
    <row r="47" spans="1:16" hidden="1"/>
    <row r="48" spans="1:16" s="208" customFormat="1" hidden="1">
      <c r="A48" s="209"/>
      <c r="B48" s="72"/>
      <c r="C48" s="114">
        <v>1521229829</v>
      </c>
      <c r="D48" s="208">
        <f>455735946+399432803</f>
        <v>855168749</v>
      </c>
      <c r="E48" s="208">
        <v>20339298</v>
      </c>
      <c r="F48" s="208">
        <v>436873353</v>
      </c>
      <c r="H48" s="208">
        <v>79504578</v>
      </c>
      <c r="I48" s="208">
        <v>4501898</v>
      </c>
      <c r="J48" s="208">
        <v>0</v>
      </c>
      <c r="K48" s="208">
        <v>1116221</v>
      </c>
      <c r="L48" s="208">
        <v>38055</v>
      </c>
      <c r="M48" s="208">
        <v>59890956</v>
      </c>
      <c r="N48" s="208">
        <v>21905179</v>
      </c>
      <c r="O48" s="208">
        <v>41891542</v>
      </c>
    </row>
    <row r="49" spans="1:15" s="208" customFormat="1" hidden="1">
      <c r="A49" s="209"/>
      <c r="B49" s="72"/>
      <c r="C49" s="208">
        <f t="shared" ref="C49:N49" si="5">C48-C46</f>
        <v>0</v>
      </c>
      <c r="D49" s="208">
        <f t="shared" si="5"/>
        <v>0</v>
      </c>
      <c r="E49" s="208">
        <f t="shared" si="5"/>
        <v>0</v>
      </c>
      <c r="F49" s="208">
        <f>F46+G46-F48</f>
        <v>0</v>
      </c>
      <c r="H49" s="208">
        <f t="shared" si="5"/>
        <v>0</v>
      </c>
      <c r="I49" s="208">
        <f t="shared" si="5"/>
        <v>0</v>
      </c>
      <c r="J49" s="208">
        <f t="shared" si="5"/>
        <v>0</v>
      </c>
      <c r="K49" s="208">
        <f t="shared" si="5"/>
        <v>0</v>
      </c>
      <c r="L49" s="208">
        <f t="shared" si="5"/>
        <v>0</v>
      </c>
      <c r="M49" s="208">
        <f t="shared" si="5"/>
        <v>0</v>
      </c>
      <c r="N49" s="208">
        <f t="shared" si="5"/>
        <v>0</v>
      </c>
      <c r="O49" s="208">
        <f>O48-O46</f>
        <v>0</v>
      </c>
    </row>
    <row r="50" spans="1:15" hidden="1"/>
    <row r="51" spans="1:15" hidden="1"/>
    <row r="52" spans="1:15" hidden="1">
      <c r="B52" s="113" t="s">
        <v>61</v>
      </c>
      <c r="C52" s="114">
        <f>C15+C39</f>
        <v>12914600</v>
      </c>
      <c r="D52" s="208">
        <v>12914600</v>
      </c>
      <c r="E52" s="208">
        <f>D52-C52</f>
        <v>0</v>
      </c>
      <c r="F52" s="208"/>
      <c r="G52" s="208"/>
      <c r="H52" s="208"/>
      <c r="I52" s="208"/>
    </row>
    <row r="53" spans="1:15" hidden="1">
      <c r="B53" s="113" t="s">
        <v>21</v>
      </c>
      <c r="C53" s="114">
        <f>C16</f>
        <v>348000</v>
      </c>
      <c r="D53" s="208">
        <v>348000</v>
      </c>
      <c r="E53" s="208">
        <f t="shared" ref="E53:E73" si="6">D53-C53</f>
        <v>0</v>
      </c>
      <c r="F53" s="208"/>
      <c r="G53" s="208"/>
      <c r="H53" s="208"/>
      <c r="I53" s="208"/>
    </row>
    <row r="54" spans="1:15" hidden="1">
      <c r="B54" s="113" t="s">
        <v>71</v>
      </c>
      <c r="C54" s="114">
        <f>C17</f>
        <v>225000</v>
      </c>
      <c r="D54" s="208">
        <v>225000</v>
      </c>
      <c r="E54" s="208">
        <f t="shared" si="6"/>
        <v>0</v>
      </c>
      <c r="F54" s="208"/>
      <c r="G54" s="208"/>
      <c r="H54" s="208"/>
      <c r="I54" s="208"/>
    </row>
    <row r="55" spans="1:15" hidden="1">
      <c r="B55" s="113" t="s">
        <v>23</v>
      </c>
      <c r="C55" s="114">
        <f>C40+C18</f>
        <v>94435755</v>
      </c>
      <c r="D55" s="208">
        <v>94435755</v>
      </c>
      <c r="E55" s="208">
        <f t="shared" si="6"/>
        <v>0</v>
      </c>
      <c r="F55" s="208"/>
      <c r="G55" s="208"/>
      <c r="H55" s="208"/>
      <c r="I55" s="208"/>
    </row>
    <row r="56" spans="1:15" hidden="1">
      <c r="B56" s="113" t="s">
        <v>55</v>
      </c>
      <c r="C56" s="114">
        <f>C19</f>
        <v>718145</v>
      </c>
      <c r="D56" s="208">
        <v>718145</v>
      </c>
      <c r="E56" s="208">
        <f t="shared" si="6"/>
        <v>0</v>
      </c>
      <c r="F56" s="208"/>
      <c r="G56" s="208"/>
      <c r="H56" s="208"/>
      <c r="I56" s="208"/>
    </row>
    <row r="57" spans="1:15" hidden="1">
      <c r="B57" s="113" t="s">
        <v>25</v>
      </c>
      <c r="C57" s="114">
        <f>C41+C20</f>
        <v>1410000</v>
      </c>
      <c r="D57" s="208">
        <v>1410000</v>
      </c>
      <c r="E57" s="208">
        <f t="shared" si="6"/>
        <v>0</v>
      </c>
      <c r="F57" s="208"/>
      <c r="G57" s="208"/>
      <c r="H57" s="208"/>
      <c r="I57" s="208"/>
    </row>
    <row r="58" spans="1:15" hidden="1">
      <c r="B58" s="113" t="s">
        <v>27</v>
      </c>
      <c r="C58" s="114">
        <f>C21</f>
        <v>392400</v>
      </c>
      <c r="D58" s="208">
        <v>392400</v>
      </c>
      <c r="E58" s="208">
        <f t="shared" si="6"/>
        <v>0</v>
      </c>
      <c r="F58" s="208"/>
      <c r="G58" s="208"/>
      <c r="H58" s="208"/>
      <c r="I58" s="208"/>
    </row>
    <row r="59" spans="1:15" hidden="1">
      <c r="B59" s="113" t="s">
        <v>85</v>
      </c>
      <c r="C59" s="114">
        <f>C42+C22</f>
        <v>98490</v>
      </c>
      <c r="D59" s="208">
        <v>98490</v>
      </c>
      <c r="E59" s="208">
        <f t="shared" si="6"/>
        <v>0</v>
      </c>
      <c r="F59" s="208"/>
      <c r="G59" s="208"/>
      <c r="H59" s="208"/>
      <c r="I59" s="208"/>
    </row>
    <row r="60" spans="1:15" hidden="1">
      <c r="B60" s="113" t="s">
        <v>29</v>
      </c>
      <c r="C60" s="114">
        <f>C23</f>
        <v>3156862</v>
      </c>
      <c r="D60" s="208">
        <v>3156862</v>
      </c>
      <c r="E60" s="208">
        <f t="shared" si="6"/>
        <v>0</v>
      </c>
      <c r="F60" s="208"/>
      <c r="G60" s="208"/>
      <c r="H60" s="208"/>
      <c r="I60" s="208"/>
    </row>
    <row r="61" spans="1:15" hidden="1">
      <c r="B61" s="113" t="s">
        <v>31</v>
      </c>
      <c r="C61" s="114">
        <f>C24</f>
        <v>5000</v>
      </c>
      <c r="D61" s="208">
        <v>5000</v>
      </c>
      <c r="E61" s="208">
        <f t="shared" si="6"/>
        <v>0</v>
      </c>
      <c r="F61" s="208"/>
      <c r="G61" s="208"/>
      <c r="H61" s="208"/>
      <c r="I61" s="208"/>
    </row>
    <row r="62" spans="1:15" hidden="1">
      <c r="B62" s="113" t="s">
        <v>169</v>
      </c>
      <c r="C62" s="114">
        <f>C25</f>
        <v>456487046</v>
      </c>
      <c r="D62" s="208">
        <v>456487046</v>
      </c>
      <c r="E62" s="208">
        <f t="shared" si="6"/>
        <v>0</v>
      </c>
      <c r="F62" s="208"/>
      <c r="G62" s="208"/>
      <c r="H62" s="208"/>
      <c r="I62" s="208"/>
    </row>
    <row r="63" spans="1:15" hidden="1">
      <c r="B63" s="113" t="s">
        <v>99</v>
      </c>
      <c r="C63" s="114">
        <f>C43+C26</f>
        <v>894448390</v>
      </c>
      <c r="D63" s="208">
        <v>894448390</v>
      </c>
      <c r="E63" s="208">
        <f t="shared" si="6"/>
        <v>0</v>
      </c>
      <c r="F63" s="208"/>
      <c r="G63" s="208"/>
      <c r="H63" s="208"/>
      <c r="I63" s="208"/>
    </row>
    <row r="64" spans="1:15" hidden="1">
      <c r="B64" s="113" t="s">
        <v>33</v>
      </c>
      <c r="C64" s="114">
        <f t="shared" ref="C64:C70" si="7">C27</f>
        <v>2067110</v>
      </c>
      <c r="D64" s="208">
        <v>2067110</v>
      </c>
      <c r="E64" s="208">
        <f t="shared" si="6"/>
        <v>0</v>
      </c>
      <c r="F64" s="208"/>
      <c r="G64" s="208"/>
      <c r="H64" s="208"/>
      <c r="I64" s="208"/>
    </row>
    <row r="65" spans="2:9" hidden="1">
      <c r="B65" s="113" t="s">
        <v>35</v>
      </c>
      <c r="C65" s="114">
        <f t="shared" si="7"/>
        <v>15304956</v>
      </c>
      <c r="D65" s="208">
        <v>15304956</v>
      </c>
      <c r="E65" s="208">
        <f t="shared" si="6"/>
        <v>0</v>
      </c>
      <c r="F65" s="208"/>
      <c r="G65" s="208"/>
      <c r="H65" s="208"/>
      <c r="I65" s="208"/>
    </row>
    <row r="66" spans="2:9" hidden="1">
      <c r="B66" s="113" t="s">
        <v>146</v>
      </c>
      <c r="C66" s="114">
        <f t="shared" si="7"/>
        <v>5918108</v>
      </c>
      <c r="D66" s="208">
        <v>5918108</v>
      </c>
      <c r="E66" s="208">
        <f t="shared" si="6"/>
        <v>0</v>
      </c>
      <c r="F66" s="208"/>
      <c r="G66" s="208"/>
      <c r="H66" s="208"/>
      <c r="I66" s="208"/>
    </row>
    <row r="67" spans="2:9" hidden="1">
      <c r="B67" s="113" t="s">
        <v>37</v>
      </c>
      <c r="C67" s="114">
        <f t="shared" si="7"/>
        <v>8610115</v>
      </c>
      <c r="D67" s="208">
        <v>8610115</v>
      </c>
      <c r="E67" s="208">
        <f t="shared" si="6"/>
        <v>0</v>
      </c>
      <c r="F67" s="208"/>
      <c r="G67" s="208"/>
      <c r="H67" s="208"/>
      <c r="I67" s="208"/>
    </row>
    <row r="68" spans="2:9" hidden="1">
      <c r="B68" s="113" t="s">
        <v>7</v>
      </c>
      <c r="C68" s="114">
        <f t="shared" si="7"/>
        <v>4230</v>
      </c>
      <c r="D68" s="208">
        <v>4230</v>
      </c>
      <c r="E68" s="208">
        <f t="shared" si="6"/>
        <v>0</v>
      </c>
      <c r="F68" s="208"/>
      <c r="G68" s="208"/>
      <c r="H68" s="208"/>
      <c r="I68" s="208"/>
    </row>
    <row r="69" spans="2:9" hidden="1">
      <c r="B69" s="113" t="s">
        <v>52</v>
      </c>
      <c r="C69" s="114">
        <f t="shared" si="7"/>
        <v>3137000</v>
      </c>
      <c r="D69" s="208">
        <v>3137000</v>
      </c>
      <c r="E69" s="208">
        <f t="shared" si="6"/>
        <v>0</v>
      </c>
      <c r="F69" s="208"/>
      <c r="G69" s="208"/>
      <c r="H69" s="208"/>
      <c r="I69" s="208"/>
    </row>
    <row r="70" spans="2:9" hidden="1">
      <c r="B70" s="113" t="s">
        <v>38</v>
      </c>
      <c r="C70" s="114">
        <f t="shared" si="7"/>
        <v>2092133</v>
      </c>
      <c r="D70" s="208">
        <v>2092133</v>
      </c>
      <c r="E70" s="208">
        <f t="shared" si="6"/>
        <v>0</v>
      </c>
      <c r="F70" s="208"/>
      <c r="G70" s="208"/>
      <c r="H70" s="208"/>
      <c r="I70" s="208"/>
    </row>
    <row r="71" spans="2:9" hidden="1">
      <c r="B71" s="113" t="s">
        <v>40</v>
      </c>
      <c r="C71" s="114">
        <f>C44+C34</f>
        <v>17170489</v>
      </c>
      <c r="D71" s="208">
        <v>17170489</v>
      </c>
      <c r="E71" s="208">
        <f t="shared" si="6"/>
        <v>0</v>
      </c>
      <c r="F71" s="208"/>
      <c r="G71" s="208"/>
      <c r="H71" s="208"/>
      <c r="I71" s="208"/>
    </row>
    <row r="72" spans="2:9" hidden="1">
      <c r="B72" s="113" t="s">
        <v>172</v>
      </c>
      <c r="C72" s="114">
        <f>C35</f>
        <v>2286000</v>
      </c>
      <c r="D72" s="208">
        <v>2286000</v>
      </c>
      <c r="E72" s="208">
        <f t="shared" si="6"/>
        <v>0</v>
      </c>
      <c r="F72" s="208"/>
      <c r="G72" s="208"/>
      <c r="H72" s="208"/>
      <c r="I72" s="208"/>
    </row>
    <row r="73" spans="2:9" hidden="1">
      <c r="C73" s="114">
        <f>SUM(C52:C72)</f>
        <v>1521229829</v>
      </c>
      <c r="D73" s="114">
        <f>SUM(D52:D72)</f>
        <v>1521229829</v>
      </c>
      <c r="E73" s="208">
        <f t="shared" si="6"/>
        <v>0</v>
      </c>
      <c r="F73" s="208"/>
      <c r="G73" s="208"/>
      <c r="H73" s="208"/>
      <c r="I73" s="208"/>
    </row>
    <row r="74" spans="2:9" hidden="1">
      <c r="C74" s="114">
        <v>1521229829</v>
      </c>
      <c r="D74" s="208"/>
      <c r="E74" s="208"/>
      <c r="F74" s="208"/>
      <c r="G74" s="208"/>
      <c r="H74" s="208"/>
      <c r="I74" s="208"/>
    </row>
    <row r="75" spans="2:9" hidden="1">
      <c r="C75" s="114">
        <f>C74-C73</f>
        <v>0</v>
      </c>
      <c r="D75" s="208"/>
      <c r="E75" s="208"/>
      <c r="F75" s="208"/>
      <c r="G75" s="208"/>
      <c r="H75" s="208"/>
      <c r="I75" s="208"/>
    </row>
    <row r="76" spans="2:9" hidden="1">
      <c r="C76" s="114"/>
      <c r="D76" s="208"/>
      <c r="E76" s="208"/>
      <c r="F76" s="208"/>
      <c r="G76" s="208"/>
      <c r="H76" s="208"/>
      <c r="I76" s="208"/>
    </row>
    <row r="77" spans="2:9" hidden="1">
      <c r="C77" s="114"/>
      <c r="D77" s="208"/>
      <c r="E77" s="208"/>
      <c r="F77" s="208"/>
      <c r="G77" s="208"/>
      <c r="H77" s="208"/>
      <c r="I77" s="208"/>
    </row>
    <row r="78" spans="2:9" hidden="1">
      <c r="C78" s="114"/>
      <c r="D78" s="208"/>
      <c r="E78" s="208"/>
      <c r="F78" s="208"/>
      <c r="G78" s="208"/>
      <c r="H78" s="208"/>
      <c r="I78" s="208"/>
    </row>
    <row r="79" spans="2:9" hidden="1">
      <c r="C79" s="114"/>
      <c r="D79" s="208"/>
      <c r="E79" s="208"/>
      <c r="F79" s="208"/>
      <c r="G79" s="208"/>
      <c r="H79" s="208"/>
      <c r="I79" s="208"/>
    </row>
    <row r="80" spans="2:9" hidden="1">
      <c r="C80" s="114"/>
      <c r="D80" s="208"/>
      <c r="E80" s="208"/>
      <c r="F80" s="208"/>
      <c r="G80" s="208"/>
      <c r="H80" s="208"/>
      <c r="I80" s="208"/>
    </row>
    <row r="81" spans="3:9" hidden="1">
      <c r="C81" s="114"/>
      <c r="D81" s="208"/>
      <c r="E81" s="208"/>
      <c r="F81" s="208"/>
      <c r="G81" s="208"/>
      <c r="H81" s="208"/>
      <c r="I81" s="208"/>
    </row>
    <row r="82" spans="3:9">
      <c r="C82" s="114"/>
      <c r="D82" s="208"/>
      <c r="E82" s="208"/>
      <c r="F82" s="208"/>
      <c r="G82" s="208"/>
      <c r="H82" s="208"/>
      <c r="I82" s="208"/>
    </row>
    <row r="83" spans="3:9">
      <c r="C83" s="114"/>
      <c r="D83" s="208"/>
      <c r="E83" s="208"/>
      <c r="F83" s="208"/>
      <c r="G83" s="208"/>
      <c r="H83" s="208"/>
      <c r="I83" s="208"/>
    </row>
    <row r="84" spans="3:9">
      <c r="C84" s="114"/>
      <c r="D84" s="208"/>
      <c r="E84" s="208"/>
      <c r="F84" s="208"/>
      <c r="G84" s="208"/>
      <c r="H84" s="208"/>
      <c r="I84" s="208"/>
    </row>
    <row r="85" spans="3:9">
      <c r="C85" s="114"/>
      <c r="D85" s="208"/>
      <c r="E85" s="208"/>
      <c r="F85" s="208"/>
      <c r="G85" s="208"/>
      <c r="H85" s="208"/>
      <c r="I85" s="208"/>
    </row>
    <row r="86" spans="3:9">
      <c r="C86" s="114"/>
      <c r="D86" s="208"/>
      <c r="E86" s="208"/>
      <c r="F86" s="208"/>
      <c r="G86" s="208"/>
      <c r="H86" s="208"/>
      <c r="I86" s="208"/>
    </row>
    <row r="87" spans="3:9">
      <c r="C87" s="114"/>
      <c r="D87" s="208"/>
      <c r="E87" s="208"/>
      <c r="F87" s="208"/>
      <c r="G87" s="208"/>
      <c r="H87" s="208"/>
      <c r="I87" s="208"/>
    </row>
    <row r="88" spans="3:9">
      <c r="C88" s="114"/>
      <c r="D88" s="208"/>
      <c r="E88" s="208"/>
      <c r="F88" s="208"/>
      <c r="G88" s="208"/>
      <c r="H88" s="208"/>
      <c r="I88" s="208"/>
    </row>
    <row r="89" spans="3:9">
      <c r="C89" s="114"/>
      <c r="D89" s="208"/>
      <c r="E89" s="208"/>
      <c r="F89" s="208"/>
      <c r="G89" s="208"/>
      <c r="H89" s="208"/>
      <c r="I89" s="208"/>
    </row>
    <row r="90" spans="3:9">
      <c r="C90" s="114"/>
      <c r="D90" s="208"/>
      <c r="E90" s="208"/>
      <c r="F90" s="208"/>
      <c r="G90" s="208"/>
      <c r="H90" s="208"/>
      <c r="I90" s="208"/>
    </row>
    <row r="91" spans="3:9">
      <c r="C91" s="114"/>
      <c r="D91" s="208"/>
      <c r="E91" s="208"/>
      <c r="F91" s="208"/>
      <c r="G91" s="208"/>
      <c r="H91" s="208"/>
      <c r="I91" s="208"/>
    </row>
    <row r="92" spans="3:9">
      <c r="C92" s="114"/>
      <c r="D92" s="208"/>
      <c r="E92" s="208"/>
      <c r="F92" s="208"/>
      <c r="G92" s="208"/>
      <c r="H92" s="208"/>
      <c r="I92" s="208"/>
    </row>
    <row r="93" spans="3:9">
      <c r="C93" s="114"/>
      <c r="D93" s="208"/>
      <c r="E93" s="208"/>
      <c r="F93" s="208"/>
      <c r="G93" s="208"/>
      <c r="H93" s="208"/>
      <c r="I93" s="208"/>
    </row>
    <row r="94" spans="3:9">
      <c r="C94" s="114"/>
      <c r="D94" s="208"/>
      <c r="E94" s="208"/>
      <c r="F94" s="208"/>
      <c r="G94" s="208"/>
      <c r="H94" s="208"/>
      <c r="I94" s="208"/>
    </row>
    <row r="95" spans="3:9">
      <c r="C95" s="114"/>
      <c r="D95" s="208"/>
      <c r="E95" s="208"/>
      <c r="F95" s="208"/>
      <c r="G95" s="208"/>
      <c r="H95" s="208"/>
      <c r="I95" s="208"/>
    </row>
    <row r="96" spans="3:9">
      <c r="C96" s="114"/>
      <c r="D96" s="208"/>
      <c r="E96" s="208"/>
      <c r="F96" s="208"/>
      <c r="G96" s="208"/>
      <c r="H96" s="208"/>
      <c r="I96" s="208"/>
    </row>
    <row r="97" spans="3:9">
      <c r="C97" s="114"/>
      <c r="D97" s="208"/>
      <c r="E97" s="208"/>
      <c r="F97" s="208"/>
      <c r="G97" s="208"/>
      <c r="H97" s="208"/>
      <c r="I97" s="208"/>
    </row>
    <row r="98" spans="3:9">
      <c r="C98" s="114"/>
      <c r="D98" s="208"/>
      <c r="E98" s="208"/>
      <c r="F98" s="208"/>
      <c r="G98" s="208"/>
      <c r="H98" s="208"/>
      <c r="I98" s="208"/>
    </row>
    <row r="99" spans="3:9">
      <c r="C99" s="114"/>
      <c r="D99" s="208"/>
      <c r="E99" s="208"/>
      <c r="F99" s="208"/>
      <c r="G99" s="208"/>
      <c r="H99" s="208"/>
      <c r="I99" s="208"/>
    </row>
    <row r="100" spans="3:9">
      <c r="C100" s="114"/>
      <c r="D100" s="208"/>
      <c r="E100" s="208"/>
      <c r="F100" s="208"/>
      <c r="G100" s="208"/>
      <c r="H100" s="208"/>
      <c r="I100" s="208"/>
    </row>
    <row r="101" spans="3:9">
      <c r="C101" s="114"/>
      <c r="D101" s="208"/>
      <c r="E101" s="208"/>
      <c r="F101" s="208"/>
      <c r="G101" s="208"/>
      <c r="H101" s="208"/>
      <c r="I101" s="208"/>
    </row>
    <row r="102" spans="3:9">
      <c r="C102" s="114"/>
      <c r="D102" s="208"/>
      <c r="E102" s="208"/>
      <c r="F102" s="208"/>
      <c r="G102" s="208"/>
      <c r="H102" s="208"/>
      <c r="I102" s="208"/>
    </row>
    <row r="103" spans="3:9">
      <c r="C103" s="114"/>
      <c r="D103" s="208"/>
      <c r="E103" s="208"/>
      <c r="F103" s="208"/>
      <c r="G103" s="208"/>
      <c r="H103" s="208"/>
      <c r="I103" s="208"/>
    </row>
    <row r="104" spans="3:9">
      <c r="C104" s="114"/>
      <c r="D104" s="208"/>
      <c r="E104" s="208"/>
      <c r="F104" s="208"/>
      <c r="G104" s="208"/>
      <c r="H104" s="208"/>
      <c r="I104" s="208"/>
    </row>
    <row r="105" spans="3:9">
      <c r="C105" s="114"/>
      <c r="D105" s="208"/>
      <c r="E105" s="208"/>
      <c r="F105" s="208"/>
      <c r="G105" s="208"/>
      <c r="H105" s="208"/>
      <c r="I105" s="208"/>
    </row>
    <row r="106" spans="3:9">
      <c r="C106" s="114"/>
      <c r="D106" s="208"/>
      <c r="E106" s="208"/>
      <c r="F106" s="208"/>
      <c r="G106" s="208"/>
      <c r="H106" s="208"/>
      <c r="I106" s="208"/>
    </row>
  </sheetData>
  <sheetProtection algorithmName="SHA-512" hashValue="2g6vhw2Z+DXq3aGVYNlK3xVna7LI0pgKefbjzxj8Z6d1lyl0C8WK6VhNmo9OIAni7Enww7O85ZAyMAM0rw00cw==" saltValue="r33aVZCS5vVzr6e2yA0c4Q==" spinCount="100000" sheet="1" objects="1" scenarios="1"/>
  <mergeCells count="21">
    <mergeCell ref="A46:B46"/>
    <mergeCell ref="F9:F10"/>
    <mergeCell ref="G9:H9"/>
    <mergeCell ref="I9:I10"/>
    <mergeCell ref="J9:J10"/>
    <mergeCell ref="D7:D10"/>
    <mergeCell ref="E7:E10"/>
    <mergeCell ref="F7:P7"/>
    <mergeCell ref="N9:N10"/>
    <mergeCell ref="M9:M10"/>
    <mergeCell ref="A4:P4"/>
    <mergeCell ref="A5:P5"/>
    <mergeCell ref="A7:A10"/>
    <mergeCell ref="B7:B10"/>
    <mergeCell ref="C7:C10"/>
    <mergeCell ref="P9:P10"/>
    <mergeCell ref="O9:O10"/>
    <mergeCell ref="M8:P8"/>
    <mergeCell ref="L9:L10"/>
    <mergeCell ref="F8:L8"/>
    <mergeCell ref="K9:K10"/>
  </mergeCells>
  <printOptions horizontalCentered="1"/>
  <pageMargins left="0.74803149606299213" right="0.74803149606299213" top="0.98425196850393704" bottom="0.74803149606299213" header="0.31496062992125984" footer="0.31496062992125984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31"/>
  <sheetViews>
    <sheetView view="pageBreakPreview" topLeftCell="A33" zoomScale="118" zoomScaleNormal="100" zoomScaleSheetLayoutView="118" workbookViewId="0">
      <selection activeCell="C44" sqref="C44"/>
    </sheetView>
  </sheetViews>
  <sheetFormatPr defaultColWidth="9" defaultRowHeight="15"/>
  <cols>
    <col min="1" max="1" width="4.75" style="10" customWidth="1"/>
    <col min="2" max="2" width="8.5" style="10" customWidth="1"/>
    <col min="3" max="3" width="69.875" style="12" customWidth="1"/>
    <col min="4" max="5" width="12" style="12" customWidth="1"/>
    <col min="6" max="16384" width="9" style="12"/>
  </cols>
  <sheetData>
    <row r="1" spans="1:5" ht="12.75" customHeight="1">
      <c r="B1" s="11"/>
      <c r="C1" s="1129" t="s">
        <v>1276</v>
      </c>
      <c r="D1" s="1129"/>
      <c r="E1" s="1129"/>
    </row>
    <row r="2" spans="1:5" ht="12.75" customHeight="1">
      <c r="B2" s="11"/>
      <c r="C2" s="1129" t="s">
        <v>1277</v>
      </c>
      <c r="D2" s="1129"/>
      <c r="E2" s="1129"/>
    </row>
    <row r="3" spans="1:5" ht="12.75" customHeight="1">
      <c r="B3" s="11"/>
      <c r="C3" s="1129" t="s">
        <v>1278</v>
      </c>
      <c r="D3" s="1129"/>
      <c r="E3" s="1129"/>
    </row>
    <row r="4" spans="1:5" ht="10.5" customHeight="1"/>
    <row r="5" spans="1:5" s="13" customFormat="1" ht="36.75" customHeight="1">
      <c r="A5" s="1130" t="s">
        <v>326</v>
      </c>
      <c r="B5" s="1125"/>
      <c r="C5" s="1125"/>
      <c r="D5" s="1125"/>
      <c r="E5" s="1125"/>
    </row>
    <row r="6" spans="1:5" s="13" customFormat="1" ht="16.5" customHeight="1">
      <c r="A6" s="1125" t="s">
        <v>327</v>
      </c>
      <c r="B6" s="1125"/>
      <c r="C6" s="1125"/>
      <c r="D6" s="1125"/>
      <c r="E6" s="1125"/>
    </row>
    <row r="7" spans="1:5" s="13" customFormat="1" ht="16.5" customHeight="1">
      <c r="A7" s="1125" t="s">
        <v>362</v>
      </c>
      <c r="B7" s="1125"/>
      <c r="C7" s="1125"/>
      <c r="D7" s="1125"/>
      <c r="E7" s="1125"/>
    </row>
    <row r="8" spans="1:5" ht="11.25" customHeight="1">
      <c r="A8" s="14"/>
      <c r="B8" s="14"/>
      <c r="C8" s="15"/>
      <c r="D8" s="15"/>
      <c r="E8" s="16" t="s">
        <v>15</v>
      </c>
    </row>
    <row r="9" spans="1:5" s="19" customFormat="1" ht="33" customHeight="1">
      <c r="A9" s="17" t="s">
        <v>323</v>
      </c>
      <c r="B9" s="18" t="s">
        <v>328</v>
      </c>
      <c r="C9" s="17" t="s">
        <v>329</v>
      </c>
      <c r="D9" s="18" t="s">
        <v>321</v>
      </c>
      <c r="E9" s="17" t="s">
        <v>322</v>
      </c>
    </row>
    <row r="10" spans="1:5" s="221" customFormat="1" ht="11.25" customHeight="1">
      <c r="A10" s="216">
        <v>1</v>
      </c>
      <c r="B10" s="217">
        <v>2</v>
      </c>
      <c r="C10" s="218">
        <v>3</v>
      </c>
      <c r="D10" s="219">
        <v>4</v>
      </c>
      <c r="E10" s="220">
        <v>5</v>
      </c>
    </row>
    <row r="11" spans="1:5" s="25" customFormat="1" ht="18" customHeight="1">
      <c r="A11" s="20">
        <v>1</v>
      </c>
      <c r="B11" s="21"/>
      <c r="C11" s="22" t="s">
        <v>330</v>
      </c>
      <c r="D11" s="23">
        <f>D12</f>
        <v>6080000</v>
      </c>
      <c r="E11" s="23">
        <f>E15</f>
        <v>8080000</v>
      </c>
    </row>
    <row r="12" spans="1:5" s="121" customFormat="1" ht="16.5" customHeight="1">
      <c r="A12" s="118"/>
      <c r="B12" s="116" t="s">
        <v>66</v>
      </c>
      <c r="C12" s="205" t="s">
        <v>331</v>
      </c>
      <c r="D12" s="119">
        <f>D13+D14</f>
        <v>6080000</v>
      </c>
      <c r="E12" s="120"/>
    </row>
    <row r="13" spans="1:5" s="121" customFormat="1" ht="16.5" customHeight="1">
      <c r="A13" s="118"/>
      <c r="B13" s="122" t="s">
        <v>47</v>
      </c>
      <c r="C13" s="123" t="s">
        <v>48</v>
      </c>
      <c r="D13" s="124">
        <v>6000000</v>
      </c>
      <c r="E13" s="125"/>
    </row>
    <row r="14" spans="1:5" s="121" customFormat="1" ht="16.5" customHeight="1">
      <c r="A14" s="118"/>
      <c r="B14" s="126" t="s">
        <v>184</v>
      </c>
      <c r="C14" s="127" t="s">
        <v>185</v>
      </c>
      <c r="D14" s="128">
        <v>80000</v>
      </c>
      <c r="E14" s="129"/>
    </row>
    <row r="15" spans="1:5" s="121" customFormat="1" ht="16.5" customHeight="1">
      <c r="A15" s="118"/>
      <c r="B15" s="116" t="s">
        <v>66</v>
      </c>
      <c r="C15" s="117" t="s">
        <v>324</v>
      </c>
      <c r="D15" s="120"/>
      <c r="E15" s="119">
        <f>SUM(E16:E25)</f>
        <v>8080000</v>
      </c>
    </row>
    <row r="16" spans="1:5" s="121" customFormat="1" ht="17.25" customHeight="1">
      <c r="A16" s="118"/>
      <c r="B16" s="130">
        <v>4010</v>
      </c>
      <c r="C16" s="123" t="s">
        <v>254</v>
      </c>
      <c r="D16" s="125"/>
      <c r="E16" s="131">
        <v>214930</v>
      </c>
    </row>
    <row r="17" spans="1:11" s="121" customFormat="1" ht="17.25" customHeight="1">
      <c r="A17" s="118"/>
      <c r="B17" s="130">
        <v>4040</v>
      </c>
      <c r="C17" s="123" t="s">
        <v>255</v>
      </c>
      <c r="D17" s="125"/>
      <c r="E17" s="131">
        <v>18270</v>
      </c>
    </row>
    <row r="18" spans="1:11" s="121" customFormat="1" ht="17.25" customHeight="1">
      <c r="A18" s="118"/>
      <c r="B18" s="130">
        <v>4110</v>
      </c>
      <c r="C18" s="132" t="s">
        <v>256</v>
      </c>
      <c r="D18" s="125"/>
      <c r="E18" s="131">
        <v>40087</v>
      </c>
    </row>
    <row r="19" spans="1:11" s="121" customFormat="1" ht="17.25" customHeight="1">
      <c r="A19" s="118"/>
      <c r="B19" s="130">
        <v>4120</v>
      </c>
      <c r="C19" s="133" t="s">
        <v>257</v>
      </c>
      <c r="D19" s="125"/>
      <c r="E19" s="131">
        <v>5713</v>
      </c>
    </row>
    <row r="20" spans="1:11" s="138" customFormat="1" ht="17.25" customHeight="1">
      <c r="A20" s="134"/>
      <c r="B20" s="135">
        <v>4210</v>
      </c>
      <c r="C20" s="136" t="s">
        <v>260</v>
      </c>
      <c r="D20" s="124"/>
      <c r="E20" s="124">
        <v>15000</v>
      </c>
      <c r="F20" s="137"/>
      <c r="G20" s="137"/>
      <c r="H20" s="137"/>
      <c r="I20" s="137"/>
      <c r="J20" s="137"/>
      <c r="K20" s="137"/>
    </row>
    <row r="21" spans="1:11" s="138" customFormat="1" ht="17.25" customHeight="1">
      <c r="A21" s="134"/>
      <c r="B21" s="139">
        <v>4300</v>
      </c>
      <c r="C21" s="140" t="s">
        <v>264</v>
      </c>
      <c r="D21" s="128"/>
      <c r="E21" s="128">
        <v>500</v>
      </c>
      <c r="F21" s="137"/>
      <c r="G21" s="137"/>
      <c r="H21" s="137"/>
      <c r="I21" s="137"/>
      <c r="J21" s="137"/>
      <c r="K21" s="137"/>
    </row>
    <row r="22" spans="1:11" s="138" customFormat="1" ht="17.25" customHeight="1">
      <c r="A22" s="134"/>
      <c r="B22" s="139">
        <v>4610</v>
      </c>
      <c r="C22" s="141" t="s">
        <v>272</v>
      </c>
      <c r="D22" s="128"/>
      <c r="E22" s="128">
        <v>6500</v>
      </c>
      <c r="F22" s="137"/>
      <c r="G22" s="137"/>
      <c r="H22" s="137"/>
      <c r="I22" s="137"/>
      <c r="J22" s="137"/>
      <c r="K22" s="137"/>
    </row>
    <row r="23" spans="1:11" s="138" customFormat="1" ht="17.25" customHeight="1">
      <c r="A23" s="134"/>
      <c r="B23" s="139">
        <v>4700</v>
      </c>
      <c r="C23" s="141" t="s">
        <v>332</v>
      </c>
      <c r="D23" s="128"/>
      <c r="E23" s="128">
        <v>3000</v>
      </c>
      <c r="F23" s="137"/>
      <c r="G23" s="137"/>
      <c r="H23" s="137"/>
      <c r="I23" s="137"/>
      <c r="J23" s="137"/>
      <c r="K23" s="137"/>
    </row>
    <row r="24" spans="1:11" s="121" customFormat="1" ht="35.25" customHeight="1">
      <c r="A24" s="118"/>
      <c r="B24" s="130">
        <v>6230</v>
      </c>
      <c r="C24" s="142" t="s">
        <v>273</v>
      </c>
      <c r="D24" s="125"/>
      <c r="E24" s="131">
        <v>500000</v>
      </c>
    </row>
    <row r="25" spans="1:11" s="121" customFormat="1" ht="35.25" customHeight="1">
      <c r="A25" s="143"/>
      <c r="B25" s="130">
        <v>6610</v>
      </c>
      <c r="C25" s="142" t="s">
        <v>274</v>
      </c>
      <c r="D25" s="125"/>
      <c r="E25" s="131">
        <v>7276000</v>
      </c>
    </row>
    <row r="26" spans="1:11" s="25" customFormat="1" ht="18.75" customHeight="1">
      <c r="A26" s="20">
        <v>2</v>
      </c>
      <c r="B26" s="206"/>
      <c r="C26" s="22" t="s">
        <v>368</v>
      </c>
      <c r="D26" s="23">
        <f>D27</f>
        <v>41891542</v>
      </c>
      <c r="E26" s="23">
        <f>E29</f>
        <v>41891542</v>
      </c>
    </row>
    <row r="27" spans="1:11" s="121" customFormat="1" ht="18.75" customHeight="1">
      <c r="A27" s="118"/>
      <c r="B27" s="116" t="s">
        <v>369</v>
      </c>
      <c r="C27" s="227" t="s">
        <v>374</v>
      </c>
      <c r="D27" s="119">
        <f>D28</f>
        <v>41891542</v>
      </c>
      <c r="E27" s="120"/>
    </row>
    <row r="28" spans="1:11" s="121" customFormat="1" ht="46.5" customHeight="1">
      <c r="A28" s="118"/>
      <c r="B28" s="222">
        <v>6350</v>
      </c>
      <c r="C28" s="223" t="s">
        <v>201</v>
      </c>
      <c r="D28" s="152">
        <v>41891542</v>
      </c>
      <c r="E28" s="224"/>
    </row>
    <row r="29" spans="1:11" s="121" customFormat="1" ht="32.25" customHeight="1">
      <c r="A29" s="118"/>
      <c r="B29" s="225" t="s">
        <v>369</v>
      </c>
      <c r="C29" s="277" t="s">
        <v>396</v>
      </c>
      <c r="D29" s="166">
        <f>D30</f>
        <v>0</v>
      </c>
      <c r="E29" s="228">
        <f>E30</f>
        <v>41891542</v>
      </c>
    </row>
    <row r="30" spans="1:11" s="121" customFormat="1" ht="17.25" customHeight="1">
      <c r="A30" s="118"/>
      <c r="B30" s="207">
        <v>6050</v>
      </c>
      <c r="C30" s="144" t="s">
        <v>282</v>
      </c>
      <c r="D30" s="172"/>
      <c r="E30" s="172">
        <v>41891542</v>
      </c>
    </row>
    <row r="31" spans="1:11" s="25" customFormat="1" ht="36" customHeight="1">
      <c r="A31" s="20">
        <v>3</v>
      </c>
      <c r="B31" s="206"/>
      <c r="C31" s="26" t="s">
        <v>333</v>
      </c>
      <c r="D31" s="23">
        <f>D32</f>
        <v>700000</v>
      </c>
      <c r="E31" s="23">
        <f>E34+E39+E41+E43+E45</f>
        <v>870000</v>
      </c>
    </row>
    <row r="32" spans="1:11" s="149" customFormat="1" ht="17.25" customHeight="1">
      <c r="A32" s="118"/>
      <c r="B32" s="145">
        <v>75618</v>
      </c>
      <c r="C32" s="146" t="s">
        <v>334</v>
      </c>
      <c r="D32" s="119">
        <f>D33</f>
        <v>700000</v>
      </c>
      <c r="E32" s="147"/>
      <c r="F32" s="148"/>
      <c r="G32" s="148"/>
      <c r="H32" s="148"/>
      <c r="I32" s="148"/>
      <c r="J32" s="148"/>
      <c r="K32" s="148"/>
    </row>
    <row r="33" spans="1:11" s="155" customFormat="1" ht="17.25" customHeight="1">
      <c r="A33" s="134"/>
      <c r="B33" s="150" t="s">
        <v>222</v>
      </c>
      <c r="C33" s="151" t="s">
        <v>223</v>
      </c>
      <c r="D33" s="152">
        <v>700000</v>
      </c>
      <c r="E33" s="153"/>
      <c r="F33" s="154"/>
      <c r="G33" s="154"/>
      <c r="H33" s="154"/>
      <c r="I33" s="154"/>
      <c r="J33" s="154"/>
      <c r="K33" s="154"/>
    </row>
    <row r="34" spans="1:11" s="149" customFormat="1" ht="17.25" customHeight="1">
      <c r="A34" s="118"/>
      <c r="B34" s="156">
        <v>85153</v>
      </c>
      <c r="C34" s="146" t="s">
        <v>335</v>
      </c>
      <c r="D34" s="119"/>
      <c r="E34" s="119">
        <f>SUM(E35:E38)</f>
        <v>130000</v>
      </c>
      <c r="F34" s="148"/>
      <c r="G34" s="148"/>
      <c r="H34" s="148"/>
      <c r="I34" s="148"/>
      <c r="J34" s="148"/>
      <c r="K34" s="148"/>
    </row>
    <row r="35" spans="1:11" s="138" customFormat="1" ht="17.25" customHeight="1">
      <c r="A35" s="134"/>
      <c r="B35" s="135">
        <v>4170</v>
      </c>
      <c r="C35" s="136" t="s">
        <v>258</v>
      </c>
      <c r="D35" s="124"/>
      <c r="E35" s="124">
        <v>14000</v>
      </c>
      <c r="F35" s="137"/>
      <c r="G35" s="137"/>
      <c r="H35" s="137"/>
      <c r="I35" s="137"/>
      <c r="J35" s="137"/>
      <c r="K35" s="137"/>
    </row>
    <row r="36" spans="1:11" s="138" customFormat="1" ht="17.25" customHeight="1">
      <c r="A36" s="134"/>
      <c r="B36" s="135">
        <v>4190</v>
      </c>
      <c r="C36" s="136" t="s">
        <v>259</v>
      </c>
      <c r="D36" s="124"/>
      <c r="E36" s="124">
        <v>11000</v>
      </c>
      <c r="F36" s="137"/>
      <c r="G36" s="137"/>
      <c r="H36" s="137"/>
      <c r="I36" s="137"/>
      <c r="J36" s="137"/>
      <c r="K36" s="137"/>
    </row>
    <row r="37" spans="1:11" s="138" customFormat="1" ht="17.25" customHeight="1">
      <c r="A37" s="134"/>
      <c r="B37" s="135">
        <v>4210</v>
      </c>
      <c r="C37" s="136" t="s">
        <v>260</v>
      </c>
      <c r="D37" s="124"/>
      <c r="E37" s="124">
        <v>7000</v>
      </c>
      <c r="F37" s="137"/>
      <c r="G37" s="137"/>
      <c r="H37" s="137"/>
      <c r="I37" s="137"/>
      <c r="J37" s="137"/>
      <c r="K37" s="137"/>
    </row>
    <row r="38" spans="1:11" s="138" customFormat="1" ht="17.25" customHeight="1">
      <c r="A38" s="134"/>
      <c r="B38" s="139">
        <v>4300</v>
      </c>
      <c r="C38" s="140" t="s">
        <v>264</v>
      </c>
      <c r="D38" s="128"/>
      <c r="E38" s="128">
        <v>98000</v>
      </c>
      <c r="F38" s="137"/>
      <c r="G38" s="137"/>
      <c r="H38" s="137"/>
      <c r="I38" s="137"/>
      <c r="J38" s="137"/>
      <c r="K38" s="137"/>
    </row>
    <row r="39" spans="1:11" s="149" customFormat="1" ht="17.25" customHeight="1">
      <c r="A39" s="118"/>
      <c r="B39" s="156">
        <v>85153</v>
      </c>
      <c r="C39" s="146" t="s">
        <v>336</v>
      </c>
      <c r="D39" s="119"/>
      <c r="E39" s="119">
        <f>E40</f>
        <v>350000</v>
      </c>
      <c r="F39" s="148"/>
      <c r="G39" s="148"/>
      <c r="H39" s="148"/>
      <c r="I39" s="148"/>
      <c r="J39" s="148"/>
      <c r="K39" s="148"/>
    </row>
    <row r="40" spans="1:11" s="155" customFormat="1" ht="48" customHeight="1">
      <c r="A40" s="134"/>
      <c r="B40" s="157">
        <v>2360</v>
      </c>
      <c r="C40" s="151" t="s">
        <v>337</v>
      </c>
      <c r="D40" s="152"/>
      <c r="E40" s="152">
        <v>350000</v>
      </c>
      <c r="F40" s="154"/>
      <c r="G40" s="154"/>
      <c r="H40" s="154"/>
      <c r="I40" s="154"/>
      <c r="J40" s="154"/>
      <c r="K40" s="154"/>
    </row>
    <row r="41" spans="1:11" s="149" customFormat="1" ht="30" customHeight="1">
      <c r="A41" s="118"/>
      <c r="B41" s="156">
        <v>85154</v>
      </c>
      <c r="C41" s="146" t="s">
        <v>338</v>
      </c>
      <c r="D41" s="119"/>
      <c r="E41" s="119">
        <f>E42</f>
        <v>70000</v>
      </c>
      <c r="F41" s="148"/>
      <c r="G41" s="148"/>
      <c r="H41" s="148"/>
      <c r="I41" s="148"/>
      <c r="J41" s="148"/>
      <c r="K41" s="148"/>
    </row>
    <row r="42" spans="1:11" s="149" customFormat="1" ht="48.75" customHeight="1">
      <c r="A42" s="158"/>
      <c r="B42" s="157">
        <v>2360</v>
      </c>
      <c r="C42" s="151" t="s">
        <v>337</v>
      </c>
      <c r="D42" s="159"/>
      <c r="E42" s="152">
        <v>70000</v>
      </c>
      <c r="F42" s="148"/>
      <c r="G42" s="148"/>
      <c r="H42" s="148"/>
      <c r="I42" s="148"/>
      <c r="J42" s="148"/>
      <c r="K42" s="148"/>
    </row>
    <row r="43" spans="1:11" s="149" customFormat="1" ht="20.25" customHeight="1">
      <c r="A43" s="118"/>
      <c r="B43" s="156">
        <v>85154</v>
      </c>
      <c r="C43" s="146" t="s">
        <v>339</v>
      </c>
      <c r="D43" s="119"/>
      <c r="E43" s="119">
        <f>E44</f>
        <v>260000</v>
      </c>
      <c r="F43" s="148"/>
      <c r="G43" s="148"/>
      <c r="H43" s="148"/>
      <c r="I43" s="148"/>
      <c r="J43" s="148"/>
      <c r="K43" s="148"/>
    </row>
    <row r="44" spans="1:11" s="149" customFormat="1" ht="58.5" customHeight="1">
      <c r="A44" s="160"/>
      <c r="B44" s="157">
        <v>2360</v>
      </c>
      <c r="C44" s="151" t="s">
        <v>337</v>
      </c>
      <c r="D44" s="159"/>
      <c r="E44" s="152">
        <v>260000</v>
      </c>
      <c r="F44" s="148"/>
      <c r="G44" s="148"/>
      <c r="H44" s="148"/>
      <c r="I44" s="148"/>
      <c r="J44" s="148"/>
      <c r="K44" s="148"/>
    </row>
    <row r="45" spans="1:11" s="149" customFormat="1" ht="16.5" customHeight="1">
      <c r="A45" s="161"/>
      <c r="B45" s="156">
        <v>85154</v>
      </c>
      <c r="C45" s="146" t="s">
        <v>325</v>
      </c>
      <c r="D45" s="119"/>
      <c r="E45" s="119">
        <f>SUM(E46:E49)</f>
        <v>60000</v>
      </c>
      <c r="F45" s="148"/>
      <c r="G45" s="148"/>
      <c r="H45" s="148"/>
      <c r="I45" s="148"/>
      <c r="J45" s="148"/>
      <c r="K45" s="148"/>
    </row>
    <row r="46" spans="1:11" s="149" customFormat="1" ht="28.5" customHeight="1">
      <c r="A46" s="118"/>
      <c r="B46" s="135">
        <v>2800</v>
      </c>
      <c r="C46" s="162" t="s">
        <v>278</v>
      </c>
      <c r="D46" s="163"/>
      <c r="E46" s="124">
        <v>30000</v>
      </c>
      <c r="F46" s="148"/>
      <c r="G46" s="148"/>
      <c r="H46" s="148"/>
      <c r="I46" s="148"/>
      <c r="J46" s="148"/>
      <c r="K46" s="148"/>
    </row>
    <row r="47" spans="1:11" s="149" customFormat="1" ht="15" customHeight="1">
      <c r="A47" s="118"/>
      <c r="B47" s="135">
        <v>4170</v>
      </c>
      <c r="C47" s="162" t="s">
        <v>258</v>
      </c>
      <c r="D47" s="163"/>
      <c r="E47" s="124">
        <v>3000</v>
      </c>
      <c r="F47" s="148"/>
      <c r="G47" s="148"/>
      <c r="H47" s="148"/>
      <c r="I47" s="148"/>
      <c r="J47" s="148"/>
      <c r="K47" s="148"/>
    </row>
    <row r="48" spans="1:11" s="149" customFormat="1" ht="15" customHeight="1">
      <c r="A48" s="118"/>
      <c r="B48" s="135">
        <v>4210</v>
      </c>
      <c r="C48" s="162" t="s">
        <v>260</v>
      </c>
      <c r="D48" s="163"/>
      <c r="E48" s="124">
        <v>4000</v>
      </c>
      <c r="F48" s="148"/>
      <c r="G48" s="148"/>
      <c r="H48" s="148"/>
      <c r="I48" s="148"/>
      <c r="J48" s="148"/>
      <c r="K48" s="148"/>
    </row>
    <row r="49" spans="1:11" s="149" customFormat="1" ht="15" customHeight="1">
      <c r="A49" s="160"/>
      <c r="B49" s="157">
        <v>4300</v>
      </c>
      <c r="C49" s="151" t="s">
        <v>264</v>
      </c>
      <c r="D49" s="159"/>
      <c r="E49" s="152">
        <v>23000</v>
      </c>
      <c r="F49" s="148"/>
      <c r="G49" s="148"/>
      <c r="H49" s="148"/>
      <c r="I49" s="148"/>
      <c r="J49" s="148"/>
      <c r="K49" s="148"/>
    </row>
    <row r="50" spans="1:11" s="25" customFormat="1" ht="29.25" customHeight="1">
      <c r="A50" s="20">
        <v>4</v>
      </c>
      <c r="B50" s="27"/>
      <c r="C50" s="22" t="s">
        <v>340</v>
      </c>
      <c r="D50" s="28">
        <f>D51</f>
        <v>375000</v>
      </c>
      <c r="E50" s="28">
        <f t="shared" ref="E50" si="0">SUM(E51:E53)</f>
        <v>375000</v>
      </c>
      <c r="F50" s="24"/>
      <c r="G50" s="24"/>
      <c r="H50" s="24"/>
      <c r="I50" s="24"/>
      <c r="J50" s="24"/>
      <c r="K50" s="24"/>
    </row>
    <row r="51" spans="1:11" s="149" customFormat="1" ht="17.25" customHeight="1">
      <c r="A51" s="118"/>
      <c r="B51" s="164">
        <v>85324</v>
      </c>
      <c r="C51" s="165" t="s">
        <v>341</v>
      </c>
      <c r="D51" s="166">
        <f>D52</f>
        <v>375000</v>
      </c>
      <c r="E51" s="166"/>
      <c r="F51" s="148"/>
      <c r="G51" s="148"/>
      <c r="H51" s="148"/>
      <c r="I51" s="148"/>
      <c r="J51" s="148"/>
      <c r="K51" s="148"/>
    </row>
    <row r="52" spans="1:11" s="149" customFormat="1" ht="17.25" customHeight="1">
      <c r="A52" s="118"/>
      <c r="B52" s="150" t="s">
        <v>4</v>
      </c>
      <c r="C52" s="167" t="s">
        <v>5</v>
      </c>
      <c r="D52" s="152">
        <v>375000</v>
      </c>
      <c r="E52" s="159"/>
      <c r="F52" s="148"/>
      <c r="G52" s="148"/>
      <c r="H52" s="148"/>
      <c r="I52" s="148"/>
      <c r="J52" s="148"/>
      <c r="K52" s="148"/>
    </row>
    <row r="53" spans="1:11" s="149" customFormat="1" ht="17.25" customHeight="1">
      <c r="A53" s="118"/>
      <c r="B53" s="158">
        <v>85324</v>
      </c>
      <c r="C53" s="168" t="s">
        <v>342</v>
      </c>
      <c r="D53" s="169"/>
      <c r="E53" s="169">
        <f>SUM(E54:E63)</f>
        <v>375000</v>
      </c>
      <c r="F53" s="148"/>
      <c r="G53" s="148"/>
      <c r="H53" s="148"/>
      <c r="I53" s="148"/>
      <c r="J53" s="148"/>
      <c r="K53" s="148"/>
    </row>
    <row r="54" spans="1:11" s="149" customFormat="1" ht="17.25" customHeight="1">
      <c r="A54" s="118"/>
      <c r="B54" s="135">
        <v>4010</v>
      </c>
      <c r="C54" s="170" t="s">
        <v>254</v>
      </c>
      <c r="D54" s="163"/>
      <c r="E54" s="124">
        <v>240000</v>
      </c>
      <c r="F54" s="148"/>
      <c r="G54" s="148"/>
      <c r="H54" s="148"/>
      <c r="I54" s="148"/>
      <c r="J54" s="148"/>
      <c r="K54" s="148"/>
    </row>
    <row r="55" spans="1:11" s="149" customFormat="1" ht="17.25" customHeight="1">
      <c r="A55" s="118"/>
      <c r="B55" s="135">
        <v>4040</v>
      </c>
      <c r="C55" s="170" t="s">
        <v>255</v>
      </c>
      <c r="D55" s="163"/>
      <c r="E55" s="124">
        <v>25000</v>
      </c>
      <c r="F55" s="148"/>
      <c r="G55" s="148"/>
      <c r="H55" s="148"/>
      <c r="I55" s="148"/>
      <c r="J55" s="148"/>
      <c r="K55" s="148"/>
    </row>
    <row r="56" spans="1:11" s="149" customFormat="1" ht="17.25" customHeight="1">
      <c r="A56" s="118"/>
      <c r="B56" s="135">
        <v>4110</v>
      </c>
      <c r="C56" s="170" t="s">
        <v>256</v>
      </c>
      <c r="D56" s="163"/>
      <c r="E56" s="124">
        <v>41000</v>
      </c>
      <c r="F56" s="148"/>
      <c r="G56" s="148"/>
      <c r="H56" s="148"/>
      <c r="I56" s="148"/>
      <c r="J56" s="148"/>
      <c r="K56" s="148"/>
    </row>
    <row r="57" spans="1:11" s="149" customFormat="1" ht="17.25" customHeight="1">
      <c r="A57" s="118"/>
      <c r="B57" s="135">
        <v>4120</v>
      </c>
      <c r="C57" s="136" t="s">
        <v>257</v>
      </c>
      <c r="D57" s="163"/>
      <c r="E57" s="124">
        <v>5000</v>
      </c>
      <c r="F57" s="148"/>
      <c r="G57" s="148"/>
      <c r="H57" s="148"/>
      <c r="I57" s="148"/>
      <c r="J57" s="148"/>
      <c r="K57" s="148"/>
    </row>
    <row r="58" spans="1:11" s="149" customFormat="1" ht="17.25" customHeight="1">
      <c r="A58" s="118"/>
      <c r="B58" s="135">
        <v>4210</v>
      </c>
      <c r="C58" s="170" t="s">
        <v>260</v>
      </c>
      <c r="D58" s="163"/>
      <c r="E58" s="124">
        <v>50000</v>
      </c>
      <c r="F58" s="148"/>
      <c r="G58" s="148"/>
      <c r="H58" s="148"/>
      <c r="I58" s="148"/>
      <c r="J58" s="148"/>
      <c r="K58" s="148"/>
    </row>
    <row r="59" spans="1:11" s="149" customFormat="1" ht="17.25" customHeight="1">
      <c r="A59" s="118"/>
      <c r="B59" s="135">
        <v>4220</v>
      </c>
      <c r="C59" s="170" t="s">
        <v>261</v>
      </c>
      <c r="D59" s="163"/>
      <c r="E59" s="124">
        <v>2000</v>
      </c>
      <c r="F59" s="148"/>
      <c r="G59" s="148"/>
      <c r="H59" s="148"/>
      <c r="I59" s="148"/>
      <c r="J59" s="148"/>
      <c r="K59" s="148"/>
    </row>
    <row r="60" spans="1:11" s="149" customFormat="1" ht="17.25" customHeight="1">
      <c r="A60" s="118"/>
      <c r="B60" s="135">
        <v>4270</v>
      </c>
      <c r="C60" s="170" t="s">
        <v>263</v>
      </c>
      <c r="D60" s="163"/>
      <c r="E60" s="124">
        <v>2000</v>
      </c>
      <c r="F60" s="148"/>
      <c r="G60" s="148"/>
      <c r="H60" s="148"/>
      <c r="I60" s="148"/>
      <c r="J60" s="148"/>
      <c r="K60" s="148"/>
    </row>
    <row r="61" spans="1:11" s="149" customFormat="1" ht="17.25" customHeight="1">
      <c r="A61" s="118"/>
      <c r="B61" s="135">
        <v>4300</v>
      </c>
      <c r="C61" s="170" t="s">
        <v>264</v>
      </c>
      <c r="D61" s="163"/>
      <c r="E61" s="124">
        <v>2000</v>
      </c>
      <c r="F61" s="148"/>
      <c r="G61" s="148"/>
      <c r="H61" s="148"/>
      <c r="I61" s="148"/>
      <c r="J61" s="148"/>
      <c r="K61" s="148"/>
    </row>
    <row r="62" spans="1:11" s="149" customFormat="1" ht="17.25" customHeight="1">
      <c r="A62" s="118"/>
      <c r="B62" s="135">
        <v>4410</v>
      </c>
      <c r="C62" s="170" t="s">
        <v>267</v>
      </c>
      <c r="D62" s="163"/>
      <c r="E62" s="124">
        <v>3000</v>
      </c>
      <c r="F62" s="148"/>
      <c r="G62" s="148"/>
      <c r="H62" s="148"/>
      <c r="I62" s="148"/>
      <c r="J62" s="148"/>
      <c r="K62" s="148"/>
    </row>
    <row r="63" spans="1:11" s="149" customFormat="1" ht="17.25" customHeight="1">
      <c r="A63" s="118"/>
      <c r="B63" s="135">
        <v>4700</v>
      </c>
      <c r="C63" s="171" t="s">
        <v>332</v>
      </c>
      <c r="D63" s="159"/>
      <c r="E63" s="172">
        <v>5000</v>
      </c>
      <c r="F63" s="148"/>
      <c r="G63" s="148"/>
      <c r="H63" s="148"/>
      <c r="I63" s="148"/>
      <c r="J63" s="148"/>
      <c r="K63" s="148"/>
    </row>
    <row r="64" spans="1:11" s="24" customFormat="1" ht="15.75" customHeight="1">
      <c r="A64" s="29">
        <v>5</v>
      </c>
      <c r="B64" s="27"/>
      <c r="C64" s="30" t="s">
        <v>343</v>
      </c>
      <c r="D64" s="28">
        <f>D65</f>
        <v>910000</v>
      </c>
      <c r="E64" s="28">
        <f>E67</f>
        <v>910000</v>
      </c>
    </row>
    <row r="65" spans="1:11" s="149" customFormat="1" ht="16.5" customHeight="1">
      <c r="A65" s="118"/>
      <c r="B65" s="164">
        <v>90019</v>
      </c>
      <c r="C65" s="165" t="s">
        <v>344</v>
      </c>
      <c r="D65" s="166">
        <f>D66</f>
        <v>910000</v>
      </c>
      <c r="E65" s="166"/>
      <c r="F65" s="148"/>
      <c r="G65" s="148"/>
      <c r="H65" s="148"/>
      <c r="I65" s="148"/>
      <c r="J65" s="148"/>
      <c r="K65" s="148"/>
    </row>
    <row r="66" spans="1:11" s="149" customFormat="1" ht="14.25" customHeight="1">
      <c r="A66" s="118"/>
      <c r="B66" s="150" t="s">
        <v>47</v>
      </c>
      <c r="C66" s="173" t="s">
        <v>48</v>
      </c>
      <c r="D66" s="152">
        <v>910000</v>
      </c>
      <c r="E66" s="159"/>
      <c r="F66" s="148"/>
      <c r="G66" s="148"/>
      <c r="H66" s="148"/>
      <c r="I66" s="148"/>
      <c r="J66" s="148"/>
      <c r="K66" s="148"/>
    </row>
    <row r="67" spans="1:11" s="149" customFormat="1" ht="16.5" customHeight="1">
      <c r="A67" s="118"/>
      <c r="B67" s="174">
        <v>90019</v>
      </c>
      <c r="C67" s="168" t="s">
        <v>345</v>
      </c>
      <c r="D67" s="169"/>
      <c r="E67" s="169">
        <f>SUM(E68:E76)</f>
        <v>910000</v>
      </c>
      <c r="F67" s="148"/>
      <c r="G67" s="148"/>
      <c r="H67" s="148"/>
      <c r="I67" s="148"/>
      <c r="J67" s="148"/>
      <c r="K67" s="148"/>
    </row>
    <row r="68" spans="1:11" s="149" customFormat="1" ht="16.5" customHeight="1">
      <c r="A68" s="118"/>
      <c r="B68" s="135">
        <v>4010</v>
      </c>
      <c r="C68" s="170" t="s">
        <v>254</v>
      </c>
      <c r="D68" s="163"/>
      <c r="E68" s="124">
        <v>425011</v>
      </c>
      <c r="F68" s="148"/>
      <c r="G68" s="148"/>
      <c r="H68" s="148"/>
      <c r="I68" s="148"/>
      <c r="J68" s="148"/>
      <c r="K68" s="148"/>
    </row>
    <row r="69" spans="1:11" s="149" customFormat="1" ht="16.5" customHeight="1">
      <c r="A69" s="118"/>
      <c r="B69" s="135">
        <v>4040</v>
      </c>
      <c r="C69" s="170" t="s">
        <v>255</v>
      </c>
      <c r="D69" s="163"/>
      <c r="E69" s="124">
        <v>65000</v>
      </c>
      <c r="F69" s="148"/>
      <c r="G69" s="148"/>
      <c r="H69" s="148"/>
      <c r="I69" s="148"/>
      <c r="J69" s="148"/>
      <c r="K69" s="148"/>
    </row>
    <row r="70" spans="1:11" s="149" customFormat="1" ht="16.5" customHeight="1">
      <c r="A70" s="118"/>
      <c r="B70" s="135">
        <v>4110</v>
      </c>
      <c r="C70" s="170" t="s">
        <v>256</v>
      </c>
      <c r="D70" s="163"/>
      <c r="E70" s="124">
        <v>84233</v>
      </c>
      <c r="F70" s="148"/>
      <c r="G70" s="148"/>
      <c r="H70" s="148"/>
      <c r="I70" s="148"/>
      <c r="J70" s="148"/>
      <c r="K70" s="148"/>
    </row>
    <row r="71" spans="1:11" s="149" customFormat="1" ht="16.5" customHeight="1">
      <c r="A71" s="118"/>
      <c r="B71" s="135">
        <v>4120</v>
      </c>
      <c r="C71" s="136" t="s">
        <v>257</v>
      </c>
      <c r="D71" s="163"/>
      <c r="E71" s="124">
        <v>12006</v>
      </c>
      <c r="F71" s="148"/>
      <c r="G71" s="148"/>
      <c r="H71" s="148"/>
      <c r="I71" s="148"/>
      <c r="J71" s="148"/>
      <c r="K71" s="148"/>
    </row>
    <row r="72" spans="1:11" s="149" customFormat="1" ht="16.5" customHeight="1">
      <c r="A72" s="118"/>
      <c r="B72" s="139">
        <v>4210</v>
      </c>
      <c r="C72" s="170" t="s">
        <v>260</v>
      </c>
      <c r="D72" s="175"/>
      <c r="E72" s="128">
        <v>10000</v>
      </c>
      <c r="F72" s="148"/>
      <c r="G72" s="148"/>
      <c r="H72" s="148"/>
      <c r="I72" s="148"/>
      <c r="J72" s="148"/>
      <c r="K72" s="148"/>
    </row>
    <row r="73" spans="1:11" s="149" customFormat="1" ht="16.5" customHeight="1">
      <c r="A73" s="118"/>
      <c r="B73" s="135">
        <v>4300</v>
      </c>
      <c r="C73" s="170" t="s">
        <v>264</v>
      </c>
      <c r="D73" s="163"/>
      <c r="E73" s="124">
        <v>300000</v>
      </c>
      <c r="F73" s="148"/>
      <c r="G73" s="148"/>
      <c r="H73" s="148"/>
      <c r="I73" s="148"/>
      <c r="J73" s="148"/>
      <c r="K73" s="148"/>
    </row>
    <row r="74" spans="1:11" s="149" customFormat="1" ht="16.5" customHeight="1">
      <c r="A74" s="118"/>
      <c r="B74" s="135">
        <v>4410</v>
      </c>
      <c r="C74" s="170" t="s">
        <v>267</v>
      </c>
      <c r="D74" s="163"/>
      <c r="E74" s="124">
        <v>400</v>
      </c>
      <c r="F74" s="148"/>
      <c r="G74" s="148"/>
      <c r="H74" s="148"/>
      <c r="I74" s="148"/>
      <c r="J74" s="148"/>
      <c r="K74" s="148"/>
    </row>
    <row r="75" spans="1:11" s="149" customFormat="1" ht="16.5" customHeight="1">
      <c r="A75" s="118"/>
      <c r="B75" s="139">
        <v>4700</v>
      </c>
      <c r="C75" s="140" t="s">
        <v>332</v>
      </c>
      <c r="D75" s="175"/>
      <c r="E75" s="128">
        <v>6000</v>
      </c>
      <c r="F75" s="148"/>
      <c r="G75" s="148"/>
      <c r="H75" s="148"/>
      <c r="I75" s="148"/>
      <c r="J75" s="148"/>
      <c r="K75" s="148"/>
    </row>
    <row r="76" spans="1:11" s="149" customFormat="1" ht="16.5" customHeight="1">
      <c r="A76" s="176"/>
      <c r="B76" s="157">
        <v>4710</v>
      </c>
      <c r="C76" s="171" t="s">
        <v>294</v>
      </c>
      <c r="D76" s="159"/>
      <c r="E76" s="152">
        <v>7350</v>
      </c>
      <c r="F76" s="148"/>
      <c r="G76" s="148"/>
      <c r="H76" s="148"/>
      <c r="I76" s="148"/>
      <c r="J76" s="148"/>
      <c r="K76" s="148"/>
    </row>
    <row r="77" spans="1:11" s="25" customFormat="1" ht="17.25" customHeight="1">
      <c r="A77" s="20">
        <v>6</v>
      </c>
      <c r="B77" s="31"/>
      <c r="C77" s="32" t="s">
        <v>346</v>
      </c>
      <c r="D77" s="33">
        <f>D78+D89</f>
        <v>142550</v>
      </c>
      <c r="E77" s="33">
        <f>E80+E91</f>
        <v>142550</v>
      </c>
      <c r="F77" s="24"/>
      <c r="G77" s="24"/>
      <c r="H77" s="24"/>
      <c r="I77" s="24"/>
      <c r="J77" s="24"/>
      <c r="K77" s="24"/>
    </row>
    <row r="78" spans="1:11" s="149" customFormat="1" ht="29.25" customHeight="1">
      <c r="A78" s="118"/>
      <c r="B78" s="164">
        <v>90020</v>
      </c>
      <c r="C78" s="229" t="s">
        <v>370</v>
      </c>
      <c r="D78" s="166">
        <f>D79</f>
        <v>22500</v>
      </c>
      <c r="E78" s="166"/>
      <c r="F78" s="148"/>
      <c r="G78" s="148"/>
      <c r="H78" s="148"/>
      <c r="I78" s="148"/>
      <c r="J78" s="148"/>
      <c r="K78" s="148"/>
    </row>
    <row r="79" spans="1:11" s="149" customFormat="1" ht="15" customHeight="1">
      <c r="A79" s="118"/>
      <c r="B79" s="150" t="s">
        <v>244</v>
      </c>
      <c r="C79" s="151" t="s">
        <v>245</v>
      </c>
      <c r="D79" s="152">
        <v>22500</v>
      </c>
      <c r="E79" s="159"/>
      <c r="F79" s="148"/>
      <c r="G79" s="148"/>
      <c r="H79" s="148"/>
      <c r="I79" s="148"/>
      <c r="J79" s="148"/>
      <c r="K79" s="148"/>
    </row>
    <row r="80" spans="1:11" s="149" customFormat="1" ht="29.25" customHeight="1">
      <c r="A80" s="118"/>
      <c r="B80" s="178">
        <v>90020</v>
      </c>
      <c r="C80" s="179" t="s">
        <v>347</v>
      </c>
      <c r="D80" s="169"/>
      <c r="E80" s="169">
        <f>SUM(E81:E88)</f>
        <v>22500</v>
      </c>
      <c r="F80" s="148"/>
      <c r="G80" s="148"/>
      <c r="H80" s="148"/>
      <c r="I80" s="148"/>
      <c r="J80" s="148"/>
      <c r="K80" s="148"/>
    </row>
    <row r="81" spans="1:11" s="181" customFormat="1" ht="16.5" customHeight="1">
      <c r="A81" s="118"/>
      <c r="B81" s="135">
        <v>4010</v>
      </c>
      <c r="C81" s="170" t="s">
        <v>254</v>
      </c>
      <c r="D81" s="163"/>
      <c r="E81" s="124">
        <v>12782</v>
      </c>
      <c r="F81" s="180"/>
      <c r="G81" s="180"/>
      <c r="H81" s="180"/>
      <c r="I81" s="180"/>
      <c r="J81" s="180"/>
      <c r="K81" s="180"/>
    </row>
    <row r="82" spans="1:11" s="149" customFormat="1" ht="16.5" customHeight="1">
      <c r="A82" s="118"/>
      <c r="B82" s="135">
        <v>4040</v>
      </c>
      <c r="C82" s="170" t="s">
        <v>255</v>
      </c>
      <c r="D82" s="163"/>
      <c r="E82" s="124">
        <v>800</v>
      </c>
      <c r="F82" s="148"/>
      <c r="G82" s="148"/>
      <c r="H82" s="148"/>
      <c r="I82" s="148"/>
      <c r="J82" s="148"/>
      <c r="K82" s="148"/>
    </row>
    <row r="83" spans="1:11" s="181" customFormat="1" ht="16.5" customHeight="1">
      <c r="A83" s="118"/>
      <c r="B83" s="135">
        <v>4110</v>
      </c>
      <c r="C83" s="170" t="s">
        <v>256</v>
      </c>
      <c r="D83" s="163"/>
      <c r="E83" s="124">
        <v>2335</v>
      </c>
      <c r="F83" s="180"/>
      <c r="G83" s="180"/>
      <c r="H83" s="180"/>
      <c r="I83" s="180"/>
      <c r="J83" s="180"/>
      <c r="K83" s="180"/>
    </row>
    <row r="84" spans="1:11" s="181" customFormat="1" ht="16.5" customHeight="1">
      <c r="A84" s="118"/>
      <c r="B84" s="135">
        <v>4120</v>
      </c>
      <c r="C84" s="136" t="s">
        <v>257</v>
      </c>
      <c r="D84" s="163"/>
      <c r="E84" s="124">
        <v>334</v>
      </c>
      <c r="F84" s="180"/>
      <c r="G84" s="180"/>
      <c r="H84" s="180"/>
      <c r="I84" s="180"/>
      <c r="J84" s="180"/>
      <c r="K84" s="180"/>
    </row>
    <row r="85" spans="1:11" s="149" customFormat="1" ht="16.5" customHeight="1">
      <c r="A85" s="118"/>
      <c r="B85" s="139">
        <v>4210</v>
      </c>
      <c r="C85" s="170" t="s">
        <v>260</v>
      </c>
      <c r="D85" s="175"/>
      <c r="E85" s="128">
        <v>1000</v>
      </c>
      <c r="F85" s="148"/>
      <c r="G85" s="148"/>
      <c r="H85" s="148"/>
      <c r="I85" s="148"/>
      <c r="J85" s="148"/>
      <c r="K85" s="148"/>
    </row>
    <row r="86" spans="1:11" s="181" customFormat="1" ht="16.5" customHeight="1">
      <c r="A86" s="118"/>
      <c r="B86" s="139">
        <v>4610</v>
      </c>
      <c r="C86" s="127" t="s">
        <v>272</v>
      </c>
      <c r="D86" s="175"/>
      <c r="E86" s="128">
        <v>500</v>
      </c>
      <c r="F86" s="180"/>
      <c r="G86" s="180"/>
      <c r="H86" s="180"/>
      <c r="I86" s="180"/>
      <c r="J86" s="180"/>
      <c r="K86" s="180"/>
    </row>
    <row r="87" spans="1:11" s="149" customFormat="1" ht="16.5" customHeight="1">
      <c r="A87" s="118"/>
      <c r="B87" s="139">
        <v>4700</v>
      </c>
      <c r="C87" s="140" t="s">
        <v>332</v>
      </c>
      <c r="D87" s="175"/>
      <c r="E87" s="128">
        <v>4000</v>
      </c>
      <c r="F87" s="148"/>
      <c r="G87" s="148"/>
      <c r="H87" s="148"/>
      <c r="I87" s="148"/>
      <c r="J87" s="148"/>
      <c r="K87" s="148"/>
    </row>
    <row r="88" spans="1:11" s="149" customFormat="1" ht="16.5" customHeight="1">
      <c r="A88" s="158"/>
      <c r="B88" s="157">
        <v>4710</v>
      </c>
      <c r="C88" s="171" t="s">
        <v>294</v>
      </c>
      <c r="D88" s="159"/>
      <c r="E88" s="152">
        <v>749</v>
      </c>
      <c r="F88" s="148"/>
      <c r="G88" s="148"/>
      <c r="H88" s="148"/>
      <c r="I88" s="148"/>
      <c r="J88" s="148"/>
      <c r="K88" s="148"/>
    </row>
    <row r="89" spans="1:11" s="149" customFormat="1" ht="16.5" customHeight="1">
      <c r="A89" s="158"/>
      <c r="B89" s="164">
        <v>90026</v>
      </c>
      <c r="C89" s="229" t="s">
        <v>371</v>
      </c>
      <c r="D89" s="166">
        <f>D90</f>
        <v>120050</v>
      </c>
      <c r="E89" s="166"/>
      <c r="F89" s="148"/>
      <c r="G89" s="148"/>
      <c r="H89" s="148"/>
      <c r="I89" s="148"/>
      <c r="J89" s="148"/>
      <c r="K89" s="148"/>
    </row>
    <row r="90" spans="1:11" s="149" customFormat="1" ht="16.5" customHeight="1">
      <c r="A90" s="118"/>
      <c r="B90" s="150" t="s">
        <v>247</v>
      </c>
      <c r="C90" s="151" t="s">
        <v>248</v>
      </c>
      <c r="D90" s="152">
        <v>120050</v>
      </c>
      <c r="E90" s="159"/>
      <c r="F90" s="148"/>
      <c r="G90" s="148"/>
      <c r="H90" s="148"/>
      <c r="I90" s="148"/>
      <c r="J90" s="148"/>
      <c r="K90" s="148"/>
    </row>
    <row r="91" spans="1:11" s="187" customFormat="1" ht="16.5" customHeight="1">
      <c r="A91" s="182"/>
      <c r="B91" s="183">
        <v>90026</v>
      </c>
      <c r="C91" s="184" t="s">
        <v>348</v>
      </c>
      <c r="D91" s="185"/>
      <c r="E91" s="185">
        <f>SUM(E92:E98)</f>
        <v>120050</v>
      </c>
      <c r="F91" s="186"/>
      <c r="G91" s="186"/>
      <c r="H91" s="186"/>
      <c r="I91" s="186"/>
      <c r="J91" s="186"/>
      <c r="K91" s="186"/>
    </row>
    <row r="92" spans="1:11" s="149" customFormat="1" ht="16.5" customHeight="1">
      <c r="A92" s="118"/>
      <c r="B92" s="135">
        <v>4010</v>
      </c>
      <c r="C92" s="170" t="s">
        <v>254</v>
      </c>
      <c r="D92" s="124"/>
      <c r="E92" s="124">
        <v>66184</v>
      </c>
      <c r="F92" s="148"/>
      <c r="G92" s="148"/>
      <c r="H92" s="148"/>
      <c r="I92" s="148"/>
      <c r="J92" s="148"/>
      <c r="K92" s="148"/>
    </row>
    <row r="93" spans="1:11" s="149" customFormat="1" ht="16.5" customHeight="1">
      <c r="A93" s="118"/>
      <c r="B93" s="135">
        <v>4040</v>
      </c>
      <c r="C93" s="170" t="s">
        <v>255</v>
      </c>
      <c r="D93" s="124"/>
      <c r="E93" s="124">
        <v>6500</v>
      </c>
      <c r="F93" s="148"/>
      <c r="G93" s="148"/>
      <c r="H93" s="148"/>
      <c r="I93" s="148"/>
      <c r="J93" s="148"/>
      <c r="K93" s="148"/>
    </row>
    <row r="94" spans="1:11" s="149" customFormat="1" ht="16.5" customHeight="1">
      <c r="A94" s="118"/>
      <c r="B94" s="135">
        <v>4110</v>
      </c>
      <c r="C94" s="170" t="s">
        <v>256</v>
      </c>
      <c r="D94" s="124"/>
      <c r="E94" s="124">
        <v>12495</v>
      </c>
      <c r="F94" s="148"/>
      <c r="G94" s="148"/>
      <c r="H94" s="148"/>
      <c r="I94" s="148"/>
      <c r="J94" s="148"/>
      <c r="K94" s="148"/>
    </row>
    <row r="95" spans="1:11" s="149" customFormat="1" ht="16.5" customHeight="1">
      <c r="A95" s="158"/>
      <c r="B95" s="135">
        <v>4120</v>
      </c>
      <c r="C95" s="136" t="s">
        <v>257</v>
      </c>
      <c r="D95" s="124"/>
      <c r="E95" s="124">
        <v>1781</v>
      </c>
      <c r="F95" s="148"/>
      <c r="G95" s="148"/>
      <c r="H95" s="148"/>
      <c r="I95" s="148"/>
      <c r="J95" s="148"/>
      <c r="K95" s="148"/>
    </row>
    <row r="96" spans="1:11" s="149" customFormat="1" ht="16.5" customHeight="1">
      <c r="A96" s="118"/>
      <c r="B96" s="188">
        <v>4210</v>
      </c>
      <c r="C96" s="189" t="s">
        <v>260</v>
      </c>
      <c r="D96" s="172"/>
      <c r="E96" s="172">
        <v>30000</v>
      </c>
      <c r="F96" s="148"/>
      <c r="G96" s="148"/>
      <c r="H96" s="148"/>
      <c r="I96" s="148"/>
      <c r="J96" s="148"/>
      <c r="K96" s="148"/>
    </row>
    <row r="97" spans="1:11" s="187" customFormat="1" ht="16.5" customHeight="1">
      <c r="A97" s="182"/>
      <c r="B97" s="190">
        <v>4700</v>
      </c>
      <c r="C97" s="140" t="s">
        <v>332</v>
      </c>
      <c r="D97" s="191"/>
      <c r="E97" s="192">
        <v>2000</v>
      </c>
      <c r="F97" s="186"/>
      <c r="G97" s="186"/>
      <c r="H97" s="186"/>
      <c r="I97" s="186"/>
      <c r="J97" s="186"/>
      <c r="K97" s="186"/>
    </row>
    <row r="98" spans="1:11" s="149" customFormat="1" ht="16.5" customHeight="1">
      <c r="A98" s="176"/>
      <c r="B98" s="157">
        <v>4710</v>
      </c>
      <c r="C98" s="171" t="s">
        <v>294</v>
      </c>
      <c r="D98" s="159"/>
      <c r="E98" s="152">
        <v>1090</v>
      </c>
      <c r="F98" s="148"/>
      <c r="G98" s="148"/>
      <c r="H98" s="148"/>
      <c r="I98" s="148"/>
      <c r="J98" s="148"/>
      <c r="K98" s="148"/>
    </row>
    <row r="99" spans="1:11" s="25" customFormat="1" ht="31.5" customHeight="1">
      <c r="A99" s="20">
        <v>7</v>
      </c>
      <c r="B99" s="31"/>
      <c r="C99" s="34" t="s">
        <v>349</v>
      </c>
      <c r="D99" s="23">
        <f>D100</f>
        <v>1748</v>
      </c>
      <c r="E99" s="23">
        <f>E102</f>
        <v>1748</v>
      </c>
      <c r="F99" s="24"/>
      <c r="G99" s="24"/>
      <c r="H99" s="24"/>
      <c r="I99" s="24"/>
      <c r="J99" s="24"/>
      <c r="K99" s="24"/>
    </row>
    <row r="100" spans="1:11" s="149" customFormat="1" ht="48" customHeight="1">
      <c r="A100" s="118"/>
      <c r="B100" s="164">
        <v>90020</v>
      </c>
      <c r="C100" s="229" t="s">
        <v>372</v>
      </c>
      <c r="D100" s="166">
        <f>D101</f>
        <v>1748</v>
      </c>
      <c r="E100" s="166"/>
      <c r="F100" s="148"/>
      <c r="G100" s="148"/>
      <c r="H100" s="148"/>
      <c r="I100" s="148"/>
      <c r="J100" s="148"/>
      <c r="K100" s="148"/>
    </row>
    <row r="101" spans="1:11" s="181" customFormat="1" ht="16.5" customHeight="1">
      <c r="A101" s="118"/>
      <c r="B101" s="150" t="s">
        <v>244</v>
      </c>
      <c r="C101" s="151" t="s">
        <v>245</v>
      </c>
      <c r="D101" s="152">
        <v>1748</v>
      </c>
      <c r="E101" s="159"/>
      <c r="F101" s="180"/>
      <c r="G101" s="180"/>
      <c r="H101" s="180"/>
      <c r="I101" s="180"/>
      <c r="J101" s="180"/>
      <c r="K101" s="180"/>
    </row>
    <row r="102" spans="1:11" s="194" customFormat="1" ht="35.25" customHeight="1">
      <c r="A102" s="118"/>
      <c r="B102" s="178">
        <v>90020</v>
      </c>
      <c r="C102" s="179" t="s">
        <v>363</v>
      </c>
      <c r="D102" s="169"/>
      <c r="E102" s="169">
        <f>SUM(E103:E103)</f>
        <v>1748</v>
      </c>
      <c r="F102" s="193"/>
      <c r="G102" s="193"/>
      <c r="H102" s="193"/>
      <c r="I102" s="193"/>
      <c r="J102" s="193"/>
      <c r="K102" s="193"/>
    </row>
    <row r="103" spans="1:11" s="149" customFormat="1" ht="16.5" customHeight="1">
      <c r="A103" s="118"/>
      <c r="B103" s="135">
        <v>4210</v>
      </c>
      <c r="C103" s="170" t="s">
        <v>260</v>
      </c>
      <c r="D103" s="163"/>
      <c r="E103" s="124">
        <v>1748</v>
      </c>
      <c r="F103" s="148"/>
      <c r="G103" s="148"/>
      <c r="H103" s="148"/>
      <c r="I103" s="148"/>
      <c r="J103" s="148"/>
      <c r="K103" s="148"/>
    </row>
    <row r="104" spans="1:11" s="25" customFormat="1" ht="20.25" customHeight="1">
      <c r="A104" s="20">
        <v>8</v>
      </c>
      <c r="B104" s="31"/>
      <c r="C104" s="22" t="s">
        <v>350</v>
      </c>
      <c r="D104" s="23">
        <f>D105</f>
        <v>3510</v>
      </c>
      <c r="E104" s="23">
        <f>E107</f>
        <v>3510</v>
      </c>
      <c r="F104" s="24"/>
      <c r="G104" s="24"/>
      <c r="H104" s="24"/>
      <c r="I104" s="24"/>
      <c r="J104" s="24"/>
      <c r="K104" s="24"/>
    </row>
    <row r="105" spans="1:11" s="149" customFormat="1" ht="30.75" customHeight="1">
      <c r="A105" s="118"/>
      <c r="B105" s="164">
        <v>90024</v>
      </c>
      <c r="C105" s="195" t="s">
        <v>351</v>
      </c>
      <c r="D105" s="166">
        <f>D106</f>
        <v>3510</v>
      </c>
      <c r="E105" s="166"/>
      <c r="F105" s="148"/>
      <c r="G105" s="148"/>
      <c r="H105" s="148"/>
      <c r="I105" s="148"/>
      <c r="J105" s="148"/>
      <c r="K105" s="148"/>
    </row>
    <row r="106" spans="1:11" s="181" customFormat="1" ht="15" customHeight="1">
      <c r="A106" s="118"/>
      <c r="B106" s="150" t="s">
        <v>47</v>
      </c>
      <c r="C106" s="173" t="s">
        <v>48</v>
      </c>
      <c r="D106" s="152">
        <v>3510</v>
      </c>
      <c r="E106" s="159"/>
      <c r="F106" s="180"/>
      <c r="G106" s="180"/>
      <c r="H106" s="180"/>
      <c r="I106" s="180"/>
      <c r="J106" s="180"/>
      <c r="K106" s="180"/>
    </row>
    <row r="107" spans="1:11" s="149" customFormat="1" ht="29.25" customHeight="1">
      <c r="A107" s="118"/>
      <c r="B107" s="196">
        <v>90024</v>
      </c>
      <c r="C107" s="197" t="s">
        <v>352</v>
      </c>
      <c r="D107" s="169"/>
      <c r="E107" s="198">
        <f>E108</f>
        <v>3510</v>
      </c>
      <c r="F107" s="148"/>
      <c r="G107" s="148"/>
      <c r="H107" s="148"/>
      <c r="I107" s="148"/>
      <c r="J107" s="148"/>
      <c r="K107" s="148"/>
    </row>
    <row r="108" spans="1:11" s="149" customFormat="1" ht="18" customHeight="1">
      <c r="A108" s="118"/>
      <c r="B108" s="135">
        <v>4210</v>
      </c>
      <c r="C108" s="170" t="s">
        <v>260</v>
      </c>
      <c r="D108" s="163"/>
      <c r="E108" s="124">
        <v>3510</v>
      </c>
      <c r="F108" s="148"/>
      <c r="G108" s="148"/>
      <c r="H108" s="148"/>
      <c r="I108" s="148"/>
      <c r="J108" s="148"/>
      <c r="K108" s="148"/>
    </row>
    <row r="109" spans="1:11" s="25" customFormat="1" ht="18" customHeight="1">
      <c r="A109" s="20">
        <v>9</v>
      </c>
      <c r="B109" s="27"/>
      <c r="C109" s="22" t="s">
        <v>353</v>
      </c>
      <c r="D109" s="28">
        <f>D110</f>
        <v>250</v>
      </c>
      <c r="E109" s="28">
        <f>E112</f>
        <v>250</v>
      </c>
      <c r="F109" s="24"/>
      <c r="G109" s="24"/>
      <c r="H109" s="24"/>
      <c r="I109" s="24"/>
      <c r="J109" s="24"/>
      <c r="K109" s="24"/>
    </row>
    <row r="110" spans="1:11" s="149" customFormat="1" ht="18" customHeight="1">
      <c r="A110" s="118"/>
      <c r="B110" s="164">
        <v>90026</v>
      </c>
      <c r="C110" s="177" t="s">
        <v>354</v>
      </c>
      <c r="D110" s="166">
        <f>D111</f>
        <v>250</v>
      </c>
      <c r="E110" s="166"/>
      <c r="F110" s="148"/>
      <c r="G110" s="148"/>
      <c r="H110" s="148"/>
      <c r="I110" s="148"/>
      <c r="J110" s="148"/>
      <c r="K110" s="148"/>
    </row>
    <row r="111" spans="1:11" s="149" customFormat="1" ht="18" customHeight="1">
      <c r="A111" s="118"/>
      <c r="B111" s="150" t="s">
        <v>247</v>
      </c>
      <c r="C111" s="151" t="s">
        <v>248</v>
      </c>
      <c r="D111" s="152">
        <v>250</v>
      </c>
      <c r="E111" s="159"/>
      <c r="F111" s="148"/>
      <c r="G111" s="148"/>
      <c r="H111" s="148"/>
      <c r="I111" s="148"/>
      <c r="J111" s="148"/>
      <c r="K111" s="148"/>
    </row>
    <row r="112" spans="1:11" s="149" customFormat="1" ht="18" customHeight="1">
      <c r="A112" s="118"/>
      <c r="B112" s="178">
        <v>90026</v>
      </c>
      <c r="C112" s="179" t="s">
        <v>355</v>
      </c>
      <c r="D112" s="169"/>
      <c r="E112" s="169">
        <f>E113</f>
        <v>250</v>
      </c>
      <c r="F112" s="148"/>
      <c r="G112" s="148"/>
      <c r="H112" s="148"/>
      <c r="I112" s="148"/>
      <c r="J112" s="148"/>
      <c r="K112" s="148"/>
    </row>
    <row r="113" spans="1:11" s="149" customFormat="1" ht="18" customHeight="1">
      <c r="A113" s="160"/>
      <c r="B113" s="157">
        <v>4210</v>
      </c>
      <c r="C113" s="170" t="s">
        <v>260</v>
      </c>
      <c r="D113" s="159"/>
      <c r="E113" s="152">
        <v>250</v>
      </c>
      <c r="F113" s="148"/>
      <c r="G113" s="148"/>
      <c r="H113" s="148"/>
      <c r="I113" s="148"/>
      <c r="J113" s="148"/>
      <c r="K113" s="148"/>
    </row>
    <row r="114" spans="1:11" s="25" customFormat="1" ht="18" customHeight="1">
      <c r="A114" s="20">
        <v>10</v>
      </c>
      <c r="B114" s="27"/>
      <c r="C114" s="22" t="s">
        <v>356</v>
      </c>
      <c r="D114" s="28">
        <f>D115</f>
        <v>350</v>
      </c>
      <c r="E114" s="28">
        <f>E117</f>
        <v>350</v>
      </c>
      <c r="F114" s="24"/>
      <c r="G114" s="24"/>
      <c r="H114" s="24"/>
      <c r="I114" s="24"/>
      <c r="J114" s="24"/>
      <c r="K114" s="24"/>
    </row>
    <row r="115" spans="1:11" s="149" customFormat="1" ht="18" customHeight="1">
      <c r="A115" s="118"/>
      <c r="B115" s="164">
        <v>90095</v>
      </c>
      <c r="C115" s="177" t="s">
        <v>357</v>
      </c>
      <c r="D115" s="166">
        <f>D116</f>
        <v>350</v>
      </c>
      <c r="E115" s="166"/>
      <c r="F115" s="148"/>
      <c r="G115" s="148"/>
      <c r="H115" s="148"/>
      <c r="I115" s="148"/>
      <c r="J115" s="148"/>
      <c r="K115" s="148"/>
    </row>
    <row r="116" spans="1:11" s="181" customFormat="1" ht="18" customHeight="1">
      <c r="A116" s="118"/>
      <c r="B116" s="150" t="s">
        <v>47</v>
      </c>
      <c r="C116" s="173" t="s">
        <v>48</v>
      </c>
      <c r="D116" s="152">
        <v>350</v>
      </c>
      <c r="E116" s="159"/>
      <c r="F116" s="180"/>
      <c r="G116" s="180"/>
      <c r="H116" s="180"/>
      <c r="I116" s="180"/>
      <c r="J116" s="180"/>
      <c r="K116" s="180"/>
    </row>
    <row r="117" spans="1:11" s="149" customFormat="1" ht="18" customHeight="1">
      <c r="A117" s="118"/>
      <c r="B117" s="174">
        <v>90095</v>
      </c>
      <c r="C117" s="179" t="s">
        <v>358</v>
      </c>
      <c r="D117" s="169"/>
      <c r="E117" s="169">
        <f>E118</f>
        <v>350</v>
      </c>
      <c r="F117" s="148"/>
      <c r="G117" s="148"/>
      <c r="H117" s="148"/>
      <c r="I117" s="148"/>
      <c r="J117" s="148"/>
      <c r="K117" s="148"/>
    </row>
    <row r="118" spans="1:11" s="149" customFormat="1" ht="18" customHeight="1">
      <c r="A118" s="160"/>
      <c r="B118" s="157">
        <v>4210</v>
      </c>
      <c r="C118" s="170" t="s">
        <v>260</v>
      </c>
      <c r="D118" s="159"/>
      <c r="E118" s="152">
        <v>350</v>
      </c>
      <c r="F118" s="148"/>
      <c r="G118" s="148"/>
      <c r="H118" s="148"/>
      <c r="I118" s="148"/>
      <c r="J118" s="148"/>
      <c r="K118" s="148"/>
    </row>
    <row r="119" spans="1:11" s="36" customFormat="1" ht="18" customHeight="1">
      <c r="A119" s="20">
        <v>11</v>
      </c>
      <c r="B119" s="31"/>
      <c r="C119" s="22" t="s">
        <v>359</v>
      </c>
      <c r="D119" s="28">
        <f>D120</f>
        <v>231725</v>
      </c>
      <c r="E119" s="28">
        <f>E122</f>
        <v>231725</v>
      </c>
      <c r="F119" s="35"/>
      <c r="G119" s="35"/>
      <c r="H119" s="35"/>
      <c r="I119" s="35"/>
      <c r="J119" s="35"/>
      <c r="K119" s="35"/>
    </row>
    <row r="120" spans="1:11" s="149" customFormat="1" ht="18" customHeight="1">
      <c r="A120" s="118"/>
      <c r="B120" s="164">
        <v>90095</v>
      </c>
      <c r="C120" s="230" t="s">
        <v>373</v>
      </c>
      <c r="D120" s="166">
        <f>D121</f>
        <v>231725</v>
      </c>
      <c r="E120" s="166"/>
      <c r="F120" s="148"/>
      <c r="G120" s="148"/>
      <c r="H120" s="148"/>
      <c r="I120" s="148"/>
      <c r="J120" s="148"/>
      <c r="K120" s="148"/>
    </row>
    <row r="121" spans="1:11" s="149" customFormat="1" ht="18" customHeight="1">
      <c r="A121" s="118"/>
      <c r="B121" s="150" t="s">
        <v>47</v>
      </c>
      <c r="C121" s="173" t="s">
        <v>48</v>
      </c>
      <c r="D121" s="152">
        <v>231725</v>
      </c>
      <c r="E121" s="199"/>
      <c r="F121" s="148"/>
      <c r="G121" s="148"/>
      <c r="H121" s="148"/>
      <c r="I121" s="148"/>
      <c r="J121" s="148"/>
      <c r="K121" s="148"/>
    </row>
    <row r="122" spans="1:11" s="149" customFormat="1" ht="18" customHeight="1">
      <c r="A122" s="118"/>
      <c r="B122" s="174">
        <v>90095</v>
      </c>
      <c r="C122" s="200" t="s">
        <v>360</v>
      </c>
      <c r="D122" s="169"/>
      <c r="E122" s="169">
        <f>SUM(E123:E130)</f>
        <v>231725</v>
      </c>
      <c r="F122" s="148"/>
      <c r="G122" s="148"/>
      <c r="H122" s="148"/>
      <c r="I122" s="148"/>
      <c r="J122" s="148"/>
      <c r="K122" s="148"/>
    </row>
    <row r="123" spans="1:11" s="181" customFormat="1" ht="18" customHeight="1">
      <c r="A123" s="118"/>
      <c r="B123" s="135">
        <v>4010</v>
      </c>
      <c r="C123" s="170" t="s">
        <v>254</v>
      </c>
      <c r="D123" s="163"/>
      <c r="E123" s="124">
        <v>150046</v>
      </c>
      <c r="F123" s="180"/>
      <c r="G123" s="180"/>
      <c r="H123" s="180"/>
      <c r="I123" s="180"/>
      <c r="J123" s="180"/>
      <c r="K123" s="180"/>
    </row>
    <row r="124" spans="1:11" s="181" customFormat="1" ht="18" customHeight="1">
      <c r="A124" s="118"/>
      <c r="B124" s="135">
        <v>4040</v>
      </c>
      <c r="C124" s="170" t="s">
        <v>255</v>
      </c>
      <c r="D124" s="163"/>
      <c r="E124" s="124">
        <v>14000</v>
      </c>
      <c r="F124" s="180"/>
      <c r="G124" s="180"/>
      <c r="H124" s="180"/>
      <c r="I124" s="180"/>
      <c r="J124" s="180"/>
      <c r="K124" s="180"/>
    </row>
    <row r="125" spans="1:11" s="181" customFormat="1" ht="18" customHeight="1">
      <c r="A125" s="118"/>
      <c r="B125" s="139">
        <v>4110</v>
      </c>
      <c r="C125" s="201" t="s">
        <v>256</v>
      </c>
      <c r="D125" s="175"/>
      <c r="E125" s="128">
        <v>28200</v>
      </c>
      <c r="F125" s="180"/>
      <c r="G125" s="180"/>
      <c r="H125" s="180"/>
      <c r="I125" s="180"/>
      <c r="J125" s="180"/>
      <c r="K125" s="180"/>
    </row>
    <row r="126" spans="1:11" s="181" customFormat="1" ht="18" customHeight="1">
      <c r="A126" s="118"/>
      <c r="B126" s="202">
        <v>4120</v>
      </c>
      <c r="C126" s="203" t="s">
        <v>257</v>
      </c>
      <c r="D126" s="169"/>
      <c r="E126" s="204">
        <v>4019</v>
      </c>
      <c r="F126" s="180"/>
      <c r="G126" s="180"/>
      <c r="H126" s="180"/>
      <c r="I126" s="180"/>
      <c r="J126" s="180"/>
      <c r="K126" s="180"/>
    </row>
    <row r="127" spans="1:11" s="181" customFormat="1" ht="18" customHeight="1">
      <c r="A127" s="118"/>
      <c r="B127" s="135">
        <v>4210</v>
      </c>
      <c r="C127" s="170" t="s">
        <v>260</v>
      </c>
      <c r="D127" s="163"/>
      <c r="E127" s="124">
        <v>20000</v>
      </c>
      <c r="F127" s="180"/>
      <c r="G127" s="180"/>
      <c r="H127" s="180"/>
      <c r="I127" s="180"/>
      <c r="J127" s="180"/>
      <c r="K127" s="180"/>
    </row>
    <row r="128" spans="1:11" s="149" customFormat="1" ht="18" customHeight="1">
      <c r="A128" s="118"/>
      <c r="B128" s="135">
        <v>4300</v>
      </c>
      <c r="C128" s="170" t="s">
        <v>264</v>
      </c>
      <c r="D128" s="163"/>
      <c r="E128" s="124">
        <v>3000</v>
      </c>
      <c r="F128" s="148"/>
      <c r="G128" s="148"/>
      <c r="H128" s="148"/>
      <c r="I128" s="148"/>
      <c r="J128" s="148"/>
      <c r="K128" s="148"/>
    </row>
    <row r="129" spans="1:11" s="149" customFormat="1" ht="18" customHeight="1">
      <c r="A129" s="118"/>
      <c r="B129" s="135">
        <v>4700</v>
      </c>
      <c r="C129" s="140" t="s">
        <v>332</v>
      </c>
      <c r="D129" s="175"/>
      <c r="E129" s="128">
        <v>10000</v>
      </c>
      <c r="F129" s="148"/>
      <c r="G129" s="148"/>
      <c r="H129" s="148"/>
      <c r="I129" s="148"/>
      <c r="J129" s="148"/>
      <c r="K129" s="148"/>
    </row>
    <row r="130" spans="1:11" s="149" customFormat="1" ht="18" customHeight="1">
      <c r="A130" s="176"/>
      <c r="B130" s="157">
        <v>4710</v>
      </c>
      <c r="C130" s="171" t="s">
        <v>294</v>
      </c>
      <c r="D130" s="159"/>
      <c r="E130" s="152">
        <v>2460</v>
      </c>
      <c r="F130" s="148"/>
      <c r="G130" s="148"/>
      <c r="H130" s="148"/>
      <c r="I130" s="148"/>
      <c r="J130" s="148"/>
      <c r="K130" s="148"/>
    </row>
    <row r="131" spans="1:11" s="181" customFormat="1" ht="18" customHeight="1">
      <c r="A131" s="1126" t="s">
        <v>361</v>
      </c>
      <c r="B131" s="1127"/>
      <c r="C131" s="1128"/>
      <c r="D131" s="37">
        <f>D31+D77+D99+D104+D64+D50+D114+D109+D119+D11+D26</f>
        <v>50336675</v>
      </c>
      <c r="E131" s="37">
        <f>E31+E77+E99+E104+E64+E50+E114+E109+E119+E11+E26</f>
        <v>52506675</v>
      </c>
      <c r="F131" s="180"/>
      <c r="G131" s="180"/>
      <c r="H131" s="180"/>
      <c r="I131" s="180"/>
      <c r="J131" s="180"/>
      <c r="K131" s="180"/>
    </row>
  </sheetData>
  <sheetProtection algorithmName="SHA-512" hashValue="0lXUihq6AcqXUryS048uUHNFNq0AKv9L8LxGTiLCFOOg02J1KoMcEjsXDRQkmIaVjnzaDzCRbcl3p0boRvY4HA==" saltValue="oEtfd9dg+fJ/AIJLod0OjQ==" spinCount="100000" sheet="1" objects="1" scenarios="1"/>
  <mergeCells count="7">
    <mergeCell ref="A7:E7"/>
    <mergeCell ref="A131:C131"/>
    <mergeCell ref="C1:E1"/>
    <mergeCell ref="C2:E2"/>
    <mergeCell ref="C3:E3"/>
    <mergeCell ref="A5:E5"/>
    <mergeCell ref="A6:E6"/>
  </mergeCells>
  <printOptions horizontalCentered="1"/>
  <pageMargins left="0.70866141732283472" right="0.70866141732283472" top="0.98425196850393704" bottom="0.74803149606299213" header="0.31496062992125984" footer="0.19685039370078741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64"/>
  <sheetViews>
    <sheetView view="pageBreakPreview" topLeftCell="A128" zoomScaleNormal="100" zoomScaleSheetLayoutView="100" workbookViewId="0">
      <selection activeCell="F169" sqref="F169"/>
    </sheetView>
  </sheetViews>
  <sheetFormatPr defaultRowHeight="12.75"/>
  <cols>
    <col min="1" max="1" width="3.625" style="666" customWidth="1"/>
    <col min="2" max="2" width="8" style="512" customWidth="1"/>
    <col min="3" max="3" width="40.75" style="512" customWidth="1"/>
    <col min="4" max="4" width="13.125" style="357" customWidth="1"/>
    <col min="5" max="5" width="1.625" style="512" customWidth="1"/>
    <col min="6" max="6" width="40.75" style="512" customWidth="1"/>
    <col min="7" max="7" width="13.875" style="357" customWidth="1"/>
    <col min="8" max="256" width="9" style="512"/>
    <col min="257" max="257" width="3.625" style="512" customWidth="1"/>
    <col min="258" max="258" width="8" style="512" customWidth="1"/>
    <col min="259" max="259" width="40.75" style="512" customWidth="1"/>
    <col min="260" max="260" width="13.125" style="512" customWidth="1"/>
    <col min="261" max="261" width="1.625" style="512" customWidth="1"/>
    <col min="262" max="262" width="40.75" style="512" customWidth="1"/>
    <col min="263" max="263" width="13.875" style="512" customWidth="1"/>
    <col min="264" max="512" width="9" style="512"/>
    <col min="513" max="513" width="3.625" style="512" customWidth="1"/>
    <col min="514" max="514" width="8" style="512" customWidth="1"/>
    <col min="515" max="515" width="40.75" style="512" customWidth="1"/>
    <col min="516" max="516" width="13.125" style="512" customWidth="1"/>
    <col min="517" max="517" width="1.625" style="512" customWidth="1"/>
    <col min="518" max="518" width="40.75" style="512" customWidth="1"/>
    <col min="519" max="519" width="13.875" style="512" customWidth="1"/>
    <col min="520" max="768" width="9" style="512"/>
    <col min="769" max="769" width="3.625" style="512" customWidth="1"/>
    <col min="770" max="770" width="8" style="512" customWidth="1"/>
    <col min="771" max="771" width="40.75" style="512" customWidth="1"/>
    <col min="772" max="772" width="13.125" style="512" customWidth="1"/>
    <col min="773" max="773" width="1.625" style="512" customWidth="1"/>
    <col min="774" max="774" width="40.75" style="512" customWidth="1"/>
    <col min="775" max="775" width="13.875" style="512" customWidth="1"/>
    <col min="776" max="1024" width="9" style="512"/>
    <col min="1025" max="1025" width="3.625" style="512" customWidth="1"/>
    <col min="1026" max="1026" width="8" style="512" customWidth="1"/>
    <col min="1027" max="1027" width="40.75" style="512" customWidth="1"/>
    <col min="1028" max="1028" width="13.125" style="512" customWidth="1"/>
    <col min="1029" max="1029" width="1.625" style="512" customWidth="1"/>
    <col min="1030" max="1030" width="40.75" style="512" customWidth="1"/>
    <col min="1031" max="1031" width="13.875" style="512" customWidth="1"/>
    <col min="1032" max="1280" width="9" style="512"/>
    <col min="1281" max="1281" width="3.625" style="512" customWidth="1"/>
    <col min="1282" max="1282" width="8" style="512" customWidth="1"/>
    <col min="1283" max="1283" width="40.75" style="512" customWidth="1"/>
    <col min="1284" max="1284" width="13.125" style="512" customWidth="1"/>
    <col min="1285" max="1285" width="1.625" style="512" customWidth="1"/>
    <col min="1286" max="1286" width="40.75" style="512" customWidth="1"/>
    <col min="1287" max="1287" width="13.875" style="512" customWidth="1"/>
    <col min="1288" max="1536" width="9" style="512"/>
    <col min="1537" max="1537" width="3.625" style="512" customWidth="1"/>
    <col min="1538" max="1538" width="8" style="512" customWidth="1"/>
    <col min="1539" max="1539" width="40.75" style="512" customWidth="1"/>
    <col min="1540" max="1540" width="13.125" style="512" customWidth="1"/>
    <col min="1541" max="1541" width="1.625" style="512" customWidth="1"/>
    <col min="1542" max="1542" width="40.75" style="512" customWidth="1"/>
    <col min="1543" max="1543" width="13.875" style="512" customWidth="1"/>
    <col min="1544" max="1792" width="9" style="512"/>
    <col min="1793" max="1793" width="3.625" style="512" customWidth="1"/>
    <col min="1794" max="1794" width="8" style="512" customWidth="1"/>
    <col min="1795" max="1795" width="40.75" style="512" customWidth="1"/>
    <col min="1796" max="1796" width="13.125" style="512" customWidth="1"/>
    <col min="1797" max="1797" width="1.625" style="512" customWidth="1"/>
    <col min="1798" max="1798" width="40.75" style="512" customWidth="1"/>
    <col min="1799" max="1799" width="13.875" style="512" customWidth="1"/>
    <col min="1800" max="2048" width="9" style="512"/>
    <col min="2049" max="2049" width="3.625" style="512" customWidth="1"/>
    <col min="2050" max="2050" width="8" style="512" customWidth="1"/>
    <col min="2051" max="2051" width="40.75" style="512" customWidth="1"/>
    <col min="2052" max="2052" width="13.125" style="512" customWidth="1"/>
    <col min="2053" max="2053" width="1.625" style="512" customWidth="1"/>
    <col min="2054" max="2054" width="40.75" style="512" customWidth="1"/>
    <col min="2055" max="2055" width="13.875" style="512" customWidth="1"/>
    <col min="2056" max="2304" width="9" style="512"/>
    <col min="2305" max="2305" width="3.625" style="512" customWidth="1"/>
    <col min="2306" max="2306" width="8" style="512" customWidth="1"/>
    <col min="2307" max="2307" width="40.75" style="512" customWidth="1"/>
    <col min="2308" max="2308" width="13.125" style="512" customWidth="1"/>
    <col min="2309" max="2309" width="1.625" style="512" customWidth="1"/>
    <col min="2310" max="2310" width="40.75" style="512" customWidth="1"/>
    <col min="2311" max="2311" width="13.875" style="512" customWidth="1"/>
    <col min="2312" max="2560" width="9" style="512"/>
    <col min="2561" max="2561" width="3.625" style="512" customWidth="1"/>
    <col min="2562" max="2562" width="8" style="512" customWidth="1"/>
    <col min="2563" max="2563" width="40.75" style="512" customWidth="1"/>
    <col min="2564" max="2564" width="13.125" style="512" customWidth="1"/>
    <col min="2565" max="2565" width="1.625" style="512" customWidth="1"/>
    <col min="2566" max="2566" width="40.75" style="512" customWidth="1"/>
    <col min="2567" max="2567" width="13.875" style="512" customWidth="1"/>
    <col min="2568" max="2816" width="9" style="512"/>
    <col min="2817" max="2817" width="3.625" style="512" customWidth="1"/>
    <col min="2818" max="2818" width="8" style="512" customWidth="1"/>
    <col min="2819" max="2819" width="40.75" style="512" customWidth="1"/>
    <col min="2820" max="2820" width="13.125" style="512" customWidth="1"/>
    <col min="2821" max="2821" width="1.625" style="512" customWidth="1"/>
    <col min="2822" max="2822" width="40.75" style="512" customWidth="1"/>
    <col min="2823" max="2823" width="13.875" style="512" customWidth="1"/>
    <col min="2824" max="3072" width="9" style="512"/>
    <col min="3073" max="3073" width="3.625" style="512" customWidth="1"/>
    <col min="3074" max="3074" width="8" style="512" customWidth="1"/>
    <col min="3075" max="3075" width="40.75" style="512" customWidth="1"/>
    <col min="3076" max="3076" width="13.125" style="512" customWidth="1"/>
    <col min="3077" max="3077" width="1.625" style="512" customWidth="1"/>
    <col min="3078" max="3078" width="40.75" style="512" customWidth="1"/>
    <col min="3079" max="3079" width="13.875" style="512" customWidth="1"/>
    <col min="3080" max="3328" width="9" style="512"/>
    <col min="3329" max="3329" width="3.625" style="512" customWidth="1"/>
    <col min="3330" max="3330" width="8" style="512" customWidth="1"/>
    <col min="3331" max="3331" width="40.75" style="512" customWidth="1"/>
    <col min="3332" max="3332" width="13.125" style="512" customWidth="1"/>
    <col min="3333" max="3333" width="1.625" style="512" customWidth="1"/>
    <col min="3334" max="3334" width="40.75" style="512" customWidth="1"/>
    <col min="3335" max="3335" width="13.875" style="512" customWidth="1"/>
    <col min="3336" max="3584" width="9" style="512"/>
    <col min="3585" max="3585" width="3.625" style="512" customWidth="1"/>
    <col min="3586" max="3586" width="8" style="512" customWidth="1"/>
    <col min="3587" max="3587" width="40.75" style="512" customWidth="1"/>
    <col min="3588" max="3588" width="13.125" style="512" customWidth="1"/>
    <col min="3589" max="3589" width="1.625" style="512" customWidth="1"/>
    <col min="3590" max="3590" width="40.75" style="512" customWidth="1"/>
    <col min="3591" max="3591" width="13.875" style="512" customWidth="1"/>
    <col min="3592" max="3840" width="9" style="512"/>
    <col min="3841" max="3841" width="3.625" style="512" customWidth="1"/>
    <col min="3842" max="3842" width="8" style="512" customWidth="1"/>
    <col min="3843" max="3843" width="40.75" style="512" customWidth="1"/>
    <col min="3844" max="3844" width="13.125" style="512" customWidth="1"/>
    <col min="3845" max="3845" width="1.625" style="512" customWidth="1"/>
    <col min="3846" max="3846" width="40.75" style="512" customWidth="1"/>
    <col min="3847" max="3847" width="13.875" style="512" customWidth="1"/>
    <col min="3848" max="4096" width="9" style="512"/>
    <col min="4097" max="4097" width="3.625" style="512" customWidth="1"/>
    <col min="4098" max="4098" width="8" style="512" customWidth="1"/>
    <col min="4099" max="4099" width="40.75" style="512" customWidth="1"/>
    <col min="4100" max="4100" width="13.125" style="512" customWidth="1"/>
    <col min="4101" max="4101" width="1.625" style="512" customWidth="1"/>
    <col min="4102" max="4102" width="40.75" style="512" customWidth="1"/>
    <col min="4103" max="4103" width="13.875" style="512" customWidth="1"/>
    <col min="4104" max="4352" width="9" style="512"/>
    <col min="4353" max="4353" width="3.625" style="512" customWidth="1"/>
    <col min="4354" max="4354" width="8" style="512" customWidth="1"/>
    <col min="4355" max="4355" width="40.75" style="512" customWidth="1"/>
    <col min="4356" max="4356" width="13.125" style="512" customWidth="1"/>
    <col min="4357" max="4357" width="1.625" style="512" customWidth="1"/>
    <col min="4358" max="4358" width="40.75" style="512" customWidth="1"/>
    <col min="4359" max="4359" width="13.875" style="512" customWidth="1"/>
    <col min="4360" max="4608" width="9" style="512"/>
    <col min="4609" max="4609" width="3.625" style="512" customWidth="1"/>
    <col min="4610" max="4610" width="8" style="512" customWidth="1"/>
    <col min="4611" max="4611" width="40.75" style="512" customWidth="1"/>
    <col min="4612" max="4612" width="13.125" style="512" customWidth="1"/>
    <col min="4613" max="4613" width="1.625" style="512" customWidth="1"/>
    <col min="4614" max="4614" width="40.75" style="512" customWidth="1"/>
    <col min="4615" max="4615" width="13.875" style="512" customWidth="1"/>
    <col min="4616" max="4864" width="9" style="512"/>
    <col min="4865" max="4865" width="3.625" style="512" customWidth="1"/>
    <col min="4866" max="4866" width="8" style="512" customWidth="1"/>
    <col min="4867" max="4867" width="40.75" style="512" customWidth="1"/>
    <col min="4868" max="4868" width="13.125" style="512" customWidth="1"/>
    <col min="4869" max="4869" width="1.625" style="512" customWidth="1"/>
    <col min="4870" max="4870" width="40.75" style="512" customWidth="1"/>
    <col min="4871" max="4871" width="13.875" style="512" customWidth="1"/>
    <col min="4872" max="5120" width="9" style="512"/>
    <col min="5121" max="5121" width="3.625" style="512" customWidth="1"/>
    <col min="5122" max="5122" width="8" style="512" customWidth="1"/>
    <col min="5123" max="5123" width="40.75" style="512" customWidth="1"/>
    <col min="5124" max="5124" width="13.125" style="512" customWidth="1"/>
    <col min="5125" max="5125" width="1.625" style="512" customWidth="1"/>
    <col min="5126" max="5126" width="40.75" style="512" customWidth="1"/>
    <col min="5127" max="5127" width="13.875" style="512" customWidth="1"/>
    <col min="5128" max="5376" width="9" style="512"/>
    <col min="5377" max="5377" width="3.625" style="512" customWidth="1"/>
    <col min="5378" max="5378" width="8" style="512" customWidth="1"/>
    <col min="5379" max="5379" width="40.75" style="512" customWidth="1"/>
    <col min="5380" max="5380" width="13.125" style="512" customWidth="1"/>
    <col min="5381" max="5381" width="1.625" style="512" customWidth="1"/>
    <col min="5382" max="5382" width="40.75" style="512" customWidth="1"/>
    <col min="5383" max="5383" width="13.875" style="512" customWidth="1"/>
    <col min="5384" max="5632" width="9" style="512"/>
    <col min="5633" max="5633" width="3.625" style="512" customWidth="1"/>
    <col min="5634" max="5634" width="8" style="512" customWidth="1"/>
    <col min="5635" max="5635" width="40.75" style="512" customWidth="1"/>
    <col min="5636" max="5636" width="13.125" style="512" customWidth="1"/>
    <col min="5637" max="5637" width="1.625" style="512" customWidth="1"/>
    <col min="5638" max="5638" width="40.75" style="512" customWidth="1"/>
    <col min="5639" max="5639" width="13.875" style="512" customWidth="1"/>
    <col min="5640" max="5888" width="9" style="512"/>
    <col min="5889" max="5889" width="3.625" style="512" customWidth="1"/>
    <col min="5890" max="5890" width="8" style="512" customWidth="1"/>
    <col min="5891" max="5891" width="40.75" style="512" customWidth="1"/>
    <col min="5892" max="5892" width="13.125" style="512" customWidth="1"/>
    <col min="5893" max="5893" width="1.625" style="512" customWidth="1"/>
    <col min="5894" max="5894" width="40.75" style="512" customWidth="1"/>
    <col min="5895" max="5895" width="13.875" style="512" customWidth="1"/>
    <col min="5896" max="6144" width="9" style="512"/>
    <col min="6145" max="6145" width="3.625" style="512" customWidth="1"/>
    <col min="6146" max="6146" width="8" style="512" customWidth="1"/>
    <col min="6147" max="6147" width="40.75" style="512" customWidth="1"/>
    <col min="6148" max="6148" width="13.125" style="512" customWidth="1"/>
    <col min="6149" max="6149" width="1.625" style="512" customWidth="1"/>
    <col min="6150" max="6150" width="40.75" style="512" customWidth="1"/>
    <col min="6151" max="6151" width="13.875" style="512" customWidth="1"/>
    <col min="6152" max="6400" width="9" style="512"/>
    <col min="6401" max="6401" width="3.625" style="512" customWidth="1"/>
    <col min="6402" max="6402" width="8" style="512" customWidth="1"/>
    <col min="6403" max="6403" width="40.75" style="512" customWidth="1"/>
    <col min="6404" max="6404" width="13.125" style="512" customWidth="1"/>
    <col min="6405" max="6405" width="1.625" style="512" customWidth="1"/>
    <col min="6406" max="6406" width="40.75" style="512" customWidth="1"/>
    <col min="6407" max="6407" width="13.875" style="512" customWidth="1"/>
    <col min="6408" max="6656" width="9" style="512"/>
    <col min="6657" max="6657" width="3.625" style="512" customWidth="1"/>
    <col min="6658" max="6658" width="8" style="512" customWidth="1"/>
    <col min="6659" max="6659" width="40.75" style="512" customWidth="1"/>
    <col min="6660" max="6660" width="13.125" style="512" customWidth="1"/>
    <col min="6661" max="6661" width="1.625" style="512" customWidth="1"/>
    <col min="6662" max="6662" width="40.75" style="512" customWidth="1"/>
    <col min="6663" max="6663" width="13.875" style="512" customWidth="1"/>
    <col min="6664" max="6912" width="9" style="512"/>
    <col min="6913" max="6913" width="3.625" style="512" customWidth="1"/>
    <col min="6914" max="6914" width="8" style="512" customWidth="1"/>
    <col min="6915" max="6915" width="40.75" style="512" customWidth="1"/>
    <col min="6916" max="6916" width="13.125" style="512" customWidth="1"/>
    <col min="6917" max="6917" width="1.625" style="512" customWidth="1"/>
    <col min="6918" max="6918" width="40.75" style="512" customWidth="1"/>
    <col min="6919" max="6919" width="13.875" style="512" customWidth="1"/>
    <col min="6920" max="7168" width="9" style="512"/>
    <col min="7169" max="7169" width="3.625" style="512" customWidth="1"/>
    <col min="7170" max="7170" width="8" style="512" customWidth="1"/>
    <col min="7171" max="7171" width="40.75" style="512" customWidth="1"/>
    <col min="7172" max="7172" width="13.125" style="512" customWidth="1"/>
    <col min="7173" max="7173" width="1.625" style="512" customWidth="1"/>
    <col min="7174" max="7174" width="40.75" style="512" customWidth="1"/>
    <col min="7175" max="7175" width="13.875" style="512" customWidth="1"/>
    <col min="7176" max="7424" width="9" style="512"/>
    <col min="7425" max="7425" width="3.625" style="512" customWidth="1"/>
    <col min="7426" max="7426" width="8" style="512" customWidth="1"/>
    <col min="7427" max="7427" width="40.75" style="512" customWidth="1"/>
    <col min="7428" max="7428" width="13.125" style="512" customWidth="1"/>
    <col min="7429" max="7429" width="1.625" style="512" customWidth="1"/>
    <col min="7430" max="7430" width="40.75" style="512" customWidth="1"/>
    <col min="7431" max="7431" width="13.875" style="512" customWidth="1"/>
    <col min="7432" max="7680" width="9" style="512"/>
    <col min="7681" max="7681" width="3.625" style="512" customWidth="1"/>
    <col min="7682" max="7682" width="8" style="512" customWidth="1"/>
    <col min="7683" max="7683" width="40.75" style="512" customWidth="1"/>
    <col min="7684" max="7684" width="13.125" style="512" customWidth="1"/>
    <col min="7685" max="7685" width="1.625" style="512" customWidth="1"/>
    <col min="7686" max="7686" width="40.75" style="512" customWidth="1"/>
    <col min="7687" max="7687" width="13.875" style="512" customWidth="1"/>
    <col min="7688" max="7936" width="9" style="512"/>
    <col min="7937" max="7937" width="3.625" style="512" customWidth="1"/>
    <col min="7938" max="7938" width="8" style="512" customWidth="1"/>
    <col min="7939" max="7939" width="40.75" style="512" customWidth="1"/>
    <col min="7940" max="7940" width="13.125" style="512" customWidth="1"/>
    <col min="7941" max="7941" width="1.625" style="512" customWidth="1"/>
    <col min="7942" max="7942" width="40.75" style="512" customWidth="1"/>
    <col min="7943" max="7943" width="13.875" style="512" customWidth="1"/>
    <col min="7944" max="8192" width="9" style="512"/>
    <col min="8193" max="8193" width="3.625" style="512" customWidth="1"/>
    <col min="8194" max="8194" width="8" style="512" customWidth="1"/>
    <col min="8195" max="8195" width="40.75" style="512" customWidth="1"/>
    <col min="8196" max="8196" width="13.125" style="512" customWidth="1"/>
    <col min="8197" max="8197" width="1.625" style="512" customWidth="1"/>
    <col min="8198" max="8198" width="40.75" style="512" customWidth="1"/>
    <col min="8199" max="8199" width="13.875" style="512" customWidth="1"/>
    <col min="8200" max="8448" width="9" style="512"/>
    <col min="8449" max="8449" width="3.625" style="512" customWidth="1"/>
    <col min="8450" max="8450" width="8" style="512" customWidth="1"/>
    <col min="8451" max="8451" width="40.75" style="512" customWidth="1"/>
    <col min="8452" max="8452" width="13.125" style="512" customWidth="1"/>
    <col min="8453" max="8453" width="1.625" style="512" customWidth="1"/>
    <col min="8454" max="8454" width="40.75" style="512" customWidth="1"/>
    <col min="8455" max="8455" width="13.875" style="512" customWidth="1"/>
    <col min="8456" max="8704" width="9" style="512"/>
    <col min="8705" max="8705" width="3.625" style="512" customWidth="1"/>
    <col min="8706" max="8706" width="8" style="512" customWidth="1"/>
    <col min="8707" max="8707" width="40.75" style="512" customWidth="1"/>
    <col min="8708" max="8708" width="13.125" style="512" customWidth="1"/>
    <col min="8709" max="8709" width="1.625" style="512" customWidth="1"/>
    <col min="8710" max="8710" width="40.75" style="512" customWidth="1"/>
    <col min="8711" max="8711" width="13.875" style="512" customWidth="1"/>
    <col min="8712" max="8960" width="9" style="512"/>
    <col min="8961" max="8961" width="3.625" style="512" customWidth="1"/>
    <col min="8962" max="8962" width="8" style="512" customWidth="1"/>
    <col min="8963" max="8963" width="40.75" style="512" customWidth="1"/>
    <col min="8964" max="8964" width="13.125" style="512" customWidth="1"/>
    <col min="8965" max="8965" width="1.625" style="512" customWidth="1"/>
    <col min="8966" max="8966" width="40.75" style="512" customWidth="1"/>
    <col min="8967" max="8967" width="13.875" style="512" customWidth="1"/>
    <col min="8968" max="9216" width="9" style="512"/>
    <col min="9217" max="9217" width="3.625" style="512" customWidth="1"/>
    <col min="9218" max="9218" width="8" style="512" customWidth="1"/>
    <col min="9219" max="9219" width="40.75" style="512" customWidth="1"/>
    <col min="9220" max="9220" width="13.125" style="512" customWidth="1"/>
    <col min="9221" max="9221" width="1.625" style="512" customWidth="1"/>
    <col min="9222" max="9222" width="40.75" style="512" customWidth="1"/>
    <col min="9223" max="9223" width="13.875" style="512" customWidth="1"/>
    <col min="9224" max="9472" width="9" style="512"/>
    <col min="9473" max="9473" width="3.625" style="512" customWidth="1"/>
    <col min="9474" max="9474" width="8" style="512" customWidth="1"/>
    <col min="9475" max="9475" width="40.75" style="512" customWidth="1"/>
    <col min="9476" max="9476" width="13.125" style="512" customWidth="1"/>
    <col min="9477" max="9477" width="1.625" style="512" customWidth="1"/>
    <col min="9478" max="9478" width="40.75" style="512" customWidth="1"/>
    <col min="9479" max="9479" width="13.875" style="512" customWidth="1"/>
    <col min="9480" max="9728" width="9" style="512"/>
    <col min="9729" max="9729" width="3.625" style="512" customWidth="1"/>
    <col min="9730" max="9730" width="8" style="512" customWidth="1"/>
    <col min="9731" max="9731" width="40.75" style="512" customWidth="1"/>
    <col min="9732" max="9732" width="13.125" style="512" customWidth="1"/>
    <col min="9733" max="9733" width="1.625" style="512" customWidth="1"/>
    <col min="9734" max="9734" width="40.75" style="512" customWidth="1"/>
    <col min="9735" max="9735" width="13.875" style="512" customWidth="1"/>
    <col min="9736" max="9984" width="9" style="512"/>
    <col min="9985" max="9985" width="3.625" style="512" customWidth="1"/>
    <col min="9986" max="9986" width="8" style="512" customWidth="1"/>
    <col min="9987" max="9987" width="40.75" style="512" customWidth="1"/>
    <col min="9988" max="9988" width="13.125" style="512" customWidth="1"/>
    <col min="9989" max="9989" width="1.625" style="512" customWidth="1"/>
    <col min="9990" max="9990" width="40.75" style="512" customWidth="1"/>
    <col min="9991" max="9991" width="13.875" style="512" customWidth="1"/>
    <col min="9992" max="10240" width="9" style="512"/>
    <col min="10241" max="10241" width="3.625" style="512" customWidth="1"/>
    <col min="10242" max="10242" width="8" style="512" customWidth="1"/>
    <col min="10243" max="10243" width="40.75" style="512" customWidth="1"/>
    <col min="10244" max="10244" width="13.125" style="512" customWidth="1"/>
    <col min="10245" max="10245" width="1.625" style="512" customWidth="1"/>
    <col min="10246" max="10246" width="40.75" style="512" customWidth="1"/>
    <col min="10247" max="10247" width="13.875" style="512" customWidth="1"/>
    <col min="10248" max="10496" width="9" style="512"/>
    <col min="10497" max="10497" width="3.625" style="512" customWidth="1"/>
    <col min="10498" max="10498" width="8" style="512" customWidth="1"/>
    <col min="10499" max="10499" width="40.75" style="512" customWidth="1"/>
    <col min="10500" max="10500" width="13.125" style="512" customWidth="1"/>
    <col min="10501" max="10501" width="1.625" style="512" customWidth="1"/>
    <col min="10502" max="10502" width="40.75" style="512" customWidth="1"/>
    <col min="10503" max="10503" width="13.875" style="512" customWidth="1"/>
    <col min="10504" max="10752" width="9" style="512"/>
    <col min="10753" max="10753" width="3.625" style="512" customWidth="1"/>
    <col min="10754" max="10754" width="8" style="512" customWidth="1"/>
    <col min="10755" max="10755" width="40.75" style="512" customWidth="1"/>
    <col min="10756" max="10756" width="13.125" style="512" customWidth="1"/>
    <col min="10757" max="10757" width="1.625" style="512" customWidth="1"/>
    <col min="10758" max="10758" width="40.75" style="512" customWidth="1"/>
    <col min="10759" max="10759" width="13.875" style="512" customWidth="1"/>
    <col min="10760" max="11008" width="9" style="512"/>
    <col min="11009" max="11009" width="3.625" style="512" customWidth="1"/>
    <col min="11010" max="11010" width="8" style="512" customWidth="1"/>
    <col min="11011" max="11011" width="40.75" style="512" customWidth="1"/>
    <col min="11012" max="11012" width="13.125" style="512" customWidth="1"/>
    <col min="11013" max="11013" width="1.625" style="512" customWidth="1"/>
    <col min="11014" max="11014" width="40.75" style="512" customWidth="1"/>
    <col min="11015" max="11015" width="13.875" style="512" customWidth="1"/>
    <col min="11016" max="11264" width="9" style="512"/>
    <col min="11265" max="11265" width="3.625" style="512" customWidth="1"/>
    <col min="11266" max="11266" width="8" style="512" customWidth="1"/>
    <col min="11267" max="11267" width="40.75" style="512" customWidth="1"/>
    <col min="11268" max="11268" width="13.125" style="512" customWidth="1"/>
    <col min="11269" max="11269" width="1.625" style="512" customWidth="1"/>
    <col min="11270" max="11270" width="40.75" style="512" customWidth="1"/>
    <col min="11271" max="11271" width="13.875" style="512" customWidth="1"/>
    <col min="11272" max="11520" width="9" style="512"/>
    <col min="11521" max="11521" width="3.625" style="512" customWidth="1"/>
    <col min="11522" max="11522" width="8" style="512" customWidth="1"/>
    <col min="11523" max="11523" width="40.75" style="512" customWidth="1"/>
    <col min="11524" max="11524" width="13.125" style="512" customWidth="1"/>
    <col min="11525" max="11525" width="1.625" style="512" customWidth="1"/>
    <col min="11526" max="11526" width="40.75" style="512" customWidth="1"/>
    <col min="11527" max="11527" width="13.875" style="512" customWidth="1"/>
    <col min="11528" max="11776" width="9" style="512"/>
    <col min="11777" max="11777" width="3.625" style="512" customWidth="1"/>
    <col min="11778" max="11778" width="8" style="512" customWidth="1"/>
    <col min="11779" max="11779" width="40.75" style="512" customWidth="1"/>
    <col min="11780" max="11780" width="13.125" style="512" customWidth="1"/>
    <col min="11781" max="11781" width="1.625" style="512" customWidth="1"/>
    <col min="11782" max="11782" width="40.75" style="512" customWidth="1"/>
    <col min="11783" max="11783" width="13.875" style="512" customWidth="1"/>
    <col min="11784" max="12032" width="9" style="512"/>
    <col min="12033" max="12033" width="3.625" style="512" customWidth="1"/>
    <col min="12034" max="12034" width="8" style="512" customWidth="1"/>
    <col min="12035" max="12035" width="40.75" style="512" customWidth="1"/>
    <col min="12036" max="12036" width="13.125" style="512" customWidth="1"/>
    <col min="12037" max="12037" width="1.625" style="512" customWidth="1"/>
    <col min="12038" max="12038" width="40.75" style="512" customWidth="1"/>
    <col min="12039" max="12039" width="13.875" style="512" customWidth="1"/>
    <col min="12040" max="12288" width="9" style="512"/>
    <col min="12289" max="12289" width="3.625" style="512" customWidth="1"/>
    <col min="12290" max="12290" width="8" style="512" customWidth="1"/>
    <col min="12291" max="12291" width="40.75" style="512" customWidth="1"/>
    <col min="12292" max="12292" width="13.125" style="512" customWidth="1"/>
    <col min="12293" max="12293" width="1.625" style="512" customWidth="1"/>
    <col min="12294" max="12294" width="40.75" style="512" customWidth="1"/>
    <col min="12295" max="12295" width="13.875" style="512" customWidth="1"/>
    <col min="12296" max="12544" width="9" style="512"/>
    <col min="12545" max="12545" width="3.625" style="512" customWidth="1"/>
    <col min="12546" max="12546" width="8" style="512" customWidth="1"/>
    <col min="12547" max="12547" width="40.75" style="512" customWidth="1"/>
    <col min="12548" max="12548" width="13.125" style="512" customWidth="1"/>
    <col min="12549" max="12549" width="1.625" style="512" customWidth="1"/>
    <col min="12550" max="12550" width="40.75" style="512" customWidth="1"/>
    <col min="12551" max="12551" width="13.875" style="512" customWidth="1"/>
    <col min="12552" max="12800" width="9" style="512"/>
    <col min="12801" max="12801" width="3.625" style="512" customWidth="1"/>
    <col min="12802" max="12802" width="8" style="512" customWidth="1"/>
    <col min="12803" max="12803" width="40.75" style="512" customWidth="1"/>
    <col min="12804" max="12804" width="13.125" style="512" customWidth="1"/>
    <col min="12805" max="12805" width="1.625" style="512" customWidth="1"/>
    <col min="12806" max="12806" width="40.75" style="512" customWidth="1"/>
    <col min="12807" max="12807" width="13.875" style="512" customWidth="1"/>
    <col min="12808" max="13056" width="9" style="512"/>
    <col min="13057" max="13057" width="3.625" style="512" customWidth="1"/>
    <col min="13058" max="13058" width="8" style="512" customWidth="1"/>
    <col min="13059" max="13059" width="40.75" style="512" customWidth="1"/>
    <col min="13060" max="13060" width="13.125" style="512" customWidth="1"/>
    <col min="13061" max="13061" width="1.625" style="512" customWidth="1"/>
    <col min="13062" max="13062" width="40.75" style="512" customWidth="1"/>
    <col min="13063" max="13063" width="13.875" style="512" customWidth="1"/>
    <col min="13064" max="13312" width="9" style="512"/>
    <col min="13313" max="13313" width="3.625" style="512" customWidth="1"/>
    <col min="13314" max="13314" width="8" style="512" customWidth="1"/>
    <col min="13315" max="13315" width="40.75" style="512" customWidth="1"/>
    <col min="13316" max="13316" width="13.125" style="512" customWidth="1"/>
    <col min="13317" max="13317" width="1.625" style="512" customWidth="1"/>
    <col min="13318" max="13318" width="40.75" style="512" customWidth="1"/>
    <col min="13319" max="13319" width="13.875" style="512" customWidth="1"/>
    <col min="13320" max="13568" width="9" style="512"/>
    <col min="13569" max="13569" width="3.625" style="512" customWidth="1"/>
    <col min="13570" max="13570" width="8" style="512" customWidth="1"/>
    <col min="13571" max="13571" width="40.75" style="512" customWidth="1"/>
    <col min="13572" max="13572" width="13.125" style="512" customWidth="1"/>
    <col min="13573" max="13573" width="1.625" style="512" customWidth="1"/>
    <col min="13574" max="13574" width="40.75" style="512" customWidth="1"/>
    <col min="13575" max="13575" width="13.875" style="512" customWidth="1"/>
    <col min="13576" max="13824" width="9" style="512"/>
    <col min="13825" max="13825" width="3.625" style="512" customWidth="1"/>
    <col min="13826" max="13826" width="8" style="512" customWidth="1"/>
    <col min="13827" max="13827" width="40.75" style="512" customWidth="1"/>
    <col min="13828" max="13828" width="13.125" style="512" customWidth="1"/>
    <col min="13829" max="13829" width="1.625" style="512" customWidth="1"/>
    <col min="13830" max="13830" width="40.75" style="512" customWidth="1"/>
    <col min="13831" max="13831" width="13.875" style="512" customWidth="1"/>
    <col min="13832" max="14080" width="9" style="512"/>
    <col min="14081" max="14081" width="3.625" style="512" customWidth="1"/>
    <col min="14082" max="14082" width="8" style="512" customWidth="1"/>
    <col min="14083" max="14083" width="40.75" style="512" customWidth="1"/>
    <col min="14084" max="14084" width="13.125" style="512" customWidth="1"/>
    <col min="14085" max="14085" width="1.625" style="512" customWidth="1"/>
    <col min="14086" max="14086" width="40.75" style="512" customWidth="1"/>
    <col min="14087" max="14087" width="13.875" style="512" customWidth="1"/>
    <col min="14088" max="14336" width="9" style="512"/>
    <col min="14337" max="14337" width="3.625" style="512" customWidth="1"/>
    <col min="14338" max="14338" width="8" style="512" customWidth="1"/>
    <col min="14339" max="14339" width="40.75" style="512" customWidth="1"/>
    <col min="14340" max="14340" width="13.125" style="512" customWidth="1"/>
    <col min="14341" max="14341" width="1.625" style="512" customWidth="1"/>
    <col min="14342" max="14342" width="40.75" style="512" customWidth="1"/>
    <col min="14343" max="14343" width="13.875" style="512" customWidth="1"/>
    <col min="14344" max="14592" width="9" style="512"/>
    <col min="14593" max="14593" width="3.625" style="512" customWidth="1"/>
    <col min="14594" max="14594" width="8" style="512" customWidth="1"/>
    <col min="14595" max="14595" width="40.75" style="512" customWidth="1"/>
    <col min="14596" max="14596" width="13.125" style="512" customWidth="1"/>
    <col min="14597" max="14597" width="1.625" style="512" customWidth="1"/>
    <col min="14598" max="14598" width="40.75" style="512" customWidth="1"/>
    <col min="14599" max="14599" width="13.875" style="512" customWidth="1"/>
    <col min="14600" max="14848" width="9" style="512"/>
    <col min="14849" max="14849" width="3.625" style="512" customWidth="1"/>
    <col min="14850" max="14850" width="8" style="512" customWidth="1"/>
    <col min="14851" max="14851" width="40.75" style="512" customWidth="1"/>
    <col min="14852" max="14852" width="13.125" style="512" customWidth="1"/>
    <col min="14853" max="14853" width="1.625" style="512" customWidth="1"/>
    <col min="14854" max="14854" width="40.75" style="512" customWidth="1"/>
    <col min="14855" max="14855" width="13.875" style="512" customWidth="1"/>
    <col min="14856" max="15104" width="9" style="512"/>
    <col min="15105" max="15105" width="3.625" style="512" customWidth="1"/>
    <col min="15106" max="15106" width="8" style="512" customWidth="1"/>
    <col min="15107" max="15107" width="40.75" style="512" customWidth="1"/>
    <col min="15108" max="15108" width="13.125" style="512" customWidth="1"/>
    <col min="15109" max="15109" width="1.625" style="512" customWidth="1"/>
    <col min="15110" max="15110" width="40.75" style="512" customWidth="1"/>
    <col min="15111" max="15111" width="13.875" style="512" customWidth="1"/>
    <col min="15112" max="15360" width="9" style="512"/>
    <col min="15361" max="15361" width="3.625" style="512" customWidth="1"/>
    <col min="15362" max="15362" width="8" style="512" customWidth="1"/>
    <col min="15363" max="15363" width="40.75" style="512" customWidth="1"/>
    <col min="15364" max="15364" width="13.125" style="512" customWidth="1"/>
    <col min="15365" max="15365" width="1.625" style="512" customWidth="1"/>
    <col min="15366" max="15366" width="40.75" style="512" customWidth="1"/>
    <col min="15367" max="15367" width="13.875" style="512" customWidth="1"/>
    <col min="15368" max="15616" width="9" style="512"/>
    <col min="15617" max="15617" width="3.625" style="512" customWidth="1"/>
    <col min="15618" max="15618" width="8" style="512" customWidth="1"/>
    <col min="15619" max="15619" width="40.75" style="512" customWidth="1"/>
    <col min="15620" max="15620" width="13.125" style="512" customWidth="1"/>
    <col min="15621" max="15621" width="1.625" style="512" customWidth="1"/>
    <col min="15622" max="15622" width="40.75" style="512" customWidth="1"/>
    <col min="15623" max="15623" width="13.875" style="512" customWidth="1"/>
    <col min="15624" max="15872" width="9" style="512"/>
    <col min="15873" max="15873" width="3.625" style="512" customWidth="1"/>
    <col min="15874" max="15874" width="8" style="512" customWidth="1"/>
    <col min="15875" max="15875" width="40.75" style="512" customWidth="1"/>
    <col min="15876" max="15876" width="13.125" style="512" customWidth="1"/>
    <col min="15877" max="15877" width="1.625" style="512" customWidth="1"/>
    <col min="15878" max="15878" width="40.75" style="512" customWidth="1"/>
    <col min="15879" max="15879" width="13.875" style="512" customWidth="1"/>
    <col min="15880" max="16128" width="9" style="512"/>
    <col min="16129" max="16129" width="3.625" style="512" customWidth="1"/>
    <col min="16130" max="16130" width="8" style="512" customWidth="1"/>
    <col min="16131" max="16131" width="40.75" style="512" customWidth="1"/>
    <col min="16132" max="16132" width="13.125" style="512" customWidth="1"/>
    <col min="16133" max="16133" width="1.625" style="512" customWidth="1"/>
    <col min="16134" max="16134" width="40.75" style="512" customWidth="1"/>
    <col min="16135" max="16135" width="13.875" style="512" customWidth="1"/>
    <col min="16136" max="16384" width="9" style="512"/>
  </cols>
  <sheetData>
    <row r="1" spans="1:29" s="42" customFormat="1" ht="14.25">
      <c r="A1" s="38"/>
      <c r="B1" s="39"/>
      <c r="C1" s="40"/>
      <c r="D1" s="41"/>
      <c r="E1" s="41"/>
      <c r="F1" s="1133" t="s">
        <v>1195</v>
      </c>
      <c r="G1" s="1134"/>
      <c r="H1" s="41"/>
      <c r="I1" s="41"/>
      <c r="J1" s="41"/>
      <c r="K1" s="41"/>
      <c r="L1" s="41"/>
    </row>
    <row r="2" spans="1:29" s="42" customFormat="1" ht="14.25">
      <c r="A2" s="38"/>
      <c r="B2" s="39"/>
      <c r="C2" s="40"/>
      <c r="D2" s="41"/>
      <c r="E2" s="41"/>
      <c r="F2" s="1133" t="s">
        <v>1193</v>
      </c>
      <c r="G2" s="1134"/>
      <c r="H2" s="41"/>
      <c r="I2" s="41"/>
      <c r="J2" s="41"/>
      <c r="K2" s="41"/>
      <c r="L2" s="41"/>
    </row>
    <row r="3" spans="1:29" s="42" customFormat="1" ht="14.25">
      <c r="A3" s="38"/>
      <c r="B3" s="39"/>
      <c r="C3" s="40"/>
      <c r="D3" s="41"/>
      <c r="E3" s="41"/>
      <c r="F3" s="1133" t="s">
        <v>1194</v>
      </c>
      <c r="G3" s="1134"/>
      <c r="H3" s="41"/>
      <c r="I3" s="41"/>
      <c r="J3" s="41"/>
      <c r="K3" s="41"/>
      <c r="L3" s="41"/>
    </row>
    <row r="4" spans="1:29" ht="8.4499999999999993" customHeight="1">
      <c r="F4" s="290"/>
    </row>
    <row r="5" spans="1:29" s="541" customFormat="1" ht="17.45" customHeight="1">
      <c r="A5" s="1137" t="s">
        <v>1142</v>
      </c>
      <c r="B5" s="1137"/>
      <c r="C5" s="1137"/>
      <c r="D5" s="1137"/>
      <c r="E5" s="1137"/>
      <c r="F5" s="1137"/>
      <c r="G5" s="1137"/>
      <c r="H5" s="667"/>
      <c r="I5" s="667"/>
      <c r="J5" s="667"/>
      <c r="K5" s="667"/>
      <c r="L5" s="667"/>
      <c r="M5" s="667"/>
      <c r="N5" s="667"/>
      <c r="O5" s="667"/>
      <c r="P5" s="667"/>
      <c r="Q5" s="667"/>
      <c r="R5" s="667"/>
      <c r="S5" s="667"/>
      <c r="T5" s="667"/>
      <c r="U5" s="667"/>
      <c r="V5" s="667"/>
      <c r="W5" s="667"/>
      <c r="X5" s="667"/>
      <c r="Y5" s="667"/>
      <c r="Z5" s="667"/>
      <c r="AA5" s="667"/>
      <c r="AB5" s="667"/>
      <c r="AC5" s="667"/>
    </row>
    <row r="6" spans="1:29" s="541" customFormat="1" ht="17.45" customHeight="1">
      <c r="A6" s="1137" t="s">
        <v>362</v>
      </c>
      <c r="B6" s="1137"/>
      <c r="C6" s="1137"/>
      <c r="D6" s="1137"/>
      <c r="E6" s="1137"/>
      <c r="F6" s="1137"/>
      <c r="G6" s="1137"/>
      <c r="H6" s="667"/>
      <c r="I6" s="667"/>
      <c r="J6" s="667"/>
      <c r="K6" s="667"/>
      <c r="L6" s="667"/>
      <c r="M6" s="667"/>
      <c r="N6" s="667"/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67"/>
      <c r="AA6" s="667"/>
      <c r="AB6" s="667"/>
      <c r="AC6" s="667"/>
    </row>
    <row r="7" spans="1:29" s="541" customFormat="1" ht="6" customHeight="1">
      <c r="A7" s="668"/>
      <c r="B7" s="668"/>
      <c r="C7" s="668"/>
      <c r="D7" s="668"/>
      <c r="E7" s="668"/>
      <c r="F7" s="668"/>
      <c r="G7" s="668"/>
      <c r="H7" s="667"/>
      <c r="I7" s="667"/>
      <c r="J7" s="667"/>
      <c r="K7" s="667"/>
      <c r="L7" s="667"/>
      <c r="M7" s="667"/>
      <c r="N7" s="667"/>
      <c r="O7" s="667"/>
      <c r="P7" s="667"/>
      <c r="Q7" s="667"/>
      <c r="R7" s="667"/>
      <c r="S7" s="667"/>
      <c r="T7" s="667"/>
      <c r="U7" s="667"/>
      <c r="V7" s="667"/>
      <c r="W7" s="667"/>
      <c r="X7" s="667"/>
      <c r="Y7" s="667"/>
      <c r="Z7" s="667"/>
      <c r="AA7" s="667"/>
      <c r="AB7" s="667"/>
      <c r="AC7" s="667"/>
    </row>
    <row r="8" spans="1:29">
      <c r="A8" s="1138" t="s">
        <v>1143</v>
      </c>
      <c r="B8" s="1138"/>
      <c r="C8" s="1138"/>
      <c r="D8" s="512"/>
      <c r="G8" s="666" t="s">
        <v>15</v>
      </c>
    </row>
    <row r="9" spans="1:29" s="669" customFormat="1" ht="12.75" customHeight="1">
      <c r="A9" s="1139" t="s">
        <v>854</v>
      </c>
      <c r="B9" s="1141" t="s">
        <v>1144</v>
      </c>
      <c r="C9" s="1143" t="s">
        <v>1145</v>
      </c>
      <c r="D9" s="1144"/>
      <c r="E9" s="1141"/>
      <c r="F9" s="1143" t="s">
        <v>1146</v>
      </c>
      <c r="G9" s="1144"/>
    </row>
    <row r="10" spans="1:29" s="669" customFormat="1" ht="25.5">
      <c r="A10" s="1140"/>
      <c r="B10" s="1142"/>
      <c r="C10" s="670" t="s">
        <v>470</v>
      </c>
      <c r="D10" s="670" t="s">
        <v>1147</v>
      </c>
      <c r="E10" s="1142"/>
      <c r="F10" s="670" t="s">
        <v>470</v>
      </c>
      <c r="G10" s="670" t="s">
        <v>1147</v>
      </c>
    </row>
    <row r="11" spans="1:29" s="675" customFormat="1">
      <c r="A11" s="671">
        <v>1</v>
      </c>
      <c r="B11" s="672">
        <v>2</v>
      </c>
      <c r="C11" s="671">
        <v>3</v>
      </c>
      <c r="D11" s="673">
        <v>4</v>
      </c>
      <c r="E11" s="674"/>
      <c r="F11" s="671">
        <v>5</v>
      </c>
      <c r="G11" s="673">
        <v>6</v>
      </c>
    </row>
    <row r="12" spans="1:29" ht="9" customHeight="1">
      <c r="A12" s="676"/>
      <c r="B12" s="677"/>
      <c r="C12" s="678"/>
      <c r="D12" s="679"/>
      <c r="E12" s="680"/>
      <c r="F12" s="678"/>
      <c r="G12" s="679"/>
    </row>
    <row r="13" spans="1:29" s="686" customFormat="1" ht="15.75">
      <c r="A13" s="681"/>
      <c r="B13" s="681"/>
      <c r="C13" s="682" t="s">
        <v>416</v>
      </c>
      <c r="D13" s="683">
        <f>D23+D31+D47+D55+D69+D79+D87+D107+D117+D131+D15</f>
        <v>56900956</v>
      </c>
      <c r="E13" s="684"/>
      <c r="F13" s="685" t="s">
        <v>416</v>
      </c>
      <c r="G13" s="683">
        <f>G23+G31+G47+G55+G69+G79+G87+G107+G117+G131+G15</f>
        <v>56900956</v>
      </c>
    </row>
    <row r="14" spans="1:29" ht="9" customHeight="1">
      <c r="A14" s="687"/>
      <c r="B14" s="688"/>
      <c r="C14" s="689"/>
      <c r="D14" s="690"/>
      <c r="E14" s="691"/>
      <c r="F14" s="692"/>
      <c r="G14" s="690"/>
    </row>
    <row r="15" spans="1:29" s="697" customFormat="1" ht="15">
      <c r="A15" s="693"/>
      <c r="B15" s="694" t="s">
        <v>61</v>
      </c>
      <c r="C15" s="695" t="s">
        <v>62</v>
      </c>
      <c r="D15" s="316">
        <f>D17</f>
        <v>112000</v>
      </c>
      <c r="E15" s="684"/>
      <c r="F15" s="696" t="s">
        <v>62</v>
      </c>
      <c r="G15" s="316">
        <f>G17</f>
        <v>112000</v>
      </c>
    </row>
    <row r="16" spans="1:29" ht="9" customHeight="1">
      <c r="A16" s="698"/>
      <c r="B16" s="699"/>
      <c r="C16" s="700"/>
      <c r="D16" s="701"/>
      <c r="E16" s="691"/>
      <c r="F16" s="702"/>
      <c r="G16" s="701"/>
    </row>
    <row r="17" spans="1:7" s="707" customFormat="1">
      <c r="A17" s="703"/>
      <c r="B17" s="704" t="s">
        <v>68</v>
      </c>
      <c r="C17" s="705" t="s">
        <v>46</v>
      </c>
      <c r="D17" s="706">
        <f>D19</f>
        <v>112000</v>
      </c>
      <c r="E17" s="691"/>
      <c r="F17" s="705" t="s">
        <v>46</v>
      </c>
      <c r="G17" s="706">
        <f>G19</f>
        <v>112000</v>
      </c>
    </row>
    <row r="18" spans="1:7" ht="9" customHeight="1">
      <c r="A18" s="676"/>
      <c r="B18" s="708"/>
      <c r="C18" s="678"/>
      <c r="D18" s="679"/>
      <c r="E18" s="691"/>
      <c r="F18" s="709"/>
      <c r="G18" s="679"/>
    </row>
    <row r="19" spans="1:7" s="713" customFormat="1" ht="13.9" customHeight="1">
      <c r="A19" s="710">
        <v>1</v>
      </c>
      <c r="B19" s="1131" t="s">
        <v>1148</v>
      </c>
      <c r="C19" s="1132"/>
      <c r="D19" s="711">
        <f>D21</f>
        <v>112000</v>
      </c>
      <c r="E19" s="691"/>
      <c r="F19" s="712" t="s">
        <v>1148</v>
      </c>
      <c r="G19" s="711">
        <f>G21</f>
        <v>112000</v>
      </c>
    </row>
    <row r="20" spans="1:7" s="718" customFormat="1" ht="9" customHeight="1">
      <c r="A20" s="714"/>
      <c r="B20" s="715"/>
      <c r="C20" s="715"/>
      <c r="D20" s="716"/>
      <c r="E20" s="691"/>
      <c r="F20" s="717"/>
      <c r="G20" s="716"/>
    </row>
    <row r="21" spans="1:7">
      <c r="A21" s="719"/>
      <c r="B21" s="719"/>
      <c r="C21" s="720" t="s">
        <v>1149</v>
      </c>
      <c r="D21" s="721">
        <v>112000</v>
      </c>
      <c r="E21" s="691"/>
      <c r="F21" s="722" t="s">
        <v>1150</v>
      </c>
      <c r="G21" s="721">
        <v>112000</v>
      </c>
    </row>
    <row r="22" spans="1:7" ht="9" customHeight="1">
      <c r="A22" s="676"/>
      <c r="B22" s="708"/>
      <c r="C22" s="678"/>
      <c r="D22" s="679"/>
      <c r="E22" s="691"/>
      <c r="F22" s="709"/>
      <c r="G22" s="679"/>
    </row>
    <row r="23" spans="1:7" s="697" customFormat="1" ht="15">
      <c r="A23" s="693"/>
      <c r="B23" s="694" t="s">
        <v>21</v>
      </c>
      <c r="C23" s="695" t="s">
        <v>22</v>
      </c>
      <c r="D23" s="316">
        <f>D25</f>
        <v>68000</v>
      </c>
      <c r="E23" s="684"/>
      <c r="F23" s="696" t="s">
        <v>22</v>
      </c>
      <c r="G23" s="316">
        <f>G25</f>
        <v>68000</v>
      </c>
    </row>
    <row r="24" spans="1:7" ht="9" customHeight="1">
      <c r="A24" s="698"/>
      <c r="B24" s="699"/>
      <c r="C24" s="700"/>
      <c r="D24" s="701"/>
      <c r="E24" s="691"/>
      <c r="F24" s="702"/>
      <c r="G24" s="701"/>
    </row>
    <row r="25" spans="1:7" s="707" customFormat="1">
      <c r="A25" s="703"/>
      <c r="B25" s="704" t="s">
        <v>60</v>
      </c>
      <c r="C25" s="705" t="s">
        <v>46</v>
      </c>
      <c r="D25" s="706">
        <f>D27</f>
        <v>68000</v>
      </c>
      <c r="E25" s="691"/>
      <c r="F25" s="705" t="s">
        <v>46</v>
      </c>
      <c r="G25" s="706">
        <f>G27</f>
        <v>68000</v>
      </c>
    </row>
    <row r="26" spans="1:7" ht="9" customHeight="1">
      <c r="A26" s="676"/>
      <c r="B26" s="708"/>
      <c r="C26" s="678"/>
      <c r="D26" s="679"/>
      <c r="E26" s="691"/>
      <c r="F26" s="709"/>
      <c r="G26" s="679"/>
    </row>
    <row r="27" spans="1:7" s="713" customFormat="1" ht="13.9" customHeight="1">
      <c r="A27" s="710">
        <v>2</v>
      </c>
      <c r="B27" s="1131" t="s">
        <v>1151</v>
      </c>
      <c r="C27" s="1132"/>
      <c r="D27" s="711">
        <f>D29</f>
        <v>68000</v>
      </c>
      <c r="E27" s="691"/>
      <c r="F27" s="712" t="s">
        <v>1151</v>
      </c>
      <c r="G27" s="711">
        <f>G29</f>
        <v>68000</v>
      </c>
    </row>
    <row r="28" spans="1:7" s="718" customFormat="1" ht="9" customHeight="1">
      <c r="A28" s="714"/>
      <c r="B28" s="715"/>
      <c r="C28" s="715"/>
      <c r="D28" s="716"/>
      <c r="E28" s="691"/>
      <c r="F28" s="717"/>
      <c r="G28" s="716"/>
    </row>
    <row r="29" spans="1:7">
      <c r="A29" s="719"/>
      <c r="B29" s="719"/>
      <c r="C29" s="720" t="s">
        <v>1149</v>
      </c>
      <c r="D29" s="679">
        <v>68000</v>
      </c>
      <c r="E29" s="691"/>
      <c r="F29" s="722" t="s">
        <v>414</v>
      </c>
      <c r="G29" s="679">
        <v>68000</v>
      </c>
    </row>
    <row r="30" spans="1:7" ht="9" customHeight="1">
      <c r="A30" s="719"/>
      <c r="B30" s="719"/>
      <c r="C30" s="720"/>
      <c r="D30" s="723"/>
      <c r="E30" s="691"/>
      <c r="F30" s="722"/>
      <c r="G30" s="721"/>
    </row>
    <row r="31" spans="1:7" s="697" customFormat="1" ht="15">
      <c r="A31" s="693"/>
      <c r="B31" s="694" t="s">
        <v>23</v>
      </c>
      <c r="C31" s="695" t="s">
        <v>24</v>
      </c>
      <c r="D31" s="316">
        <f>D33+D39</f>
        <v>36711000</v>
      </c>
      <c r="E31" s="684"/>
      <c r="F31" s="696" t="s">
        <v>24</v>
      </c>
      <c r="G31" s="316">
        <f>G33+G39</f>
        <v>36711000</v>
      </c>
    </row>
    <row r="32" spans="1:7" ht="9" customHeight="1">
      <c r="A32" s="698"/>
      <c r="B32" s="699"/>
      <c r="C32" s="700"/>
      <c r="D32" s="724"/>
      <c r="E32" s="691"/>
      <c r="F32" s="702"/>
      <c r="G32" s="701"/>
    </row>
    <row r="33" spans="1:7" s="707" customFormat="1">
      <c r="A33" s="703"/>
      <c r="B33" s="704" t="s">
        <v>423</v>
      </c>
      <c r="C33" s="705" t="s">
        <v>49</v>
      </c>
      <c r="D33" s="706">
        <f>D35</f>
        <v>36443000</v>
      </c>
      <c r="E33" s="691"/>
      <c r="F33" s="725" t="s">
        <v>49</v>
      </c>
      <c r="G33" s="706">
        <f>G35</f>
        <v>36443000</v>
      </c>
    </row>
    <row r="34" spans="1:7" ht="9" customHeight="1">
      <c r="A34" s="676"/>
      <c r="B34" s="708"/>
      <c r="C34" s="678"/>
      <c r="D34" s="726"/>
      <c r="E34" s="691"/>
      <c r="F34" s="709"/>
      <c r="G34" s="679"/>
    </row>
    <row r="35" spans="1:7" s="713" customFormat="1" ht="27.6" customHeight="1">
      <c r="A35" s="710">
        <v>3</v>
      </c>
      <c r="B35" s="1131" t="s">
        <v>1152</v>
      </c>
      <c r="C35" s="1132"/>
      <c r="D35" s="711">
        <f>D37</f>
        <v>36443000</v>
      </c>
      <c r="E35" s="691"/>
      <c r="F35" s="712" t="s">
        <v>1152</v>
      </c>
      <c r="G35" s="711">
        <f>G37</f>
        <v>36443000</v>
      </c>
    </row>
    <row r="36" spans="1:7" s="707" customFormat="1" ht="9" customHeight="1">
      <c r="A36" s="727"/>
      <c r="B36" s="728"/>
      <c r="C36" s="729"/>
      <c r="D36" s="706"/>
      <c r="E36" s="691"/>
      <c r="F36" s="730"/>
      <c r="G36" s="731"/>
    </row>
    <row r="37" spans="1:7">
      <c r="A37" s="719"/>
      <c r="B37" s="719"/>
      <c r="C37" s="720" t="s">
        <v>1149</v>
      </c>
      <c r="D37" s="679">
        <v>36443000</v>
      </c>
      <c r="E37" s="691"/>
      <c r="F37" s="722" t="s">
        <v>1153</v>
      </c>
      <c r="G37" s="679">
        <v>36443000</v>
      </c>
    </row>
    <row r="38" spans="1:7" ht="9" customHeight="1">
      <c r="A38" s="676"/>
      <c r="B38" s="708"/>
      <c r="C38" s="678"/>
      <c r="D38" s="726"/>
      <c r="E38" s="691"/>
      <c r="F38" s="709"/>
      <c r="G38" s="679"/>
    </row>
    <row r="39" spans="1:7" s="707" customFormat="1">
      <c r="A39" s="703"/>
      <c r="B39" s="704" t="s">
        <v>427</v>
      </c>
      <c r="C39" s="705" t="s">
        <v>46</v>
      </c>
      <c r="D39" s="706">
        <f>D41</f>
        <v>268000</v>
      </c>
      <c r="E39" s="691"/>
      <c r="F39" s="725" t="s">
        <v>46</v>
      </c>
      <c r="G39" s="706">
        <f>G41</f>
        <v>268000</v>
      </c>
    </row>
    <row r="40" spans="1:7" ht="9" customHeight="1">
      <c r="A40" s="676"/>
      <c r="B40" s="732"/>
      <c r="C40" s="732"/>
      <c r="D40" s="726"/>
      <c r="E40" s="691"/>
      <c r="F40" s="709"/>
      <c r="G40" s="679"/>
    </row>
    <row r="41" spans="1:7" s="713" customFormat="1" ht="13.9" customHeight="1">
      <c r="A41" s="710">
        <v>4</v>
      </c>
      <c r="B41" s="1131" t="s">
        <v>1154</v>
      </c>
      <c r="C41" s="1132"/>
      <c r="D41" s="711">
        <f>D43</f>
        <v>268000</v>
      </c>
      <c r="E41" s="691"/>
      <c r="F41" s="712" t="s">
        <v>1154</v>
      </c>
      <c r="G41" s="711">
        <f>G43+G45</f>
        <v>268000</v>
      </c>
    </row>
    <row r="42" spans="1:7" s="707" customFormat="1" ht="9" customHeight="1">
      <c r="A42" s="727"/>
      <c r="B42" s="728"/>
      <c r="C42" s="729"/>
      <c r="D42" s="706"/>
      <c r="E42" s="691"/>
      <c r="F42" s="730"/>
      <c r="G42" s="731"/>
    </row>
    <row r="43" spans="1:7">
      <c r="A43" s="719"/>
      <c r="B43" s="719"/>
      <c r="C43" s="720" t="s">
        <v>1149</v>
      </c>
      <c r="D43" s="679">
        <v>268000</v>
      </c>
      <c r="E43" s="691"/>
      <c r="F43" s="722" t="s">
        <v>414</v>
      </c>
      <c r="G43" s="679">
        <v>174200</v>
      </c>
    </row>
    <row r="44" spans="1:7" ht="9" customHeight="1">
      <c r="A44" s="676"/>
      <c r="B44" s="676"/>
      <c r="C44" s="733"/>
      <c r="D44" s="726"/>
      <c r="E44" s="691"/>
      <c r="F44" s="734"/>
      <c r="G44" s="679"/>
    </row>
    <row r="45" spans="1:7">
      <c r="A45" s="719"/>
      <c r="B45" s="719"/>
      <c r="C45" s="735" t="s">
        <v>731</v>
      </c>
      <c r="D45" s="736" t="s">
        <v>731</v>
      </c>
      <c r="E45" s="691"/>
      <c r="F45" s="722" t="s">
        <v>1150</v>
      </c>
      <c r="G45" s="679">
        <v>93800</v>
      </c>
    </row>
    <row r="46" spans="1:7" ht="9" customHeight="1">
      <c r="A46" s="719"/>
      <c r="B46" s="719"/>
      <c r="C46" s="720"/>
      <c r="D46" s="721"/>
      <c r="E46" s="691"/>
      <c r="F46" s="722"/>
      <c r="G46" s="721"/>
    </row>
    <row r="47" spans="1:7" s="697" customFormat="1" ht="15">
      <c r="A47" s="693"/>
      <c r="B47" s="694" t="s">
        <v>55</v>
      </c>
      <c r="C47" s="695" t="s">
        <v>56</v>
      </c>
      <c r="D47" s="316">
        <f>D49</f>
        <v>189000</v>
      </c>
      <c r="E47" s="684"/>
      <c r="F47" s="696" t="s">
        <v>56</v>
      </c>
      <c r="G47" s="316">
        <f>G49</f>
        <v>189000</v>
      </c>
    </row>
    <row r="48" spans="1:7" ht="9" customHeight="1">
      <c r="A48" s="698"/>
      <c r="B48" s="699"/>
      <c r="C48" s="700"/>
      <c r="D48" s="724"/>
      <c r="E48" s="691"/>
      <c r="F48" s="702"/>
      <c r="G48" s="701"/>
    </row>
    <row r="49" spans="1:7" s="707" customFormat="1">
      <c r="A49" s="703"/>
      <c r="B49" s="704" t="s">
        <v>428</v>
      </c>
      <c r="C49" s="705" t="s">
        <v>46</v>
      </c>
      <c r="D49" s="706">
        <f>D51</f>
        <v>189000</v>
      </c>
      <c r="E49" s="691"/>
      <c r="F49" s="725" t="s">
        <v>46</v>
      </c>
      <c r="G49" s="706">
        <f>G51</f>
        <v>189000</v>
      </c>
    </row>
    <row r="50" spans="1:7" ht="9" customHeight="1">
      <c r="A50" s="676"/>
      <c r="B50" s="708"/>
      <c r="C50" s="678"/>
      <c r="D50" s="726"/>
      <c r="E50" s="691"/>
      <c r="F50" s="709"/>
      <c r="G50" s="679"/>
    </row>
    <row r="51" spans="1:7" s="718" customFormat="1" ht="13.9" customHeight="1">
      <c r="A51" s="737">
        <v>5</v>
      </c>
      <c r="B51" s="1145" t="s">
        <v>1155</v>
      </c>
      <c r="C51" s="1146"/>
      <c r="D51" s="716">
        <f>D53</f>
        <v>189000</v>
      </c>
      <c r="E51" s="691"/>
      <c r="F51" s="738" t="s">
        <v>1155</v>
      </c>
      <c r="G51" s="716">
        <f>G53</f>
        <v>189000</v>
      </c>
    </row>
    <row r="52" spans="1:7" s="707" customFormat="1" ht="9" customHeight="1">
      <c r="A52" s="727"/>
      <c r="B52" s="728"/>
      <c r="C52" s="729"/>
      <c r="D52" s="706"/>
      <c r="E52" s="691"/>
      <c r="F52" s="730"/>
      <c r="G52" s="731"/>
    </row>
    <row r="53" spans="1:7">
      <c r="A53" s="719"/>
      <c r="B53" s="719"/>
      <c r="C53" s="720" t="s">
        <v>1149</v>
      </c>
      <c r="D53" s="679">
        <v>189000</v>
      </c>
      <c r="E53" s="691"/>
      <c r="F53" s="722" t="s">
        <v>414</v>
      </c>
      <c r="G53" s="679">
        <v>189000</v>
      </c>
    </row>
    <row r="54" spans="1:7" ht="9" customHeight="1">
      <c r="A54" s="719"/>
      <c r="B54" s="739"/>
      <c r="C54" s="740"/>
      <c r="D54" s="736"/>
      <c r="E54" s="691"/>
      <c r="F54" s="741"/>
      <c r="G54" s="721"/>
    </row>
    <row r="55" spans="1:7" s="697" customFormat="1" ht="15">
      <c r="A55" s="693"/>
      <c r="B55" s="694" t="s">
        <v>27</v>
      </c>
      <c r="C55" s="695" t="s">
        <v>28</v>
      </c>
      <c r="D55" s="316">
        <f>D57+D63</f>
        <v>369000</v>
      </c>
      <c r="E55" s="684"/>
      <c r="F55" s="696" t="s">
        <v>28</v>
      </c>
      <c r="G55" s="316">
        <f>G57+G63</f>
        <v>369000</v>
      </c>
    </row>
    <row r="56" spans="1:7" ht="9" customHeight="1">
      <c r="A56" s="698"/>
      <c r="B56" s="699"/>
      <c r="C56" s="700"/>
      <c r="D56" s="724"/>
      <c r="E56" s="691"/>
      <c r="F56" s="692"/>
      <c r="G56" s="701"/>
    </row>
    <row r="57" spans="1:7" s="707" customFormat="1">
      <c r="A57" s="727"/>
      <c r="B57" s="728" t="s">
        <v>432</v>
      </c>
      <c r="C57" s="742" t="s">
        <v>50</v>
      </c>
      <c r="D57" s="706">
        <f>D59</f>
        <v>269000</v>
      </c>
      <c r="E57" s="691"/>
      <c r="F57" s="743" t="s">
        <v>50</v>
      </c>
      <c r="G57" s="706">
        <f>G59</f>
        <v>269000</v>
      </c>
    </row>
    <row r="58" spans="1:7" ht="9" customHeight="1">
      <c r="A58" s="698"/>
      <c r="B58" s="699"/>
      <c r="C58" s="700"/>
      <c r="D58" s="724"/>
      <c r="E58" s="691"/>
      <c r="F58" s="702"/>
      <c r="G58" s="701"/>
    </row>
    <row r="59" spans="1:7" s="713" customFormat="1" ht="13.9" customHeight="1">
      <c r="A59" s="710">
        <v>6</v>
      </c>
      <c r="B59" s="1131" t="s">
        <v>1156</v>
      </c>
      <c r="C59" s="1132"/>
      <c r="D59" s="711">
        <f>D61</f>
        <v>269000</v>
      </c>
      <c r="E59" s="691"/>
      <c r="F59" s="712" t="s">
        <v>1156</v>
      </c>
      <c r="G59" s="711">
        <f>G61</f>
        <v>269000</v>
      </c>
    </row>
    <row r="60" spans="1:7" s="707" customFormat="1" ht="9" customHeight="1">
      <c r="A60" s="727"/>
      <c r="B60" s="728"/>
      <c r="C60" s="729"/>
      <c r="D60" s="706"/>
      <c r="E60" s="691"/>
      <c r="F60" s="730"/>
      <c r="G60" s="731"/>
    </row>
    <row r="61" spans="1:7">
      <c r="A61" s="676"/>
      <c r="B61" s="676"/>
      <c r="C61" s="744" t="s">
        <v>1149</v>
      </c>
      <c r="D61" s="679">
        <v>269000</v>
      </c>
      <c r="E61" s="691"/>
      <c r="F61" s="734" t="s">
        <v>414</v>
      </c>
      <c r="G61" s="679">
        <v>269000</v>
      </c>
    </row>
    <row r="62" spans="1:7" ht="9" customHeight="1">
      <c r="A62" s="698"/>
      <c r="B62" s="698"/>
      <c r="C62" s="746"/>
      <c r="D62" s="701"/>
      <c r="E62" s="691"/>
      <c r="F62" s="747"/>
      <c r="G62" s="701"/>
    </row>
    <row r="63" spans="1:7" s="707" customFormat="1">
      <c r="A63" s="703"/>
      <c r="B63" s="704" t="s">
        <v>433</v>
      </c>
      <c r="C63" s="705" t="s">
        <v>51</v>
      </c>
      <c r="D63" s="706">
        <f>D65</f>
        <v>100000</v>
      </c>
      <c r="E63" s="691"/>
      <c r="F63" s="725" t="s">
        <v>51</v>
      </c>
      <c r="G63" s="706">
        <f>G65</f>
        <v>100000</v>
      </c>
    </row>
    <row r="64" spans="1:7" ht="9" customHeight="1">
      <c r="A64" s="676"/>
      <c r="B64" s="732"/>
      <c r="C64" s="732"/>
      <c r="D64" s="726"/>
      <c r="E64" s="691"/>
      <c r="F64" s="748"/>
      <c r="G64" s="679"/>
    </row>
    <row r="65" spans="1:7" s="713" customFormat="1">
      <c r="A65" s="749">
        <v>7</v>
      </c>
      <c r="B65" s="1131" t="s">
        <v>1157</v>
      </c>
      <c r="C65" s="1132"/>
      <c r="D65" s="750">
        <f>D67</f>
        <v>100000</v>
      </c>
      <c r="E65" s="691"/>
      <c r="F65" s="751" t="s">
        <v>1157</v>
      </c>
      <c r="G65" s="750">
        <f>G67</f>
        <v>100000</v>
      </c>
    </row>
    <row r="66" spans="1:7" s="707" customFormat="1" ht="9" customHeight="1">
      <c r="A66" s="727"/>
      <c r="B66" s="728"/>
      <c r="C66" s="729"/>
      <c r="D66" s="706"/>
      <c r="E66" s="691"/>
      <c r="F66" s="730"/>
      <c r="G66" s="731"/>
    </row>
    <row r="67" spans="1:7">
      <c r="A67" s="719"/>
      <c r="B67" s="719"/>
      <c r="C67" s="720" t="s">
        <v>1149</v>
      </c>
      <c r="D67" s="679">
        <v>100000</v>
      </c>
      <c r="E67" s="691"/>
      <c r="F67" s="722" t="s">
        <v>1150</v>
      </c>
      <c r="G67" s="679">
        <v>100000</v>
      </c>
    </row>
    <row r="68" spans="1:7" ht="9" customHeight="1">
      <c r="A68" s="719"/>
      <c r="B68" s="739"/>
      <c r="C68" s="740"/>
      <c r="D68" s="736"/>
      <c r="E68" s="691"/>
      <c r="F68" s="741"/>
      <c r="G68" s="721"/>
    </row>
    <row r="69" spans="1:7" s="697" customFormat="1" ht="15">
      <c r="A69" s="693"/>
      <c r="B69" s="694" t="s">
        <v>29</v>
      </c>
      <c r="C69" s="695" t="s">
        <v>30</v>
      </c>
      <c r="D69" s="316">
        <f>D71</f>
        <v>202000</v>
      </c>
      <c r="E69" s="684"/>
      <c r="F69" s="696" t="s">
        <v>30</v>
      </c>
      <c r="G69" s="316">
        <f>G71</f>
        <v>202000</v>
      </c>
    </row>
    <row r="70" spans="1:7" s="707" customFormat="1" ht="9" customHeight="1">
      <c r="A70" s="752"/>
      <c r="B70" s="752"/>
      <c r="C70" s="724"/>
      <c r="D70" s="724"/>
      <c r="E70" s="691"/>
      <c r="F70" s="702"/>
      <c r="G70" s="701"/>
    </row>
    <row r="71" spans="1:7" s="707" customFormat="1" ht="16.149999999999999" customHeight="1">
      <c r="A71" s="703"/>
      <c r="B71" s="704" t="s">
        <v>441</v>
      </c>
      <c r="C71" s="705" t="s">
        <v>442</v>
      </c>
      <c r="D71" s="706">
        <f>D73</f>
        <v>202000</v>
      </c>
      <c r="E71" s="691"/>
      <c r="F71" s="725" t="s">
        <v>442</v>
      </c>
      <c r="G71" s="706">
        <f>G73</f>
        <v>202000</v>
      </c>
    </row>
    <row r="72" spans="1:7" ht="9" customHeight="1">
      <c r="A72" s="676"/>
      <c r="B72" s="732"/>
      <c r="C72" s="732"/>
      <c r="D72" s="726"/>
      <c r="E72" s="691"/>
      <c r="F72" s="709"/>
      <c r="G72" s="679"/>
    </row>
    <row r="73" spans="1:7" s="713" customFormat="1" ht="27.6" customHeight="1">
      <c r="A73" s="710">
        <v>8</v>
      </c>
      <c r="B73" s="1131" t="s">
        <v>1158</v>
      </c>
      <c r="C73" s="1132"/>
      <c r="D73" s="711">
        <f>D75</f>
        <v>202000</v>
      </c>
      <c r="E73" s="691"/>
      <c r="F73" s="712" t="s">
        <v>1158</v>
      </c>
      <c r="G73" s="711">
        <f>G75+G77</f>
        <v>202000</v>
      </c>
    </row>
    <row r="74" spans="1:7" s="707" customFormat="1" ht="9" customHeight="1">
      <c r="A74" s="727"/>
      <c r="B74" s="728"/>
      <c r="C74" s="729"/>
      <c r="D74" s="706"/>
      <c r="E74" s="691"/>
      <c r="F74" s="730"/>
      <c r="G74" s="731"/>
    </row>
    <row r="75" spans="1:7">
      <c r="A75" s="719"/>
      <c r="B75" s="719"/>
      <c r="C75" s="720" t="s">
        <v>1149</v>
      </c>
      <c r="D75" s="679">
        <v>202000</v>
      </c>
      <c r="E75" s="691"/>
      <c r="F75" s="722" t="s">
        <v>414</v>
      </c>
      <c r="G75" s="679">
        <f>66000+6250+15000+2200+1150+20000</f>
        <v>110600</v>
      </c>
    </row>
    <row r="76" spans="1:7" ht="9" customHeight="1">
      <c r="A76" s="676"/>
      <c r="B76" s="676"/>
      <c r="C76" s="744"/>
      <c r="D76" s="753"/>
      <c r="E76" s="691"/>
      <c r="F76" s="709"/>
      <c r="G76" s="701"/>
    </row>
    <row r="77" spans="1:7">
      <c r="A77" s="719"/>
      <c r="B77" s="719"/>
      <c r="C77" s="736" t="s">
        <v>731</v>
      </c>
      <c r="D77" s="736" t="s">
        <v>731</v>
      </c>
      <c r="E77" s="691"/>
      <c r="F77" s="722" t="s">
        <v>1150</v>
      </c>
      <c r="G77" s="679">
        <f>2000+16500+8000+64000+500+400</f>
        <v>91400</v>
      </c>
    </row>
    <row r="78" spans="1:7" ht="9" customHeight="1">
      <c r="A78" s="719"/>
      <c r="B78" s="739"/>
      <c r="C78" s="740"/>
      <c r="D78" s="736"/>
      <c r="E78" s="691"/>
      <c r="F78" s="741"/>
      <c r="G78" s="721"/>
    </row>
    <row r="79" spans="1:7" s="697" customFormat="1" ht="15">
      <c r="A79" s="693"/>
      <c r="B79" s="694" t="s">
        <v>31</v>
      </c>
      <c r="C79" s="695" t="s">
        <v>32</v>
      </c>
      <c r="D79" s="316">
        <f>D81</f>
        <v>5000</v>
      </c>
      <c r="E79" s="684"/>
      <c r="F79" s="696" t="s">
        <v>32</v>
      </c>
      <c r="G79" s="316">
        <f>G81</f>
        <v>5000</v>
      </c>
    </row>
    <row r="80" spans="1:7" ht="9" customHeight="1">
      <c r="A80" s="698"/>
      <c r="B80" s="699"/>
      <c r="C80" s="700"/>
      <c r="D80" s="724"/>
      <c r="E80" s="691"/>
      <c r="F80" s="702"/>
      <c r="G80" s="701"/>
    </row>
    <row r="81" spans="1:7" s="707" customFormat="1">
      <c r="A81" s="703"/>
      <c r="B81" s="704" t="s">
        <v>444</v>
      </c>
      <c r="C81" s="705" t="s">
        <v>59</v>
      </c>
      <c r="D81" s="706">
        <f>D83</f>
        <v>5000</v>
      </c>
      <c r="E81" s="691"/>
      <c r="F81" s="725" t="s">
        <v>59</v>
      </c>
      <c r="G81" s="706">
        <f>G83</f>
        <v>5000</v>
      </c>
    </row>
    <row r="82" spans="1:7" ht="9" customHeight="1">
      <c r="A82" s="676"/>
      <c r="B82" s="708"/>
      <c r="C82" s="678"/>
      <c r="D82" s="726"/>
      <c r="E82" s="691"/>
      <c r="F82" s="709"/>
      <c r="G82" s="679"/>
    </row>
    <row r="83" spans="1:7" s="713" customFormat="1" ht="13.9" customHeight="1">
      <c r="A83" s="710">
        <v>9</v>
      </c>
      <c r="B83" s="1135" t="s">
        <v>1159</v>
      </c>
      <c r="C83" s="1136"/>
      <c r="D83" s="711">
        <f>D85</f>
        <v>5000</v>
      </c>
      <c r="E83" s="691"/>
      <c r="F83" s="712" t="s">
        <v>1159</v>
      </c>
      <c r="G83" s="711">
        <f>G85</f>
        <v>5000</v>
      </c>
    </row>
    <row r="84" spans="1:7" s="707" customFormat="1" ht="9" customHeight="1">
      <c r="A84" s="727"/>
      <c r="B84" s="728"/>
      <c r="C84" s="729"/>
      <c r="D84" s="706"/>
      <c r="E84" s="691"/>
      <c r="F84" s="730"/>
      <c r="G84" s="731"/>
    </row>
    <row r="85" spans="1:7">
      <c r="A85" s="676"/>
      <c r="B85" s="676"/>
      <c r="C85" s="744" t="s">
        <v>1149</v>
      </c>
      <c r="D85" s="679">
        <v>5000</v>
      </c>
      <c r="E85" s="691"/>
      <c r="F85" s="734" t="s">
        <v>1150</v>
      </c>
      <c r="G85" s="679">
        <v>5000</v>
      </c>
    </row>
    <row r="86" spans="1:7" ht="9" customHeight="1">
      <c r="A86" s="676"/>
      <c r="B86" s="676"/>
      <c r="C86" s="744"/>
      <c r="D86" s="726"/>
      <c r="E86" s="745"/>
      <c r="F86" s="734"/>
      <c r="G86" s="679"/>
    </row>
    <row r="87" spans="1:7" s="697" customFormat="1" ht="15">
      <c r="A87" s="693"/>
      <c r="B87" s="694" t="s">
        <v>35</v>
      </c>
      <c r="C87" s="695" t="s">
        <v>36</v>
      </c>
      <c r="D87" s="316">
        <f>D89+D101+D95</f>
        <v>15304956</v>
      </c>
      <c r="E87" s="684"/>
      <c r="F87" s="696" t="s">
        <v>36</v>
      </c>
      <c r="G87" s="316">
        <f>G89+G101+G95</f>
        <v>15304956</v>
      </c>
    </row>
    <row r="88" spans="1:7" ht="9" customHeight="1">
      <c r="A88" s="698"/>
      <c r="B88" s="699"/>
      <c r="C88" s="700"/>
      <c r="D88" s="724"/>
      <c r="E88" s="691"/>
      <c r="F88" s="702"/>
      <c r="G88" s="701"/>
    </row>
    <row r="89" spans="1:7" s="707" customFormat="1" ht="38.25">
      <c r="A89" s="754"/>
      <c r="B89" s="755" t="s">
        <v>1160</v>
      </c>
      <c r="C89" s="756" t="s">
        <v>462</v>
      </c>
      <c r="D89" s="757">
        <f>D91</f>
        <v>16000</v>
      </c>
      <c r="E89" s="691"/>
      <c r="F89" s="758" t="s">
        <v>462</v>
      </c>
      <c r="G89" s="757">
        <f>G91</f>
        <v>16000</v>
      </c>
    </row>
    <row r="90" spans="1:7" ht="9" customHeight="1">
      <c r="A90" s="676"/>
      <c r="B90" s="708"/>
      <c r="C90" s="678"/>
      <c r="D90" s="726"/>
      <c r="E90" s="691"/>
      <c r="F90" s="709"/>
      <c r="G90" s="679"/>
    </row>
    <row r="91" spans="1:7" s="713" customFormat="1">
      <c r="A91" s="710">
        <v>10</v>
      </c>
      <c r="B91" s="1131" t="s">
        <v>1161</v>
      </c>
      <c r="C91" s="1132"/>
      <c r="D91" s="711">
        <f>D93</f>
        <v>16000</v>
      </c>
      <c r="E91" s="691"/>
      <c r="F91" s="759" t="s">
        <v>1161</v>
      </c>
      <c r="G91" s="711">
        <f>G93</f>
        <v>16000</v>
      </c>
    </row>
    <row r="92" spans="1:7" s="707" customFormat="1" ht="9" customHeight="1">
      <c r="A92" s="727"/>
      <c r="B92" s="728"/>
      <c r="C92" s="729"/>
      <c r="D92" s="706"/>
      <c r="E92" s="691"/>
      <c r="F92" s="730"/>
      <c r="G92" s="731"/>
    </row>
    <row r="93" spans="1:7">
      <c r="A93" s="676"/>
      <c r="B93" s="676"/>
      <c r="C93" s="744" t="s">
        <v>1149</v>
      </c>
      <c r="D93" s="679">
        <v>16000</v>
      </c>
      <c r="E93" s="691"/>
      <c r="F93" s="722" t="s">
        <v>1150</v>
      </c>
      <c r="G93" s="679">
        <v>16000</v>
      </c>
    </row>
    <row r="94" spans="1:7" ht="9" customHeight="1">
      <c r="A94" s="676"/>
      <c r="B94" s="708"/>
      <c r="C94" s="678"/>
      <c r="D94" s="726"/>
      <c r="E94" s="745"/>
      <c r="F94" s="709"/>
      <c r="G94" s="701"/>
    </row>
    <row r="95" spans="1:7" s="707" customFormat="1">
      <c r="A95" s="703"/>
      <c r="B95" s="704" t="s">
        <v>1162</v>
      </c>
      <c r="C95" s="705" t="s">
        <v>379</v>
      </c>
      <c r="D95" s="706">
        <f>D97</f>
        <v>15268956</v>
      </c>
      <c r="E95" s="815"/>
      <c r="F95" s="705" t="s">
        <v>379</v>
      </c>
      <c r="G95" s="706">
        <f>G97</f>
        <v>15268956</v>
      </c>
    </row>
    <row r="96" spans="1:7" ht="9" customHeight="1">
      <c r="A96" s="676"/>
      <c r="B96" s="708"/>
      <c r="C96" s="678"/>
      <c r="D96" s="726"/>
      <c r="E96" s="691"/>
      <c r="F96" s="709"/>
      <c r="G96" s="679"/>
    </row>
    <row r="97" spans="1:7" s="713" customFormat="1" ht="30" customHeight="1">
      <c r="A97" s="710">
        <v>11</v>
      </c>
      <c r="B97" s="1131" t="s">
        <v>1163</v>
      </c>
      <c r="C97" s="1132"/>
      <c r="D97" s="711">
        <f>D99</f>
        <v>15268956</v>
      </c>
      <c r="E97" s="691"/>
      <c r="F97" s="759" t="s">
        <v>1163</v>
      </c>
      <c r="G97" s="711">
        <f>G99</f>
        <v>15268956</v>
      </c>
    </row>
    <row r="98" spans="1:7" s="707" customFormat="1" ht="9" customHeight="1">
      <c r="A98" s="727"/>
      <c r="B98" s="728"/>
      <c r="C98" s="729"/>
      <c r="D98" s="706"/>
      <c r="E98" s="691"/>
      <c r="F98" s="730"/>
      <c r="G98" s="731"/>
    </row>
    <row r="99" spans="1:7">
      <c r="A99" s="676"/>
      <c r="B99" s="676"/>
      <c r="C99" s="744" t="s">
        <v>1149</v>
      </c>
      <c r="D99" s="679">
        <v>15268956</v>
      </c>
      <c r="E99" s="691"/>
      <c r="F99" s="722" t="s">
        <v>1150</v>
      </c>
      <c r="G99" s="679">
        <v>15268956</v>
      </c>
    </row>
    <row r="100" spans="1:7" ht="9" customHeight="1">
      <c r="A100" s="719"/>
      <c r="B100" s="739"/>
      <c r="C100" s="740"/>
      <c r="D100" s="726"/>
      <c r="E100" s="691"/>
      <c r="F100" s="709"/>
      <c r="G100" s="701"/>
    </row>
    <row r="101" spans="1:7" s="707" customFormat="1">
      <c r="A101" s="703"/>
      <c r="B101" s="704" t="s">
        <v>1040</v>
      </c>
      <c r="C101" s="705" t="s">
        <v>46</v>
      </c>
      <c r="D101" s="706">
        <f>D103</f>
        <v>20000</v>
      </c>
      <c r="E101" s="691"/>
      <c r="F101" s="760" t="s">
        <v>46</v>
      </c>
      <c r="G101" s="706">
        <f>G103</f>
        <v>20000</v>
      </c>
    </row>
    <row r="102" spans="1:7" ht="9" customHeight="1">
      <c r="A102" s="676"/>
      <c r="B102" s="708"/>
      <c r="C102" s="678"/>
      <c r="D102" s="726"/>
      <c r="E102" s="691"/>
      <c r="F102" s="709"/>
      <c r="G102" s="679"/>
    </row>
    <row r="103" spans="1:7" s="713" customFormat="1" ht="13.9" customHeight="1">
      <c r="A103" s="710">
        <v>12</v>
      </c>
      <c r="B103" s="1131" t="s">
        <v>1164</v>
      </c>
      <c r="C103" s="1132"/>
      <c r="D103" s="711">
        <f>D105</f>
        <v>20000</v>
      </c>
      <c r="E103" s="691"/>
      <c r="F103" s="759" t="s">
        <v>1164</v>
      </c>
      <c r="G103" s="711">
        <f>G105</f>
        <v>20000</v>
      </c>
    </row>
    <row r="104" spans="1:7" s="707" customFormat="1" ht="9" customHeight="1">
      <c r="A104" s="727"/>
      <c r="B104" s="728"/>
      <c r="C104" s="729"/>
      <c r="D104" s="706"/>
      <c r="E104" s="691"/>
      <c r="F104" s="730"/>
      <c r="G104" s="731"/>
    </row>
    <row r="105" spans="1:7">
      <c r="A105" s="719"/>
      <c r="B105" s="719"/>
      <c r="C105" s="720" t="s">
        <v>1149</v>
      </c>
      <c r="D105" s="761">
        <v>20000</v>
      </c>
      <c r="E105" s="691"/>
      <c r="F105" s="722" t="s">
        <v>1150</v>
      </c>
      <c r="G105" s="679">
        <v>20000</v>
      </c>
    </row>
    <row r="106" spans="1:7" ht="9" customHeight="1">
      <c r="A106" s="719"/>
      <c r="B106" s="739"/>
      <c r="C106" s="740"/>
      <c r="D106" s="736"/>
      <c r="E106" s="691"/>
      <c r="F106" s="709"/>
      <c r="G106" s="721"/>
    </row>
    <row r="107" spans="1:7" s="697" customFormat="1" ht="30">
      <c r="A107" s="693"/>
      <c r="B107" s="694" t="s">
        <v>37</v>
      </c>
      <c r="C107" s="695" t="s">
        <v>42</v>
      </c>
      <c r="D107" s="316">
        <f>D109</f>
        <v>1000</v>
      </c>
      <c r="E107" s="684"/>
      <c r="F107" s="696" t="s">
        <v>42</v>
      </c>
      <c r="G107" s="316">
        <f>G109</f>
        <v>1000</v>
      </c>
    </row>
    <row r="108" spans="1:7" ht="9" customHeight="1">
      <c r="A108" s="698"/>
      <c r="B108" s="699"/>
      <c r="C108" s="700"/>
      <c r="D108" s="724"/>
      <c r="E108" s="691"/>
      <c r="F108" s="702"/>
      <c r="G108" s="701"/>
    </row>
    <row r="109" spans="1:7" s="707" customFormat="1">
      <c r="A109" s="703"/>
      <c r="B109" s="704" t="s">
        <v>1055</v>
      </c>
      <c r="C109" s="705" t="s">
        <v>43</v>
      </c>
      <c r="D109" s="706">
        <f>D111</f>
        <v>1000</v>
      </c>
      <c r="E109" s="691"/>
      <c r="F109" s="725" t="s">
        <v>43</v>
      </c>
      <c r="G109" s="706">
        <f>G111</f>
        <v>1000</v>
      </c>
    </row>
    <row r="110" spans="1:7" ht="9" customHeight="1">
      <c r="A110" s="676"/>
      <c r="B110" s="708"/>
      <c r="C110" s="678"/>
      <c r="D110" s="726"/>
      <c r="E110" s="691"/>
      <c r="F110" s="709"/>
      <c r="G110" s="679"/>
    </row>
    <row r="111" spans="1:7" s="713" customFormat="1" ht="13.9" customHeight="1">
      <c r="A111" s="710">
        <v>13</v>
      </c>
      <c r="B111" s="1131" t="s">
        <v>1165</v>
      </c>
      <c r="C111" s="1132"/>
      <c r="D111" s="711">
        <f>D113</f>
        <v>1000</v>
      </c>
      <c r="E111" s="691"/>
      <c r="F111" s="712" t="s">
        <v>1165</v>
      </c>
      <c r="G111" s="711">
        <f>G113+G115</f>
        <v>1000</v>
      </c>
    </row>
    <row r="112" spans="1:7" s="707" customFormat="1" ht="9" customHeight="1">
      <c r="A112" s="727"/>
      <c r="B112" s="728"/>
      <c r="C112" s="729"/>
      <c r="D112" s="706"/>
      <c r="E112" s="691"/>
      <c r="F112" s="730"/>
      <c r="G112" s="731"/>
    </row>
    <row r="113" spans="1:7">
      <c r="A113" s="676"/>
      <c r="B113" s="676"/>
      <c r="C113" s="744" t="s">
        <v>1149</v>
      </c>
      <c r="D113" s="679">
        <v>1000</v>
      </c>
      <c r="E113" s="691"/>
      <c r="F113" s="734" t="s">
        <v>414</v>
      </c>
      <c r="G113" s="679">
        <v>900</v>
      </c>
    </row>
    <row r="114" spans="1:7" ht="9" customHeight="1">
      <c r="A114" s="698"/>
      <c r="B114" s="699"/>
      <c r="C114" s="700"/>
      <c r="D114" s="701"/>
      <c r="E114" s="691"/>
      <c r="F114" s="702"/>
      <c r="G114" s="701"/>
    </row>
    <row r="115" spans="1:7" s="707" customFormat="1">
      <c r="A115" s="703"/>
      <c r="B115" s="703"/>
      <c r="C115" s="736" t="s">
        <v>731</v>
      </c>
      <c r="D115" s="736" t="s">
        <v>731</v>
      </c>
      <c r="E115" s="691"/>
      <c r="F115" s="722" t="s">
        <v>1150</v>
      </c>
      <c r="G115" s="679">
        <v>100</v>
      </c>
    </row>
    <row r="116" spans="1:7" s="707" customFormat="1" ht="9" customHeight="1">
      <c r="A116" s="703"/>
      <c r="B116" s="703"/>
      <c r="C116" s="736"/>
      <c r="D116" s="736"/>
      <c r="E116" s="691"/>
      <c r="F116" s="722"/>
      <c r="G116" s="721"/>
    </row>
    <row r="117" spans="1:7" s="697" customFormat="1" ht="15">
      <c r="A117" s="693"/>
      <c r="B117" s="694" t="s">
        <v>52</v>
      </c>
      <c r="C117" s="695" t="s">
        <v>53</v>
      </c>
      <c r="D117" s="316">
        <f>D119</f>
        <v>3137000</v>
      </c>
      <c r="E117" s="684"/>
      <c r="F117" s="696" t="s">
        <v>53</v>
      </c>
      <c r="G117" s="316">
        <f>G119</f>
        <v>3137000</v>
      </c>
    </row>
    <row r="118" spans="1:7" ht="9" customHeight="1">
      <c r="A118" s="698"/>
      <c r="B118" s="699"/>
      <c r="C118" s="700"/>
      <c r="D118" s="724"/>
      <c r="E118" s="691"/>
      <c r="F118" s="702"/>
      <c r="G118" s="701"/>
    </row>
    <row r="119" spans="1:7" s="707" customFormat="1">
      <c r="A119" s="703"/>
      <c r="B119" s="704" t="s">
        <v>1098</v>
      </c>
      <c r="C119" s="705" t="s">
        <v>54</v>
      </c>
      <c r="D119" s="706">
        <f>D121+D125</f>
        <v>3137000</v>
      </c>
      <c r="E119" s="691"/>
      <c r="F119" s="725" t="s">
        <v>54</v>
      </c>
      <c r="G119" s="706">
        <f>G121+G125</f>
        <v>3137000</v>
      </c>
    </row>
    <row r="120" spans="1:7" ht="9" customHeight="1">
      <c r="A120" s="676"/>
      <c r="B120" s="708"/>
      <c r="C120" s="678"/>
      <c r="D120" s="726"/>
      <c r="E120" s="691"/>
      <c r="F120" s="748"/>
      <c r="G120" s="679"/>
    </row>
    <row r="121" spans="1:7" s="713" customFormat="1" ht="27.6" customHeight="1">
      <c r="A121" s="749">
        <v>14</v>
      </c>
      <c r="B121" s="1131" t="s">
        <v>1166</v>
      </c>
      <c r="C121" s="1132"/>
      <c r="D121" s="750">
        <f>D123</f>
        <v>430000</v>
      </c>
      <c r="E121" s="691"/>
      <c r="F121" s="751" t="s">
        <v>1166</v>
      </c>
      <c r="G121" s="750">
        <f>G123</f>
        <v>430000</v>
      </c>
    </row>
    <row r="122" spans="1:7" s="707" customFormat="1" ht="9" customHeight="1">
      <c r="A122" s="727"/>
      <c r="B122" s="728"/>
      <c r="C122" s="729"/>
      <c r="D122" s="706"/>
      <c r="E122" s="691"/>
      <c r="F122" s="730"/>
      <c r="G122" s="731"/>
    </row>
    <row r="123" spans="1:7">
      <c r="A123" s="719"/>
      <c r="B123" s="719"/>
      <c r="C123" s="720" t="s">
        <v>1149</v>
      </c>
      <c r="D123" s="679">
        <v>430000</v>
      </c>
      <c r="E123" s="691"/>
      <c r="F123" s="722" t="s">
        <v>1153</v>
      </c>
      <c r="G123" s="679">
        <v>430000</v>
      </c>
    </row>
    <row r="124" spans="1:7" ht="9" customHeight="1">
      <c r="A124" s="676"/>
      <c r="B124" s="708"/>
      <c r="C124" s="678"/>
      <c r="D124" s="726"/>
      <c r="E124" s="691"/>
      <c r="F124" s="709"/>
      <c r="G124" s="679"/>
    </row>
    <row r="125" spans="1:7" s="713" customFormat="1" ht="25.5">
      <c r="A125" s="710">
        <v>15</v>
      </c>
      <c r="B125" s="1131" t="s">
        <v>1167</v>
      </c>
      <c r="C125" s="1132"/>
      <c r="D125" s="711">
        <f>D127</f>
        <v>2707000</v>
      </c>
      <c r="E125" s="691"/>
      <c r="F125" s="712" t="s">
        <v>1167</v>
      </c>
      <c r="G125" s="711">
        <f>G127+G129</f>
        <v>2707000</v>
      </c>
    </row>
    <row r="126" spans="1:7" s="707" customFormat="1" ht="9" customHeight="1">
      <c r="A126" s="727"/>
      <c r="B126" s="728"/>
      <c r="C126" s="729"/>
      <c r="D126" s="706"/>
      <c r="E126" s="691"/>
      <c r="F126" s="730"/>
      <c r="G126" s="731"/>
    </row>
    <row r="127" spans="1:7">
      <c r="A127" s="719"/>
      <c r="B127" s="719"/>
      <c r="C127" s="720" t="s">
        <v>1149</v>
      </c>
      <c r="D127" s="679">
        <v>2707000</v>
      </c>
      <c r="E127" s="691"/>
      <c r="F127" s="722" t="s">
        <v>414</v>
      </c>
      <c r="G127" s="679">
        <f>1724504+135331+309844+30609+2000+7501</f>
        <v>2209789</v>
      </c>
    </row>
    <row r="128" spans="1:7" ht="9" customHeight="1">
      <c r="A128" s="676"/>
      <c r="B128" s="708"/>
      <c r="C128" s="678"/>
      <c r="D128" s="679"/>
      <c r="E128" s="691"/>
      <c r="F128" s="709"/>
      <c r="G128" s="679"/>
    </row>
    <row r="129" spans="1:7" s="707" customFormat="1">
      <c r="A129" s="703"/>
      <c r="B129" s="703"/>
      <c r="C129" s="736" t="s">
        <v>731</v>
      </c>
      <c r="D129" s="736" t="s">
        <v>731</v>
      </c>
      <c r="E129" s="691"/>
      <c r="F129" s="722" t="s">
        <v>1150</v>
      </c>
      <c r="G129" s="679">
        <f>1000+23000+150000+5000+60000+20000+1500+124000+13000+5328+25000+165+55417+3801+10000</f>
        <v>497211</v>
      </c>
    </row>
    <row r="130" spans="1:7" s="707" customFormat="1" ht="9" customHeight="1">
      <c r="A130" s="703"/>
      <c r="B130" s="703"/>
      <c r="C130" s="736"/>
      <c r="D130" s="736"/>
      <c r="E130" s="691"/>
      <c r="F130" s="722"/>
      <c r="G130" s="721"/>
    </row>
    <row r="131" spans="1:7" s="697" customFormat="1" ht="30">
      <c r="A131" s="693"/>
      <c r="B131" s="694" t="s">
        <v>38</v>
      </c>
      <c r="C131" s="695" t="s">
        <v>39</v>
      </c>
      <c r="D131" s="316">
        <f>D139+D145+D151+D133</f>
        <v>802000</v>
      </c>
      <c r="E131" s="684"/>
      <c r="F131" s="696" t="s">
        <v>39</v>
      </c>
      <c r="G131" s="316">
        <f>G139+G145+G151+G133</f>
        <v>802000</v>
      </c>
    </row>
    <row r="132" spans="1:7" s="697" customFormat="1" ht="9" customHeight="1">
      <c r="A132" s="762"/>
      <c r="B132" s="763"/>
      <c r="C132" s="764"/>
      <c r="D132" s="765"/>
      <c r="E132" s="691"/>
      <c r="F132" s="766"/>
      <c r="G132" s="765"/>
    </row>
    <row r="133" spans="1:7" s="707" customFormat="1">
      <c r="A133" s="703"/>
      <c r="B133" s="704" t="s">
        <v>1168</v>
      </c>
      <c r="C133" s="705" t="s">
        <v>144</v>
      </c>
      <c r="D133" s="706">
        <f>D135</f>
        <v>2000</v>
      </c>
      <c r="E133" s="691"/>
      <c r="F133" s="705" t="s">
        <v>144</v>
      </c>
      <c r="G133" s="706">
        <f>G135</f>
        <v>2000</v>
      </c>
    </row>
    <row r="134" spans="1:7" ht="9" customHeight="1">
      <c r="A134" s="676"/>
      <c r="B134" s="767"/>
      <c r="C134" s="678"/>
      <c r="D134" s="726"/>
      <c r="E134" s="691"/>
      <c r="F134" s="709"/>
      <c r="G134" s="679"/>
    </row>
    <row r="135" spans="1:7" s="713" customFormat="1" ht="13.9" customHeight="1">
      <c r="A135" s="710">
        <v>16</v>
      </c>
      <c r="B135" s="1131" t="s">
        <v>1169</v>
      </c>
      <c r="C135" s="1132"/>
      <c r="D135" s="711">
        <f>D137</f>
        <v>2000</v>
      </c>
      <c r="E135" s="691"/>
      <c r="F135" s="712" t="s">
        <v>1169</v>
      </c>
      <c r="G135" s="711">
        <f>G137</f>
        <v>2000</v>
      </c>
    </row>
    <row r="136" spans="1:7" s="707" customFormat="1" ht="9" customHeight="1">
      <c r="A136" s="727"/>
      <c r="B136" s="728"/>
      <c r="C136" s="729"/>
      <c r="D136" s="706"/>
      <c r="E136" s="691"/>
      <c r="F136" s="730"/>
      <c r="G136" s="731"/>
    </row>
    <row r="137" spans="1:7">
      <c r="A137" s="676"/>
      <c r="B137" s="676"/>
      <c r="C137" s="744" t="s">
        <v>1149</v>
      </c>
      <c r="D137" s="679">
        <v>2000</v>
      </c>
      <c r="E137" s="691"/>
      <c r="F137" s="722" t="s">
        <v>414</v>
      </c>
      <c r="G137" s="679">
        <v>2000</v>
      </c>
    </row>
    <row r="138" spans="1:7" s="697" customFormat="1" ht="9" customHeight="1">
      <c r="A138" s="768"/>
      <c r="B138" s="769"/>
      <c r="C138" s="770"/>
      <c r="D138" s="765"/>
      <c r="E138" s="691"/>
      <c r="F138" s="696"/>
      <c r="G138" s="765"/>
    </row>
    <row r="139" spans="1:7" s="707" customFormat="1">
      <c r="A139" s="703"/>
      <c r="B139" s="704" t="s">
        <v>1170</v>
      </c>
      <c r="C139" s="705" t="s">
        <v>44</v>
      </c>
      <c r="D139" s="706">
        <f>D141</f>
        <v>137000</v>
      </c>
      <c r="E139" s="691"/>
      <c r="F139" s="725" t="s">
        <v>44</v>
      </c>
      <c r="G139" s="706">
        <f>G141</f>
        <v>137000</v>
      </c>
    </row>
    <row r="140" spans="1:7" ht="9" customHeight="1">
      <c r="A140" s="676"/>
      <c r="B140" s="767"/>
      <c r="C140" s="678"/>
      <c r="D140" s="726"/>
      <c r="E140" s="691"/>
      <c r="F140" s="709"/>
      <c r="G140" s="679"/>
    </row>
    <row r="141" spans="1:7" s="713" customFormat="1" ht="13.9" customHeight="1">
      <c r="A141" s="710">
        <v>17</v>
      </c>
      <c r="B141" s="1131" t="s">
        <v>1171</v>
      </c>
      <c r="C141" s="1132"/>
      <c r="D141" s="711">
        <f>D143</f>
        <v>137000</v>
      </c>
      <c r="E141" s="691"/>
      <c r="F141" s="712" t="s">
        <v>1171</v>
      </c>
      <c r="G141" s="711">
        <f>G143</f>
        <v>137000</v>
      </c>
    </row>
    <row r="142" spans="1:7" s="707" customFormat="1" ht="9" customHeight="1">
      <c r="A142" s="727"/>
      <c r="B142" s="728"/>
      <c r="C142" s="729"/>
      <c r="D142" s="706"/>
      <c r="E142" s="691"/>
      <c r="F142" s="730"/>
      <c r="G142" s="731"/>
    </row>
    <row r="143" spans="1:7">
      <c r="A143" s="719"/>
      <c r="B143" s="719"/>
      <c r="C143" s="720" t="s">
        <v>1149</v>
      </c>
      <c r="D143" s="679">
        <v>137000</v>
      </c>
      <c r="E143" s="691"/>
      <c r="F143" s="722" t="s">
        <v>1150</v>
      </c>
      <c r="G143" s="679">
        <v>137000</v>
      </c>
    </row>
    <row r="144" spans="1:7" ht="9" customHeight="1">
      <c r="A144" s="676"/>
      <c r="B144" s="708"/>
      <c r="C144" s="678"/>
      <c r="D144" s="726"/>
      <c r="E144" s="691"/>
      <c r="F144" s="709"/>
      <c r="G144" s="679"/>
    </row>
    <row r="145" spans="1:7" s="707" customFormat="1">
      <c r="A145" s="703"/>
      <c r="B145" s="704" t="s">
        <v>1172</v>
      </c>
      <c r="C145" s="705" t="s">
        <v>45</v>
      </c>
      <c r="D145" s="706">
        <f>D147</f>
        <v>59000</v>
      </c>
      <c r="E145" s="691"/>
      <c r="F145" s="725" t="s">
        <v>45</v>
      </c>
      <c r="G145" s="706">
        <f>G147</f>
        <v>59000</v>
      </c>
    </row>
    <row r="146" spans="1:7" ht="9" customHeight="1">
      <c r="A146" s="676"/>
      <c r="B146" s="708"/>
      <c r="C146" s="678"/>
      <c r="D146" s="726"/>
      <c r="E146" s="691"/>
      <c r="F146" s="709"/>
      <c r="G146" s="679"/>
    </row>
    <row r="147" spans="1:7" s="713" customFormat="1" ht="14.45" customHeight="1">
      <c r="A147" s="710">
        <v>18</v>
      </c>
      <c r="B147" s="1131" t="s">
        <v>1173</v>
      </c>
      <c r="C147" s="1132"/>
      <c r="D147" s="711">
        <f>D149</f>
        <v>59000</v>
      </c>
      <c r="E147" s="691"/>
      <c r="F147" s="712" t="s">
        <v>1173</v>
      </c>
      <c r="G147" s="711">
        <f>G149</f>
        <v>59000</v>
      </c>
    </row>
    <row r="148" spans="1:7" s="707" customFormat="1" ht="9" customHeight="1">
      <c r="A148" s="727"/>
      <c r="B148" s="728"/>
      <c r="C148" s="729"/>
      <c r="D148" s="706"/>
      <c r="E148" s="691"/>
      <c r="F148" s="730"/>
      <c r="G148" s="731"/>
    </row>
    <row r="149" spans="1:7">
      <c r="A149" s="719"/>
      <c r="B149" s="719"/>
      <c r="C149" s="720" t="s">
        <v>1149</v>
      </c>
      <c r="D149" s="679">
        <v>59000</v>
      </c>
      <c r="E149" s="691"/>
      <c r="F149" s="722" t="s">
        <v>1150</v>
      </c>
      <c r="G149" s="679">
        <v>59000</v>
      </c>
    </row>
    <row r="150" spans="1:7" ht="9" customHeight="1">
      <c r="A150" s="676"/>
      <c r="B150" s="676"/>
      <c r="C150" s="744"/>
      <c r="D150" s="679"/>
      <c r="E150" s="691"/>
      <c r="F150" s="734"/>
      <c r="G150" s="679"/>
    </row>
    <row r="151" spans="1:7" s="707" customFormat="1">
      <c r="A151" s="703"/>
      <c r="B151" s="704" t="s">
        <v>897</v>
      </c>
      <c r="C151" s="705" t="s">
        <v>46</v>
      </c>
      <c r="D151" s="706">
        <f>D153</f>
        <v>604000</v>
      </c>
      <c r="E151" s="691"/>
      <c r="F151" s="725" t="s">
        <v>46</v>
      </c>
      <c r="G151" s="706">
        <f>G153</f>
        <v>604000</v>
      </c>
    </row>
    <row r="152" spans="1:7" ht="9" customHeight="1">
      <c r="A152" s="676"/>
      <c r="B152" s="708"/>
      <c r="C152" s="678"/>
      <c r="D152" s="726"/>
      <c r="E152" s="691"/>
      <c r="F152" s="748"/>
      <c r="G152" s="679"/>
    </row>
    <row r="153" spans="1:7" s="713" customFormat="1" ht="13.9" customHeight="1">
      <c r="A153" s="749">
        <v>19</v>
      </c>
      <c r="B153" s="1131" t="s">
        <v>1174</v>
      </c>
      <c r="C153" s="1132"/>
      <c r="D153" s="750">
        <f>D155</f>
        <v>604000</v>
      </c>
      <c r="E153" s="691"/>
      <c r="F153" s="751" t="s">
        <v>1174</v>
      </c>
      <c r="G153" s="750">
        <f>G155</f>
        <v>604000</v>
      </c>
    </row>
    <row r="154" spans="1:7" s="707" customFormat="1" ht="9" customHeight="1">
      <c r="A154" s="727"/>
      <c r="B154" s="728"/>
      <c r="C154" s="729"/>
      <c r="D154" s="706"/>
      <c r="E154" s="691"/>
      <c r="F154" s="730"/>
      <c r="G154" s="731"/>
    </row>
    <row r="155" spans="1:7">
      <c r="A155" s="719"/>
      <c r="B155" s="719"/>
      <c r="C155" s="720" t="s">
        <v>1149</v>
      </c>
      <c r="D155" s="679">
        <v>604000</v>
      </c>
      <c r="E155" s="691"/>
      <c r="F155" s="722" t="s">
        <v>414</v>
      </c>
      <c r="G155" s="679">
        <v>604000</v>
      </c>
    </row>
    <row r="156" spans="1:7" ht="9" customHeight="1">
      <c r="A156" s="719"/>
      <c r="B156" s="739"/>
      <c r="C156" s="740"/>
      <c r="D156" s="736"/>
      <c r="E156" s="691"/>
      <c r="F156" s="741"/>
      <c r="G156" s="721"/>
    </row>
    <row r="157" spans="1:7" s="686" customFormat="1" ht="15.75">
      <c r="A157" s="681"/>
      <c r="B157" s="681"/>
      <c r="C157" s="682" t="s">
        <v>416</v>
      </c>
      <c r="D157" s="683">
        <f>D13</f>
        <v>56900956</v>
      </c>
      <c r="E157" s="771"/>
      <c r="F157" s="685" t="s">
        <v>416</v>
      </c>
      <c r="G157" s="683">
        <f>G159+G161+G163</f>
        <v>56900956</v>
      </c>
    </row>
    <row r="158" spans="1:7">
      <c r="A158" s="358"/>
      <c r="C158" s="772"/>
      <c r="D158" s="773"/>
      <c r="E158" s="774"/>
      <c r="F158" s="775" t="s">
        <v>405</v>
      </c>
      <c r="G158" s="776"/>
    </row>
    <row r="159" spans="1:7">
      <c r="A159" s="358"/>
      <c r="C159" s="777"/>
      <c r="D159" s="778"/>
      <c r="E159" s="779"/>
      <c r="F159" s="734" t="s">
        <v>1175</v>
      </c>
      <c r="G159" s="679">
        <f>G29+G43+G53+G61+G75+G113+G127+G155+G137</f>
        <v>3627489</v>
      </c>
    </row>
    <row r="160" spans="1:7" ht="9" customHeight="1">
      <c r="A160" s="358"/>
      <c r="C160" s="780"/>
      <c r="D160" s="778"/>
      <c r="E160" s="779"/>
      <c r="F160" s="709"/>
      <c r="G160" s="679"/>
    </row>
    <row r="161" spans="1:7">
      <c r="A161" s="512"/>
      <c r="C161" s="777"/>
      <c r="D161" s="778"/>
      <c r="E161" s="779"/>
      <c r="F161" s="722" t="s">
        <v>1176</v>
      </c>
      <c r="G161" s="679">
        <f>G45+G67+G77+G85+G93+G105+G115+G129+G143+G149+G99+G21</f>
        <v>16400467</v>
      </c>
    </row>
    <row r="162" spans="1:7" ht="9" customHeight="1">
      <c r="A162" s="512"/>
      <c r="C162" s="780"/>
      <c r="D162" s="778"/>
      <c r="E162" s="779"/>
      <c r="F162" s="709"/>
      <c r="G162" s="679"/>
    </row>
    <row r="163" spans="1:7">
      <c r="C163" s="777"/>
      <c r="D163" s="778"/>
      <c r="E163" s="779"/>
      <c r="F163" s="734" t="s">
        <v>1177</v>
      </c>
      <c r="G163" s="679">
        <f>G37+G123</f>
        <v>36873000</v>
      </c>
    </row>
    <row r="164" spans="1:7">
      <c r="E164" s="781"/>
      <c r="F164" s="781"/>
    </row>
  </sheetData>
  <sheetProtection algorithmName="SHA-512" hashValue="Xxhkoz/DDhXzKSXks0/K7e5bCpZqYhKQ+kwekBOFGlZf3W8XBP5wegefh3oGl/MM+2TjqupH4ZTYgl1tY1j87w==" saltValue="4HlG2/yseZriI9SLgtRrvw==" spinCount="100000" sheet="1" objects="1" scenarios="1"/>
  <mergeCells count="30">
    <mergeCell ref="B59:C59"/>
    <mergeCell ref="A5:G5"/>
    <mergeCell ref="A6:G6"/>
    <mergeCell ref="A8:C8"/>
    <mergeCell ref="A9:A10"/>
    <mergeCell ref="B9:B10"/>
    <mergeCell ref="C9:D9"/>
    <mergeCell ref="E9:E10"/>
    <mergeCell ref="F9:G9"/>
    <mergeCell ref="B19:C19"/>
    <mergeCell ref="B27:C27"/>
    <mergeCell ref="B35:C35"/>
    <mergeCell ref="B41:C41"/>
    <mergeCell ref="B51:C51"/>
    <mergeCell ref="B153:C153"/>
    <mergeCell ref="F1:G1"/>
    <mergeCell ref="F2:G2"/>
    <mergeCell ref="F3:G3"/>
    <mergeCell ref="B111:C111"/>
    <mergeCell ref="B121:C121"/>
    <mergeCell ref="B125:C125"/>
    <mergeCell ref="B135:C135"/>
    <mergeCell ref="B141:C141"/>
    <mergeCell ref="B147:C147"/>
    <mergeCell ref="B65:C65"/>
    <mergeCell ref="B73:C73"/>
    <mergeCell ref="B83:C83"/>
    <mergeCell ref="B91:C91"/>
    <mergeCell ref="B97:C97"/>
    <mergeCell ref="B103:C103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"/>
  <sheetViews>
    <sheetView view="pageBreakPreview" topLeftCell="A4" zoomScaleNormal="100" zoomScaleSheetLayoutView="100" workbookViewId="0">
      <selection activeCell="H31" sqref="H31"/>
    </sheetView>
  </sheetViews>
  <sheetFormatPr defaultRowHeight="12.75"/>
  <cols>
    <col min="1" max="1" width="3.625" style="666" customWidth="1"/>
    <col min="2" max="2" width="7.25" style="512" customWidth="1"/>
    <col min="3" max="3" width="36.125" style="512" customWidth="1"/>
    <col min="4" max="5" width="12.5" style="512" customWidth="1"/>
    <col min="6" max="6" width="11.375" style="512" customWidth="1"/>
    <col min="7" max="7" width="2.125" style="512" customWidth="1"/>
    <col min="8" max="8" width="13.125" style="512" customWidth="1"/>
    <col min="9" max="9" width="13" style="512" customWidth="1"/>
    <col min="10" max="11" width="11.25" style="512" customWidth="1"/>
    <col min="12" max="256" width="9" style="512"/>
    <col min="257" max="257" width="3.625" style="512" customWidth="1"/>
    <col min="258" max="258" width="7.25" style="512" customWidth="1"/>
    <col min="259" max="259" width="36.125" style="512" customWidth="1"/>
    <col min="260" max="261" width="12.5" style="512" customWidth="1"/>
    <col min="262" max="262" width="11.375" style="512" customWidth="1"/>
    <col min="263" max="263" width="2.125" style="512" customWidth="1"/>
    <col min="264" max="264" width="13.125" style="512" customWidth="1"/>
    <col min="265" max="265" width="13" style="512" customWidth="1"/>
    <col min="266" max="267" width="11.25" style="512" customWidth="1"/>
    <col min="268" max="512" width="9" style="512"/>
    <col min="513" max="513" width="3.625" style="512" customWidth="1"/>
    <col min="514" max="514" width="7.25" style="512" customWidth="1"/>
    <col min="515" max="515" width="36.125" style="512" customWidth="1"/>
    <col min="516" max="517" width="12.5" style="512" customWidth="1"/>
    <col min="518" max="518" width="11.375" style="512" customWidth="1"/>
    <col min="519" max="519" width="2.125" style="512" customWidth="1"/>
    <col min="520" max="520" width="13.125" style="512" customWidth="1"/>
    <col min="521" max="521" width="13" style="512" customWidth="1"/>
    <col min="522" max="523" width="11.25" style="512" customWidth="1"/>
    <col min="524" max="768" width="9" style="512"/>
    <col min="769" max="769" width="3.625" style="512" customWidth="1"/>
    <col min="770" max="770" width="7.25" style="512" customWidth="1"/>
    <col min="771" max="771" width="36.125" style="512" customWidth="1"/>
    <col min="772" max="773" width="12.5" style="512" customWidth="1"/>
    <col min="774" max="774" width="11.375" style="512" customWidth="1"/>
    <col min="775" max="775" width="2.125" style="512" customWidth="1"/>
    <col min="776" max="776" width="13.125" style="512" customWidth="1"/>
    <col min="777" max="777" width="13" style="512" customWidth="1"/>
    <col min="778" max="779" width="11.25" style="512" customWidth="1"/>
    <col min="780" max="1024" width="9" style="512"/>
    <col min="1025" max="1025" width="3.625" style="512" customWidth="1"/>
    <col min="1026" max="1026" width="7.25" style="512" customWidth="1"/>
    <col min="1027" max="1027" width="36.125" style="512" customWidth="1"/>
    <col min="1028" max="1029" width="12.5" style="512" customWidth="1"/>
    <col min="1030" max="1030" width="11.375" style="512" customWidth="1"/>
    <col min="1031" max="1031" width="2.125" style="512" customWidth="1"/>
    <col min="1032" max="1032" width="13.125" style="512" customWidth="1"/>
    <col min="1033" max="1033" width="13" style="512" customWidth="1"/>
    <col min="1034" max="1035" width="11.25" style="512" customWidth="1"/>
    <col min="1036" max="1280" width="9" style="512"/>
    <col min="1281" max="1281" width="3.625" style="512" customWidth="1"/>
    <col min="1282" max="1282" width="7.25" style="512" customWidth="1"/>
    <col min="1283" max="1283" width="36.125" style="512" customWidth="1"/>
    <col min="1284" max="1285" width="12.5" style="512" customWidth="1"/>
    <col min="1286" max="1286" width="11.375" style="512" customWidth="1"/>
    <col min="1287" max="1287" width="2.125" style="512" customWidth="1"/>
    <col min="1288" max="1288" width="13.125" style="512" customWidth="1"/>
    <col min="1289" max="1289" width="13" style="512" customWidth="1"/>
    <col min="1290" max="1291" width="11.25" style="512" customWidth="1"/>
    <col min="1292" max="1536" width="9" style="512"/>
    <col min="1537" max="1537" width="3.625" style="512" customWidth="1"/>
    <col min="1538" max="1538" width="7.25" style="512" customWidth="1"/>
    <col min="1539" max="1539" width="36.125" style="512" customWidth="1"/>
    <col min="1540" max="1541" width="12.5" style="512" customWidth="1"/>
    <col min="1542" max="1542" width="11.375" style="512" customWidth="1"/>
    <col min="1543" max="1543" width="2.125" style="512" customWidth="1"/>
    <col min="1544" max="1544" width="13.125" style="512" customWidth="1"/>
    <col min="1545" max="1545" width="13" style="512" customWidth="1"/>
    <col min="1546" max="1547" width="11.25" style="512" customWidth="1"/>
    <col min="1548" max="1792" width="9" style="512"/>
    <col min="1793" max="1793" width="3.625" style="512" customWidth="1"/>
    <col min="1794" max="1794" width="7.25" style="512" customWidth="1"/>
    <col min="1795" max="1795" width="36.125" style="512" customWidth="1"/>
    <col min="1796" max="1797" width="12.5" style="512" customWidth="1"/>
    <col min="1798" max="1798" width="11.375" style="512" customWidth="1"/>
    <col min="1799" max="1799" width="2.125" style="512" customWidth="1"/>
    <col min="1800" max="1800" width="13.125" style="512" customWidth="1"/>
    <col min="1801" max="1801" width="13" style="512" customWidth="1"/>
    <col min="1802" max="1803" width="11.25" style="512" customWidth="1"/>
    <col min="1804" max="2048" width="9" style="512"/>
    <col min="2049" max="2049" width="3.625" style="512" customWidth="1"/>
    <col min="2050" max="2050" width="7.25" style="512" customWidth="1"/>
    <col min="2051" max="2051" width="36.125" style="512" customWidth="1"/>
    <col min="2052" max="2053" width="12.5" style="512" customWidth="1"/>
    <col min="2054" max="2054" width="11.375" style="512" customWidth="1"/>
    <col min="2055" max="2055" width="2.125" style="512" customWidth="1"/>
    <col min="2056" max="2056" width="13.125" style="512" customWidth="1"/>
    <col min="2057" max="2057" width="13" style="512" customWidth="1"/>
    <col min="2058" max="2059" width="11.25" style="512" customWidth="1"/>
    <col min="2060" max="2304" width="9" style="512"/>
    <col min="2305" max="2305" width="3.625" style="512" customWidth="1"/>
    <col min="2306" max="2306" width="7.25" style="512" customWidth="1"/>
    <col min="2307" max="2307" width="36.125" style="512" customWidth="1"/>
    <col min="2308" max="2309" width="12.5" style="512" customWidth="1"/>
    <col min="2310" max="2310" width="11.375" style="512" customWidth="1"/>
    <col min="2311" max="2311" width="2.125" style="512" customWidth="1"/>
    <col min="2312" max="2312" width="13.125" style="512" customWidth="1"/>
    <col min="2313" max="2313" width="13" style="512" customWidth="1"/>
    <col min="2314" max="2315" width="11.25" style="512" customWidth="1"/>
    <col min="2316" max="2560" width="9" style="512"/>
    <col min="2561" max="2561" width="3.625" style="512" customWidth="1"/>
    <col min="2562" max="2562" width="7.25" style="512" customWidth="1"/>
    <col min="2563" max="2563" width="36.125" style="512" customWidth="1"/>
    <col min="2564" max="2565" width="12.5" style="512" customWidth="1"/>
    <col min="2566" max="2566" width="11.375" style="512" customWidth="1"/>
    <col min="2567" max="2567" width="2.125" style="512" customWidth="1"/>
    <col min="2568" max="2568" width="13.125" style="512" customWidth="1"/>
    <col min="2569" max="2569" width="13" style="512" customWidth="1"/>
    <col min="2570" max="2571" width="11.25" style="512" customWidth="1"/>
    <col min="2572" max="2816" width="9" style="512"/>
    <col min="2817" max="2817" width="3.625" style="512" customWidth="1"/>
    <col min="2818" max="2818" width="7.25" style="512" customWidth="1"/>
    <col min="2819" max="2819" width="36.125" style="512" customWidth="1"/>
    <col min="2820" max="2821" width="12.5" style="512" customWidth="1"/>
    <col min="2822" max="2822" width="11.375" style="512" customWidth="1"/>
    <col min="2823" max="2823" width="2.125" style="512" customWidth="1"/>
    <col min="2824" max="2824" width="13.125" style="512" customWidth="1"/>
    <col min="2825" max="2825" width="13" style="512" customWidth="1"/>
    <col min="2826" max="2827" width="11.25" style="512" customWidth="1"/>
    <col min="2828" max="3072" width="9" style="512"/>
    <col min="3073" max="3073" width="3.625" style="512" customWidth="1"/>
    <col min="3074" max="3074" width="7.25" style="512" customWidth="1"/>
    <col min="3075" max="3075" width="36.125" style="512" customWidth="1"/>
    <col min="3076" max="3077" width="12.5" style="512" customWidth="1"/>
    <col min="3078" max="3078" width="11.375" style="512" customWidth="1"/>
    <col min="3079" max="3079" width="2.125" style="512" customWidth="1"/>
    <col min="3080" max="3080" width="13.125" style="512" customWidth="1"/>
    <col min="3081" max="3081" width="13" style="512" customWidth="1"/>
    <col min="3082" max="3083" width="11.25" style="512" customWidth="1"/>
    <col min="3084" max="3328" width="9" style="512"/>
    <col min="3329" max="3329" width="3.625" style="512" customWidth="1"/>
    <col min="3330" max="3330" width="7.25" style="512" customWidth="1"/>
    <col min="3331" max="3331" width="36.125" style="512" customWidth="1"/>
    <col min="3332" max="3333" width="12.5" style="512" customWidth="1"/>
    <col min="3334" max="3334" width="11.375" style="512" customWidth="1"/>
    <col min="3335" max="3335" width="2.125" style="512" customWidth="1"/>
    <col min="3336" max="3336" width="13.125" style="512" customWidth="1"/>
    <col min="3337" max="3337" width="13" style="512" customWidth="1"/>
    <col min="3338" max="3339" width="11.25" style="512" customWidth="1"/>
    <col min="3340" max="3584" width="9" style="512"/>
    <col min="3585" max="3585" width="3.625" style="512" customWidth="1"/>
    <col min="3586" max="3586" width="7.25" style="512" customWidth="1"/>
    <col min="3587" max="3587" width="36.125" style="512" customWidth="1"/>
    <col min="3588" max="3589" width="12.5" style="512" customWidth="1"/>
    <col min="3590" max="3590" width="11.375" style="512" customWidth="1"/>
    <col min="3591" max="3591" width="2.125" style="512" customWidth="1"/>
    <col min="3592" max="3592" width="13.125" style="512" customWidth="1"/>
    <col min="3593" max="3593" width="13" style="512" customWidth="1"/>
    <col min="3594" max="3595" width="11.25" style="512" customWidth="1"/>
    <col min="3596" max="3840" width="9" style="512"/>
    <col min="3841" max="3841" width="3.625" style="512" customWidth="1"/>
    <col min="3842" max="3842" width="7.25" style="512" customWidth="1"/>
    <col min="3843" max="3843" width="36.125" style="512" customWidth="1"/>
    <col min="3844" max="3845" width="12.5" style="512" customWidth="1"/>
    <col min="3846" max="3846" width="11.375" style="512" customWidth="1"/>
    <col min="3847" max="3847" width="2.125" style="512" customWidth="1"/>
    <col min="3848" max="3848" width="13.125" style="512" customWidth="1"/>
    <col min="3849" max="3849" width="13" style="512" customWidth="1"/>
    <col min="3850" max="3851" width="11.25" style="512" customWidth="1"/>
    <col min="3852" max="4096" width="9" style="512"/>
    <col min="4097" max="4097" width="3.625" style="512" customWidth="1"/>
    <col min="4098" max="4098" width="7.25" style="512" customWidth="1"/>
    <col min="4099" max="4099" width="36.125" style="512" customWidth="1"/>
    <col min="4100" max="4101" width="12.5" style="512" customWidth="1"/>
    <col min="4102" max="4102" width="11.375" style="512" customWidth="1"/>
    <col min="4103" max="4103" width="2.125" style="512" customWidth="1"/>
    <col min="4104" max="4104" width="13.125" style="512" customWidth="1"/>
    <col min="4105" max="4105" width="13" style="512" customWidth="1"/>
    <col min="4106" max="4107" width="11.25" style="512" customWidth="1"/>
    <col min="4108" max="4352" width="9" style="512"/>
    <col min="4353" max="4353" width="3.625" style="512" customWidth="1"/>
    <col min="4354" max="4354" width="7.25" style="512" customWidth="1"/>
    <col min="4355" max="4355" width="36.125" style="512" customWidth="1"/>
    <col min="4356" max="4357" width="12.5" style="512" customWidth="1"/>
    <col min="4358" max="4358" width="11.375" style="512" customWidth="1"/>
    <col min="4359" max="4359" width="2.125" style="512" customWidth="1"/>
    <col min="4360" max="4360" width="13.125" style="512" customWidth="1"/>
    <col min="4361" max="4361" width="13" style="512" customWidth="1"/>
    <col min="4362" max="4363" width="11.25" style="512" customWidth="1"/>
    <col min="4364" max="4608" width="9" style="512"/>
    <col min="4609" max="4609" width="3.625" style="512" customWidth="1"/>
    <col min="4610" max="4610" width="7.25" style="512" customWidth="1"/>
    <col min="4611" max="4611" width="36.125" style="512" customWidth="1"/>
    <col min="4612" max="4613" width="12.5" style="512" customWidth="1"/>
    <col min="4614" max="4614" width="11.375" style="512" customWidth="1"/>
    <col min="4615" max="4615" width="2.125" style="512" customWidth="1"/>
    <col min="4616" max="4616" width="13.125" style="512" customWidth="1"/>
    <col min="4617" max="4617" width="13" style="512" customWidth="1"/>
    <col min="4618" max="4619" width="11.25" style="512" customWidth="1"/>
    <col min="4620" max="4864" width="9" style="512"/>
    <col min="4865" max="4865" width="3.625" style="512" customWidth="1"/>
    <col min="4866" max="4866" width="7.25" style="512" customWidth="1"/>
    <col min="4867" max="4867" width="36.125" style="512" customWidth="1"/>
    <col min="4868" max="4869" width="12.5" style="512" customWidth="1"/>
    <col min="4870" max="4870" width="11.375" style="512" customWidth="1"/>
    <col min="4871" max="4871" width="2.125" style="512" customWidth="1"/>
    <col min="4872" max="4872" width="13.125" style="512" customWidth="1"/>
    <col min="4873" max="4873" width="13" style="512" customWidth="1"/>
    <col min="4874" max="4875" width="11.25" style="512" customWidth="1"/>
    <col min="4876" max="5120" width="9" style="512"/>
    <col min="5121" max="5121" width="3.625" style="512" customWidth="1"/>
    <col min="5122" max="5122" width="7.25" style="512" customWidth="1"/>
    <col min="5123" max="5123" width="36.125" style="512" customWidth="1"/>
    <col min="5124" max="5125" width="12.5" style="512" customWidth="1"/>
    <col min="5126" max="5126" width="11.375" style="512" customWidth="1"/>
    <col min="5127" max="5127" width="2.125" style="512" customWidth="1"/>
    <col min="5128" max="5128" width="13.125" style="512" customWidth="1"/>
    <col min="5129" max="5129" width="13" style="512" customWidth="1"/>
    <col min="5130" max="5131" width="11.25" style="512" customWidth="1"/>
    <col min="5132" max="5376" width="9" style="512"/>
    <col min="5377" max="5377" width="3.625" style="512" customWidth="1"/>
    <col min="5378" max="5378" width="7.25" style="512" customWidth="1"/>
    <col min="5379" max="5379" width="36.125" style="512" customWidth="1"/>
    <col min="5380" max="5381" width="12.5" style="512" customWidth="1"/>
    <col min="5382" max="5382" width="11.375" style="512" customWidth="1"/>
    <col min="5383" max="5383" width="2.125" style="512" customWidth="1"/>
    <col min="5384" max="5384" width="13.125" style="512" customWidth="1"/>
    <col min="5385" max="5385" width="13" style="512" customWidth="1"/>
    <col min="5386" max="5387" width="11.25" style="512" customWidth="1"/>
    <col min="5388" max="5632" width="9" style="512"/>
    <col min="5633" max="5633" width="3.625" style="512" customWidth="1"/>
    <col min="5634" max="5634" width="7.25" style="512" customWidth="1"/>
    <col min="5635" max="5635" width="36.125" style="512" customWidth="1"/>
    <col min="5636" max="5637" width="12.5" style="512" customWidth="1"/>
    <col min="5638" max="5638" width="11.375" style="512" customWidth="1"/>
    <col min="5639" max="5639" width="2.125" style="512" customWidth="1"/>
    <col min="5640" max="5640" width="13.125" style="512" customWidth="1"/>
    <col min="5641" max="5641" width="13" style="512" customWidth="1"/>
    <col min="5642" max="5643" width="11.25" style="512" customWidth="1"/>
    <col min="5644" max="5888" width="9" style="512"/>
    <col min="5889" max="5889" width="3.625" style="512" customWidth="1"/>
    <col min="5890" max="5890" width="7.25" style="512" customWidth="1"/>
    <col min="5891" max="5891" width="36.125" style="512" customWidth="1"/>
    <col min="5892" max="5893" width="12.5" style="512" customWidth="1"/>
    <col min="5894" max="5894" width="11.375" style="512" customWidth="1"/>
    <col min="5895" max="5895" width="2.125" style="512" customWidth="1"/>
    <col min="5896" max="5896" width="13.125" style="512" customWidth="1"/>
    <col min="5897" max="5897" width="13" style="512" customWidth="1"/>
    <col min="5898" max="5899" width="11.25" style="512" customWidth="1"/>
    <col min="5900" max="6144" width="9" style="512"/>
    <col min="6145" max="6145" width="3.625" style="512" customWidth="1"/>
    <col min="6146" max="6146" width="7.25" style="512" customWidth="1"/>
    <col min="6147" max="6147" width="36.125" style="512" customWidth="1"/>
    <col min="6148" max="6149" width="12.5" style="512" customWidth="1"/>
    <col min="6150" max="6150" width="11.375" style="512" customWidth="1"/>
    <col min="6151" max="6151" width="2.125" style="512" customWidth="1"/>
    <col min="6152" max="6152" width="13.125" style="512" customWidth="1"/>
    <col min="6153" max="6153" width="13" style="512" customWidth="1"/>
    <col min="6154" max="6155" width="11.25" style="512" customWidth="1"/>
    <col min="6156" max="6400" width="9" style="512"/>
    <col min="6401" max="6401" width="3.625" style="512" customWidth="1"/>
    <col min="6402" max="6402" width="7.25" style="512" customWidth="1"/>
    <col min="6403" max="6403" width="36.125" style="512" customWidth="1"/>
    <col min="6404" max="6405" width="12.5" style="512" customWidth="1"/>
    <col min="6406" max="6406" width="11.375" style="512" customWidth="1"/>
    <col min="6407" max="6407" width="2.125" style="512" customWidth="1"/>
    <col min="6408" max="6408" width="13.125" style="512" customWidth="1"/>
    <col min="6409" max="6409" width="13" style="512" customWidth="1"/>
    <col min="6410" max="6411" width="11.25" style="512" customWidth="1"/>
    <col min="6412" max="6656" width="9" style="512"/>
    <col min="6657" max="6657" width="3.625" style="512" customWidth="1"/>
    <col min="6658" max="6658" width="7.25" style="512" customWidth="1"/>
    <col min="6659" max="6659" width="36.125" style="512" customWidth="1"/>
    <col min="6660" max="6661" width="12.5" style="512" customWidth="1"/>
    <col min="6662" max="6662" width="11.375" style="512" customWidth="1"/>
    <col min="6663" max="6663" width="2.125" style="512" customWidth="1"/>
    <col min="6664" max="6664" width="13.125" style="512" customWidth="1"/>
    <col min="6665" max="6665" width="13" style="512" customWidth="1"/>
    <col min="6666" max="6667" width="11.25" style="512" customWidth="1"/>
    <col min="6668" max="6912" width="9" style="512"/>
    <col min="6913" max="6913" width="3.625" style="512" customWidth="1"/>
    <col min="6914" max="6914" width="7.25" style="512" customWidth="1"/>
    <col min="6915" max="6915" width="36.125" style="512" customWidth="1"/>
    <col min="6916" max="6917" width="12.5" style="512" customWidth="1"/>
    <col min="6918" max="6918" width="11.375" style="512" customWidth="1"/>
    <col min="6919" max="6919" width="2.125" style="512" customWidth="1"/>
    <col min="6920" max="6920" width="13.125" style="512" customWidth="1"/>
    <col min="6921" max="6921" width="13" style="512" customWidth="1"/>
    <col min="6922" max="6923" width="11.25" style="512" customWidth="1"/>
    <col min="6924" max="7168" width="9" style="512"/>
    <col min="7169" max="7169" width="3.625" style="512" customWidth="1"/>
    <col min="7170" max="7170" width="7.25" style="512" customWidth="1"/>
    <col min="7171" max="7171" width="36.125" style="512" customWidth="1"/>
    <col min="7172" max="7173" width="12.5" style="512" customWidth="1"/>
    <col min="7174" max="7174" width="11.375" style="512" customWidth="1"/>
    <col min="7175" max="7175" width="2.125" style="512" customWidth="1"/>
    <col min="7176" max="7176" width="13.125" style="512" customWidth="1"/>
    <col min="7177" max="7177" width="13" style="512" customWidth="1"/>
    <col min="7178" max="7179" width="11.25" style="512" customWidth="1"/>
    <col min="7180" max="7424" width="9" style="512"/>
    <col min="7425" max="7425" width="3.625" style="512" customWidth="1"/>
    <col min="7426" max="7426" width="7.25" style="512" customWidth="1"/>
    <col min="7427" max="7427" width="36.125" style="512" customWidth="1"/>
    <col min="7428" max="7429" width="12.5" style="512" customWidth="1"/>
    <col min="7430" max="7430" width="11.375" style="512" customWidth="1"/>
    <col min="7431" max="7431" width="2.125" style="512" customWidth="1"/>
    <col min="7432" max="7432" width="13.125" style="512" customWidth="1"/>
    <col min="7433" max="7433" width="13" style="512" customWidth="1"/>
    <col min="7434" max="7435" width="11.25" style="512" customWidth="1"/>
    <col min="7436" max="7680" width="9" style="512"/>
    <col min="7681" max="7681" width="3.625" style="512" customWidth="1"/>
    <col min="7682" max="7682" width="7.25" style="512" customWidth="1"/>
    <col min="7683" max="7683" width="36.125" style="512" customWidth="1"/>
    <col min="7684" max="7685" width="12.5" style="512" customWidth="1"/>
    <col min="7686" max="7686" width="11.375" style="512" customWidth="1"/>
    <col min="7687" max="7687" width="2.125" style="512" customWidth="1"/>
    <col min="7688" max="7688" width="13.125" style="512" customWidth="1"/>
    <col min="7689" max="7689" width="13" style="512" customWidth="1"/>
    <col min="7690" max="7691" width="11.25" style="512" customWidth="1"/>
    <col min="7692" max="7936" width="9" style="512"/>
    <col min="7937" max="7937" width="3.625" style="512" customWidth="1"/>
    <col min="7938" max="7938" width="7.25" style="512" customWidth="1"/>
    <col min="7939" max="7939" width="36.125" style="512" customWidth="1"/>
    <col min="7940" max="7941" width="12.5" style="512" customWidth="1"/>
    <col min="7942" max="7942" width="11.375" style="512" customWidth="1"/>
    <col min="7943" max="7943" width="2.125" style="512" customWidth="1"/>
    <col min="7944" max="7944" width="13.125" style="512" customWidth="1"/>
    <col min="7945" max="7945" width="13" style="512" customWidth="1"/>
    <col min="7946" max="7947" width="11.25" style="512" customWidth="1"/>
    <col min="7948" max="8192" width="9" style="512"/>
    <col min="8193" max="8193" width="3.625" style="512" customWidth="1"/>
    <col min="8194" max="8194" width="7.25" style="512" customWidth="1"/>
    <col min="8195" max="8195" width="36.125" style="512" customWidth="1"/>
    <col min="8196" max="8197" width="12.5" style="512" customWidth="1"/>
    <col min="8198" max="8198" width="11.375" style="512" customWidth="1"/>
    <col min="8199" max="8199" width="2.125" style="512" customWidth="1"/>
    <col min="8200" max="8200" width="13.125" style="512" customWidth="1"/>
    <col min="8201" max="8201" width="13" style="512" customWidth="1"/>
    <col min="8202" max="8203" width="11.25" style="512" customWidth="1"/>
    <col min="8204" max="8448" width="9" style="512"/>
    <col min="8449" max="8449" width="3.625" style="512" customWidth="1"/>
    <col min="8450" max="8450" width="7.25" style="512" customWidth="1"/>
    <col min="8451" max="8451" width="36.125" style="512" customWidth="1"/>
    <col min="8452" max="8453" width="12.5" style="512" customWidth="1"/>
    <col min="8454" max="8454" width="11.375" style="512" customWidth="1"/>
    <col min="8455" max="8455" width="2.125" style="512" customWidth="1"/>
    <col min="8456" max="8456" width="13.125" style="512" customWidth="1"/>
    <col min="8457" max="8457" width="13" style="512" customWidth="1"/>
    <col min="8458" max="8459" width="11.25" style="512" customWidth="1"/>
    <col min="8460" max="8704" width="9" style="512"/>
    <col min="8705" max="8705" width="3.625" style="512" customWidth="1"/>
    <col min="8706" max="8706" width="7.25" style="512" customWidth="1"/>
    <col min="8707" max="8707" width="36.125" style="512" customWidth="1"/>
    <col min="8708" max="8709" width="12.5" style="512" customWidth="1"/>
    <col min="8710" max="8710" width="11.375" style="512" customWidth="1"/>
    <col min="8711" max="8711" width="2.125" style="512" customWidth="1"/>
    <col min="8712" max="8712" width="13.125" style="512" customWidth="1"/>
    <col min="8713" max="8713" width="13" style="512" customWidth="1"/>
    <col min="8714" max="8715" width="11.25" style="512" customWidth="1"/>
    <col min="8716" max="8960" width="9" style="512"/>
    <col min="8961" max="8961" width="3.625" style="512" customWidth="1"/>
    <col min="8962" max="8962" width="7.25" style="512" customWidth="1"/>
    <col min="8963" max="8963" width="36.125" style="512" customWidth="1"/>
    <col min="8964" max="8965" width="12.5" style="512" customWidth="1"/>
    <col min="8966" max="8966" width="11.375" style="512" customWidth="1"/>
    <col min="8967" max="8967" width="2.125" style="512" customWidth="1"/>
    <col min="8968" max="8968" width="13.125" style="512" customWidth="1"/>
    <col min="8969" max="8969" width="13" style="512" customWidth="1"/>
    <col min="8970" max="8971" width="11.25" style="512" customWidth="1"/>
    <col min="8972" max="9216" width="9" style="512"/>
    <col min="9217" max="9217" width="3.625" style="512" customWidth="1"/>
    <col min="9218" max="9218" width="7.25" style="512" customWidth="1"/>
    <col min="9219" max="9219" width="36.125" style="512" customWidth="1"/>
    <col min="9220" max="9221" width="12.5" style="512" customWidth="1"/>
    <col min="9222" max="9222" width="11.375" style="512" customWidth="1"/>
    <col min="9223" max="9223" width="2.125" style="512" customWidth="1"/>
    <col min="9224" max="9224" width="13.125" style="512" customWidth="1"/>
    <col min="9225" max="9225" width="13" style="512" customWidth="1"/>
    <col min="9226" max="9227" width="11.25" style="512" customWidth="1"/>
    <col min="9228" max="9472" width="9" style="512"/>
    <col min="9473" max="9473" width="3.625" style="512" customWidth="1"/>
    <col min="9474" max="9474" width="7.25" style="512" customWidth="1"/>
    <col min="9475" max="9475" width="36.125" style="512" customWidth="1"/>
    <col min="9476" max="9477" width="12.5" style="512" customWidth="1"/>
    <col min="9478" max="9478" width="11.375" style="512" customWidth="1"/>
    <col min="9479" max="9479" width="2.125" style="512" customWidth="1"/>
    <col min="9480" max="9480" width="13.125" style="512" customWidth="1"/>
    <col min="9481" max="9481" width="13" style="512" customWidth="1"/>
    <col min="9482" max="9483" width="11.25" style="512" customWidth="1"/>
    <col min="9484" max="9728" width="9" style="512"/>
    <col min="9729" max="9729" width="3.625" style="512" customWidth="1"/>
    <col min="9730" max="9730" width="7.25" style="512" customWidth="1"/>
    <col min="9731" max="9731" width="36.125" style="512" customWidth="1"/>
    <col min="9732" max="9733" width="12.5" style="512" customWidth="1"/>
    <col min="9734" max="9734" width="11.375" style="512" customWidth="1"/>
    <col min="9735" max="9735" width="2.125" style="512" customWidth="1"/>
    <col min="9736" max="9736" width="13.125" style="512" customWidth="1"/>
    <col min="9737" max="9737" width="13" style="512" customWidth="1"/>
    <col min="9738" max="9739" width="11.25" style="512" customWidth="1"/>
    <col min="9740" max="9984" width="9" style="512"/>
    <col min="9985" max="9985" width="3.625" style="512" customWidth="1"/>
    <col min="9986" max="9986" width="7.25" style="512" customWidth="1"/>
    <col min="9987" max="9987" width="36.125" style="512" customWidth="1"/>
    <col min="9988" max="9989" width="12.5" style="512" customWidth="1"/>
    <col min="9990" max="9990" width="11.375" style="512" customWidth="1"/>
    <col min="9991" max="9991" width="2.125" style="512" customWidth="1"/>
    <col min="9992" max="9992" width="13.125" style="512" customWidth="1"/>
    <col min="9993" max="9993" width="13" style="512" customWidth="1"/>
    <col min="9994" max="9995" width="11.25" style="512" customWidth="1"/>
    <col min="9996" max="10240" width="9" style="512"/>
    <col min="10241" max="10241" width="3.625" style="512" customWidth="1"/>
    <col min="10242" max="10242" width="7.25" style="512" customWidth="1"/>
    <col min="10243" max="10243" width="36.125" style="512" customWidth="1"/>
    <col min="10244" max="10245" width="12.5" style="512" customWidth="1"/>
    <col min="10246" max="10246" width="11.375" style="512" customWidth="1"/>
    <col min="10247" max="10247" width="2.125" style="512" customWidth="1"/>
    <col min="10248" max="10248" width="13.125" style="512" customWidth="1"/>
    <col min="10249" max="10249" width="13" style="512" customWidth="1"/>
    <col min="10250" max="10251" width="11.25" style="512" customWidth="1"/>
    <col min="10252" max="10496" width="9" style="512"/>
    <col min="10497" max="10497" width="3.625" style="512" customWidth="1"/>
    <col min="10498" max="10498" width="7.25" style="512" customWidth="1"/>
    <col min="10499" max="10499" width="36.125" style="512" customWidth="1"/>
    <col min="10500" max="10501" width="12.5" style="512" customWidth="1"/>
    <col min="10502" max="10502" width="11.375" style="512" customWidth="1"/>
    <col min="10503" max="10503" width="2.125" style="512" customWidth="1"/>
    <col min="10504" max="10504" width="13.125" style="512" customWidth="1"/>
    <col min="10505" max="10505" width="13" style="512" customWidth="1"/>
    <col min="10506" max="10507" width="11.25" style="512" customWidth="1"/>
    <col min="10508" max="10752" width="9" style="512"/>
    <col min="10753" max="10753" width="3.625" style="512" customWidth="1"/>
    <col min="10754" max="10754" width="7.25" style="512" customWidth="1"/>
    <col min="10755" max="10755" width="36.125" style="512" customWidth="1"/>
    <col min="10756" max="10757" width="12.5" style="512" customWidth="1"/>
    <col min="10758" max="10758" width="11.375" style="512" customWidth="1"/>
    <col min="10759" max="10759" width="2.125" style="512" customWidth="1"/>
    <col min="10760" max="10760" width="13.125" style="512" customWidth="1"/>
    <col min="10761" max="10761" width="13" style="512" customWidth="1"/>
    <col min="10762" max="10763" width="11.25" style="512" customWidth="1"/>
    <col min="10764" max="11008" width="9" style="512"/>
    <col min="11009" max="11009" width="3.625" style="512" customWidth="1"/>
    <col min="11010" max="11010" width="7.25" style="512" customWidth="1"/>
    <col min="11011" max="11011" width="36.125" style="512" customWidth="1"/>
    <col min="11012" max="11013" width="12.5" style="512" customWidth="1"/>
    <col min="11014" max="11014" width="11.375" style="512" customWidth="1"/>
    <col min="11015" max="11015" width="2.125" style="512" customWidth="1"/>
    <col min="11016" max="11016" width="13.125" style="512" customWidth="1"/>
    <col min="11017" max="11017" width="13" style="512" customWidth="1"/>
    <col min="11018" max="11019" width="11.25" style="512" customWidth="1"/>
    <col min="11020" max="11264" width="9" style="512"/>
    <col min="11265" max="11265" width="3.625" style="512" customWidth="1"/>
    <col min="11266" max="11266" width="7.25" style="512" customWidth="1"/>
    <col min="11267" max="11267" width="36.125" style="512" customWidth="1"/>
    <col min="11268" max="11269" width="12.5" style="512" customWidth="1"/>
    <col min="11270" max="11270" width="11.375" style="512" customWidth="1"/>
    <col min="11271" max="11271" width="2.125" style="512" customWidth="1"/>
    <col min="11272" max="11272" width="13.125" style="512" customWidth="1"/>
    <col min="11273" max="11273" width="13" style="512" customWidth="1"/>
    <col min="11274" max="11275" width="11.25" style="512" customWidth="1"/>
    <col min="11276" max="11520" width="9" style="512"/>
    <col min="11521" max="11521" width="3.625" style="512" customWidth="1"/>
    <col min="11522" max="11522" width="7.25" style="512" customWidth="1"/>
    <col min="11523" max="11523" width="36.125" style="512" customWidth="1"/>
    <col min="11524" max="11525" width="12.5" style="512" customWidth="1"/>
    <col min="11526" max="11526" width="11.375" style="512" customWidth="1"/>
    <col min="11527" max="11527" width="2.125" style="512" customWidth="1"/>
    <col min="11528" max="11528" width="13.125" style="512" customWidth="1"/>
    <col min="11529" max="11529" width="13" style="512" customWidth="1"/>
    <col min="11530" max="11531" width="11.25" style="512" customWidth="1"/>
    <col min="11532" max="11776" width="9" style="512"/>
    <col min="11777" max="11777" width="3.625" style="512" customWidth="1"/>
    <col min="11778" max="11778" width="7.25" style="512" customWidth="1"/>
    <col min="11779" max="11779" width="36.125" style="512" customWidth="1"/>
    <col min="11780" max="11781" width="12.5" style="512" customWidth="1"/>
    <col min="11782" max="11782" width="11.375" style="512" customWidth="1"/>
    <col min="11783" max="11783" width="2.125" style="512" customWidth="1"/>
    <col min="11784" max="11784" width="13.125" style="512" customWidth="1"/>
    <col min="11785" max="11785" width="13" style="512" customWidth="1"/>
    <col min="11786" max="11787" width="11.25" style="512" customWidth="1"/>
    <col min="11788" max="12032" width="9" style="512"/>
    <col min="12033" max="12033" width="3.625" style="512" customWidth="1"/>
    <col min="12034" max="12034" width="7.25" style="512" customWidth="1"/>
    <col min="12035" max="12035" width="36.125" style="512" customWidth="1"/>
    <col min="12036" max="12037" width="12.5" style="512" customWidth="1"/>
    <col min="12038" max="12038" width="11.375" style="512" customWidth="1"/>
    <col min="12039" max="12039" width="2.125" style="512" customWidth="1"/>
    <col min="12040" max="12040" width="13.125" style="512" customWidth="1"/>
    <col min="12041" max="12041" width="13" style="512" customWidth="1"/>
    <col min="12042" max="12043" width="11.25" style="512" customWidth="1"/>
    <col min="12044" max="12288" width="9" style="512"/>
    <col min="12289" max="12289" width="3.625" style="512" customWidth="1"/>
    <col min="12290" max="12290" width="7.25" style="512" customWidth="1"/>
    <col min="12291" max="12291" width="36.125" style="512" customWidth="1"/>
    <col min="12292" max="12293" width="12.5" style="512" customWidth="1"/>
    <col min="12294" max="12294" width="11.375" style="512" customWidth="1"/>
    <col min="12295" max="12295" width="2.125" style="512" customWidth="1"/>
    <col min="12296" max="12296" width="13.125" style="512" customWidth="1"/>
    <col min="12297" max="12297" width="13" style="512" customWidth="1"/>
    <col min="12298" max="12299" width="11.25" style="512" customWidth="1"/>
    <col min="12300" max="12544" width="9" style="512"/>
    <col min="12545" max="12545" width="3.625" style="512" customWidth="1"/>
    <col min="12546" max="12546" width="7.25" style="512" customWidth="1"/>
    <col min="12547" max="12547" width="36.125" style="512" customWidth="1"/>
    <col min="12548" max="12549" width="12.5" style="512" customWidth="1"/>
    <col min="12550" max="12550" width="11.375" style="512" customWidth="1"/>
    <col min="12551" max="12551" width="2.125" style="512" customWidth="1"/>
    <col min="12552" max="12552" width="13.125" style="512" customWidth="1"/>
    <col min="12553" max="12553" width="13" style="512" customWidth="1"/>
    <col min="12554" max="12555" width="11.25" style="512" customWidth="1"/>
    <col min="12556" max="12800" width="9" style="512"/>
    <col min="12801" max="12801" width="3.625" style="512" customWidth="1"/>
    <col min="12802" max="12802" width="7.25" style="512" customWidth="1"/>
    <col min="12803" max="12803" width="36.125" style="512" customWidth="1"/>
    <col min="12804" max="12805" width="12.5" style="512" customWidth="1"/>
    <col min="12806" max="12806" width="11.375" style="512" customWidth="1"/>
    <col min="12807" max="12807" width="2.125" style="512" customWidth="1"/>
    <col min="12808" max="12808" width="13.125" style="512" customWidth="1"/>
    <col min="12809" max="12809" width="13" style="512" customWidth="1"/>
    <col min="12810" max="12811" width="11.25" style="512" customWidth="1"/>
    <col min="12812" max="13056" width="9" style="512"/>
    <col min="13057" max="13057" width="3.625" style="512" customWidth="1"/>
    <col min="13058" max="13058" width="7.25" style="512" customWidth="1"/>
    <col min="13059" max="13059" width="36.125" style="512" customWidth="1"/>
    <col min="13060" max="13061" width="12.5" style="512" customWidth="1"/>
    <col min="13062" max="13062" width="11.375" style="512" customWidth="1"/>
    <col min="13063" max="13063" width="2.125" style="512" customWidth="1"/>
    <col min="13064" max="13064" width="13.125" style="512" customWidth="1"/>
    <col min="13065" max="13065" width="13" style="512" customWidth="1"/>
    <col min="13066" max="13067" width="11.25" style="512" customWidth="1"/>
    <col min="13068" max="13312" width="9" style="512"/>
    <col min="13313" max="13313" width="3.625" style="512" customWidth="1"/>
    <col min="13314" max="13314" width="7.25" style="512" customWidth="1"/>
    <col min="13315" max="13315" width="36.125" style="512" customWidth="1"/>
    <col min="13316" max="13317" width="12.5" style="512" customWidth="1"/>
    <col min="13318" max="13318" width="11.375" style="512" customWidth="1"/>
    <col min="13319" max="13319" width="2.125" style="512" customWidth="1"/>
    <col min="13320" max="13320" width="13.125" style="512" customWidth="1"/>
    <col min="13321" max="13321" width="13" style="512" customWidth="1"/>
    <col min="13322" max="13323" width="11.25" style="512" customWidth="1"/>
    <col min="13324" max="13568" width="9" style="512"/>
    <col min="13569" max="13569" width="3.625" style="512" customWidth="1"/>
    <col min="13570" max="13570" width="7.25" style="512" customWidth="1"/>
    <col min="13571" max="13571" width="36.125" style="512" customWidth="1"/>
    <col min="13572" max="13573" width="12.5" style="512" customWidth="1"/>
    <col min="13574" max="13574" width="11.375" style="512" customWidth="1"/>
    <col min="13575" max="13575" width="2.125" style="512" customWidth="1"/>
    <col min="13576" max="13576" width="13.125" style="512" customWidth="1"/>
    <col min="13577" max="13577" width="13" style="512" customWidth="1"/>
    <col min="13578" max="13579" width="11.25" style="512" customWidth="1"/>
    <col min="13580" max="13824" width="9" style="512"/>
    <col min="13825" max="13825" width="3.625" style="512" customWidth="1"/>
    <col min="13826" max="13826" width="7.25" style="512" customWidth="1"/>
    <col min="13827" max="13827" width="36.125" style="512" customWidth="1"/>
    <col min="13828" max="13829" width="12.5" style="512" customWidth="1"/>
    <col min="13830" max="13830" width="11.375" style="512" customWidth="1"/>
    <col min="13831" max="13831" width="2.125" style="512" customWidth="1"/>
    <col min="13832" max="13832" width="13.125" style="512" customWidth="1"/>
    <col min="13833" max="13833" width="13" style="512" customWidth="1"/>
    <col min="13834" max="13835" width="11.25" style="512" customWidth="1"/>
    <col min="13836" max="14080" width="9" style="512"/>
    <col min="14081" max="14081" width="3.625" style="512" customWidth="1"/>
    <col min="14082" max="14082" width="7.25" style="512" customWidth="1"/>
    <col min="14083" max="14083" width="36.125" style="512" customWidth="1"/>
    <col min="14084" max="14085" width="12.5" style="512" customWidth="1"/>
    <col min="14086" max="14086" width="11.375" style="512" customWidth="1"/>
    <col min="14087" max="14087" width="2.125" style="512" customWidth="1"/>
    <col min="14088" max="14088" width="13.125" style="512" customWidth="1"/>
    <col min="14089" max="14089" width="13" style="512" customWidth="1"/>
    <col min="14090" max="14091" width="11.25" style="512" customWidth="1"/>
    <col min="14092" max="14336" width="9" style="512"/>
    <col min="14337" max="14337" width="3.625" style="512" customWidth="1"/>
    <col min="14338" max="14338" width="7.25" style="512" customWidth="1"/>
    <col min="14339" max="14339" width="36.125" style="512" customWidth="1"/>
    <col min="14340" max="14341" width="12.5" style="512" customWidth="1"/>
    <col min="14342" max="14342" width="11.375" style="512" customWidth="1"/>
    <col min="14343" max="14343" width="2.125" style="512" customWidth="1"/>
    <col min="14344" max="14344" width="13.125" style="512" customWidth="1"/>
    <col min="14345" max="14345" width="13" style="512" customWidth="1"/>
    <col min="14346" max="14347" width="11.25" style="512" customWidth="1"/>
    <col min="14348" max="14592" width="9" style="512"/>
    <col min="14593" max="14593" width="3.625" style="512" customWidth="1"/>
    <col min="14594" max="14594" width="7.25" style="512" customWidth="1"/>
    <col min="14595" max="14595" width="36.125" style="512" customWidth="1"/>
    <col min="14596" max="14597" width="12.5" style="512" customWidth="1"/>
    <col min="14598" max="14598" width="11.375" style="512" customWidth="1"/>
    <col min="14599" max="14599" width="2.125" style="512" customWidth="1"/>
    <col min="14600" max="14600" width="13.125" style="512" customWidth="1"/>
    <col min="14601" max="14601" width="13" style="512" customWidth="1"/>
    <col min="14602" max="14603" width="11.25" style="512" customWidth="1"/>
    <col min="14604" max="14848" width="9" style="512"/>
    <col min="14849" max="14849" width="3.625" style="512" customWidth="1"/>
    <col min="14850" max="14850" width="7.25" style="512" customWidth="1"/>
    <col min="14851" max="14851" width="36.125" style="512" customWidth="1"/>
    <col min="14852" max="14853" width="12.5" style="512" customWidth="1"/>
    <col min="14854" max="14854" width="11.375" style="512" customWidth="1"/>
    <col min="14855" max="14855" width="2.125" style="512" customWidth="1"/>
    <col min="14856" max="14856" width="13.125" style="512" customWidth="1"/>
    <col min="14857" max="14857" width="13" style="512" customWidth="1"/>
    <col min="14858" max="14859" width="11.25" style="512" customWidth="1"/>
    <col min="14860" max="15104" width="9" style="512"/>
    <col min="15105" max="15105" width="3.625" style="512" customWidth="1"/>
    <col min="15106" max="15106" width="7.25" style="512" customWidth="1"/>
    <col min="15107" max="15107" width="36.125" style="512" customWidth="1"/>
    <col min="15108" max="15109" width="12.5" style="512" customWidth="1"/>
    <col min="15110" max="15110" width="11.375" style="512" customWidth="1"/>
    <col min="15111" max="15111" width="2.125" style="512" customWidth="1"/>
    <col min="15112" max="15112" width="13.125" style="512" customWidth="1"/>
    <col min="15113" max="15113" width="13" style="512" customWidth="1"/>
    <col min="15114" max="15115" width="11.25" style="512" customWidth="1"/>
    <col min="15116" max="15360" width="9" style="512"/>
    <col min="15361" max="15361" width="3.625" style="512" customWidth="1"/>
    <col min="15362" max="15362" width="7.25" style="512" customWidth="1"/>
    <col min="15363" max="15363" width="36.125" style="512" customWidth="1"/>
    <col min="15364" max="15365" width="12.5" style="512" customWidth="1"/>
    <col min="15366" max="15366" width="11.375" style="512" customWidth="1"/>
    <col min="15367" max="15367" width="2.125" style="512" customWidth="1"/>
    <col min="15368" max="15368" width="13.125" style="512" customWidth="1"/>
    <col min="15369" max="15369" width="13" style="512" customWidth="1"/>
    <col min="15370" max="15371" width="11.25" style="512" customWidth="1"/>
    <col min="15372" max="15616" width="9" style="512"/>
    <col min="15617" max="15617" width="3.625" style="512" customWidth="1"/>
    <col min="15618" max="15618" width="7.25" style="512" customWidth="1"/>
    <col min="15619" max="15619" width="36.125" style="512" customWidth="1"/>
    <col min="15620" max="15621" width="12.5" style="512" customWidth="1"/>
    <col min="15622" max="15622" width="11.375" style="512" customWidth="1"/>
    <col min="15623" max="15623" width="2.125" style="512" customWidth="1"/>
    <col min="15624" max="15624" width="13.125" style="512" customWidth="1"/>
    <col min="15625" max="15625" width="13" style="512" customWidth="1"/>
    <col min="15626" max="15627" width="11.25" style="512" customWidth="1"/>
    <col min="15628" max="15872" width="9" style="512"/>
    <col min="15873" max="15873" width="3.625" style="512" customWidth="1"/>
    <col min="15874" max="15874" width="7.25" style="512" customWidth="1"/>
    <col min="15875" max="15875" width="36.125" style="512" customWidth="1"/>
    <col min="15876" max="15877" width="12.5" style="512" customWidth="1"/>
    <col min="15878" max="15878" width="11.375" style="512" customWidth="1"/>
    <col min="15879" max="15879" width="2.125" style="512" customWidth="1"/>
    <col min="15880" max="15880" width="13.125" style="512" customWidth="1"/>
    <col min="15881" max="15881" width="13" style="512" customWidth="1"/>
    <col min="15882" max="15883" width="11.25" style="512" customWidth="1"/>
    <col min="15884" max="16128" width="9" style="512"/>
    <col min="16129" max="16129" width="3.625" style="512" customWidth="1"/>
    <col min="16130" max="16130" width="7.25" style="512" customWidth="1"/>
    <col min="16131" max="16131" width="36.125" style="512" customWidth="1"/>
    <col min="16132" max="16133" width="12.5" style="512" customWidth="1"/>
    <col min="16134" max="16134" width="11.375" style="512" customWidth="1"/>
    <col min="16135" max="16135" width="2.125" style="512" customWidth="1"/>
    <col min="16136" max="16136" width="13.125" style="512" customWidth="1"/>
    <col min="16137" max="16137" width="13" style="512" customWidth="1"/>
    <col min="16138" max="16139" width="11.25" style="512" customWidth="1"/>
    <col min="16140" max="16384" width="9" style="512"/>
  </cols>
  <sheetData>
    <row r="1" spans="1:14" s="786" customFormat="1" ht="16.899999999999999" customHeight="1">
      <c r="A1" s="1147" t="s">
        <v>1178</v>
      </c>
      <c r="B1" s="1147"/>
      <c r="C1" s="1147"/>
      <c r="D1" s="1147"/>
      <c r="E1" s="1147"/>
      <c r="F1" s="1147"/>
      <c r="G1" s="782"/>
      <c r="H1" s="783"/>
      <c r="I1" s="784"/>
      <c r="J1" s="785"/>
      <c r="K1" s="785"/>
      <c r="L1" s="785"/>
      <c r="M1" s="785"/>
      <c r="N1" s="785"/>
    </row>
    <row r="2" spans="1:14" s="820" customFormat="1" ht="16.899999999999999" customHeight="1">
      <c r="A2" s="1147" t="s">
        <v>1179</v>
      </c>
      <c r="B2" s="1147"/>
      <c r="C2" s="1147"/>
      <c r="D2" s="1147"/>
      <c r="E2" s="1147"/>
      <c r="F2" s="1147"/>
      <c r="G2" s="816"/>
      <c r="H2" s="817"/>
      <c r="I2" s="818"/>
      <c r="J2" s="819"/>
      <c r="K2" s="819"/>
      <c r="L2" s="819"/>
      <c r="M2" s="819"/>
      <c r="N2" s="819"/>
    </row>
    <row r="3" spans="1:14" s="791" customFormat="1" ht="15">
      <c r="A3" s="1148"/>
      <c r="B3" s="1148"/>
      <c r="C3" s="1148"/>
      <c r="D3" s="1148"/>
      <c r="E3" s="1148"/>
      <c r="F3" s="1148"/>
      <c r="G3" s="787"/>
      <c r="H3" s="788"/>
      <c r="I3" s="789"/>
      <c r="J3" s="790"/>
      <c r="K3" s="790"/>
      <c r="L3" s="790"/>
      <c r="M3" s="790"/>
      <c r="N3" s="790"/>
    </row>
    <row r="4" spans="1:14" s="786" customFormat="1" ht="17.45" customHeight="1">
      <c r="A4" s="1138" t="s">
        <v>1180</v>
      </c>
      <c r="B4" s="1138"/>
      <c r="C4" s="1138"/>
      <c r="D4" s="782"/>
      <c r="E4" s="792"/>
      <c r="F4" s="793" t="s">
        <v>15</v>
      </c>
      <c r="G4" s="794"/>
      <c r="H4" s="783"/>
      <c r="I4" s="784"/>
      <c r="J4" s="785"/>
      <c r="K4" s="785"/>
      <c r="L4" s="785"/>
      <c r="M4" s="785"/>
      <c r="N4" s="785"/>
    </row>
    <row r="5" spans="1:14" s="786" customFormat="1" ht="15" customHeight="1">
      <c r="A5" s="1056" t="s">
        <v>854</v>
      </c>
      <c r="B5" s="1056" t="s">
        <v>1181</v>
      </c>
      <c r="C5" s="1056" t="s">
        <v>1182</v>
      </c>
      <c r="D5" s="1056" t="s">
        <v>17</v>
      </c>
      <c r="E5" s="1149" t="s">
        <v>1183</v>
      </c>
      <c r="F5" s="1149"/>
      <c r="G5" s="792"/>
      <c r="H5" s="783"/>
      <c r="I5" s="784"/>
      <c r="J5" s="785"/>
      <c r="K5" s="785"/>
      <c r="L5" s="785"/>
      <c r="M5" s="785"/>
      <c r="N5" s="785"/>
    </row>
    <row r="6" spans="1:14" s="786" customFormat="1" ht="29.25" customHeight="1">
      <c r="A6" s="1056"/>
      <c r="B6" s="1056"/>
      <c r="C6" s="1056"/>
      <c r="D6" s="1056"/>
      <c r="E6" s="550" t="s">
        <v>1184</v>
      </c>
      <c r="F6" s="550" t="s">
        <v>1185</v>
      </c>
      <c r="G6" s="795"/>
      <c r="H6" s="783"/>
      <c r="I6" s="784"/>
      <c r="J6" s="785"/>
      <c r="K6" s="785"/>
      <c r="L6" s="785"/>
      <c r="M6" s="796"/>
      <c r="N6" s="796"/>
    </row>
    <row r="7" spans="1:14" s="786" customFormat="1" ht="16.5" customHeight="1">
      <c r="A7" s="518">
        <v>1</v>
      </c>
      <c r="B7" s="518">
        <v>2</v>
      </c>
      <c r="C7" s="518">
        <v>3</v>
      </c>
      <c r="D7" s="518">
        <v>4</v>
      </c>
      <c r="E7" s="518" t="s">
        <v>1186</v>
      </c>
      <c r="F7" s="518" t="s">
        <v>1187</v>
      </c>
      <c r="G7" s="797"/>
      <c r="H7" s="783"/>
      <c r="I7" s="784"/>
      <c r="J7" s="785"/>
      <c r="K7" s="785"/>
      <c r="L7" s="785"/>
      <c r="M7" s="796"/>
      <c r="N7" s="796"/>
    </row>
    <row r="8" spans="1:14" s="786" customFormat="1" ht="9" customHeight="1">
      <c r="A8" s="550"/>
      <c r="B8" s="550"/>
      <c r="C8" s="550"/>
      <c r="D8" s="550"/>
      <c r="E8" s="550"/>
      <c r="F8" s="550"/>
      <c r="G8" s="795"/>
      <c r="H8" s="783"/>
      <c r="I8" s="784"/>
      <c r="J8" s="785"/>
      <c r="K8" s="785"/>
      <c r="L8" s="785"/>
      <c r="M8" s="796"/>
      <c r="N8" s="796"/>
    </row>
    <row r="9" spans="1:14" s="804" customFormat="1">
      <c r="A9" s="550"/>
      <c r="B9" s="550"/>
      <c r="C9" s="544" t="s">
        <v>416</v>
      </c>
      <c r="D9" s="798">
        <f>D11+D17+D23+D29</f>
        <v>140000</v>
      </c>
      <c r="E9" s="798">
        <f>E11+E17+E23+E29</f>
        <v>133000</v>
      </c>
      <c r="F9" s="798">
        <f>F11+F17+F23+F29</f>
        <v>7000</v>
      </c>
      <c r="G9" s="799"/>
      <c r="H9" s="800"/>
      <c r="I9" s="801"/>
      <c r="J9" s="802"/>
      <c r="K9" s="802"/>
      <c r="L9" s="802"/>
      <c r="M9" s="803"/>
      <c r="N9" s="803"/>
    </row>
    <row r="10" spans="1:14" s="804" customFormat="1" ht="9" customHeight="1">
      <c r="A10" s="550"/>
      <c r="B10" s="805"/>
      <c r="C10" s="544"/>
      <c r="D10" s="798"/>
      <c r="E10" s="798"/>
      <c r="F10" s="798"/>
      <c r="G10" s="799"/>
      <c r="H10" s="800"/>
      <c r="I10" s="801"/>
      <c r="J10" s="802"/>
      <c r="K10" s="802"/>
      <c r="L10" s="802"/>
      <c r="M10" s="803"/>
      <c r="N10" s="803"/>
    </row>
    <row r="11" spans="1:14" s="804" customFormat="1">
      <c r="A11" s="805"/>
      <c r="B11" s="805" t="s">
        <v>23</v>
      </c>
      <c r="C11" s="544" t="s">
        <v>24</v>
      </c>
      <c r="D11" s="798">
        <f>D13</f>
        <v>100000</v>
      </c>
      <c r="E11" s="798">
        <f>E13</f>
        <v>95000</v>
      </c>
      <c r="F11" s="798">
        <f>F13</f>
        <v>5000</v>
      </c>
      <c r="G11" s="799"/>
      <c r="H11" s="800"/>
      <c r="I11" s="801"/>
      <c r="J11" s="802"/>
      <c r="K11" s="802"/>
      <c r="L11" s="802"/>
      <c r="M11" s="803"/>
      <c r="N11" s="803"/>
    </row>
    <row r="12" spans="1:14" s="804" customFormat="1" ht="9" customHeight="1">
      <c r="A12" s="805"/>
      <c r="B12" s="805"/>
      <c r="C12" s="544"/>
      <c r="D12" s="798"/>
      <c r="E12" s="798"/>
      <c r="F12" s="798"/>
      <c r="G12" s="799"/>
      <c r="H12" s="800"/>
      <c r="I12" s="801"/>
      <c r="J12" s="802"/>
      <c r="K12" s="802"/>
      <c r="L12" s="802"/>
      <c r="M12" s="803"/>
      <c r="N12" s="803"/>
    </row>
    <row r="13" spans="1:14" s="804" customFormat="1" ht="25.5">
      <c r="A13" s="806" t="s">
        <v>18</v>
      </c>
      <c r="B13" s="806" t="s">
        <v>427</v>
      </c>
      <c r="C13" s="807" t="s">
        <v>1188</v>
      </c>
      <c r="D13" s="808">
        <f>D15</f>
        <v>100000</v>
      </c>
      <c r="E13" s="808">
        <f>E15</f>
        <v>95000</v>
      </c>
      <c r="F13" s="808">
        <f>F15</f>
        <v>5000</v>
      </c>
      <c r="G13" s="809"/>
      <c r="H13" s="800"/>
      <c r="I13" s="801"/>
      <c r="J13" s="802"/>
      <c r="K13" s="802"/>
      <c r="L13" s="802"/>
      <c r="M13" s="803"/>
      <c r="N13" s="803"/>
    </row>
    <row r="14" spans="1:14" s="804" customFormat="1" ht="9" customHeight="1">
      <c r="A14" s="806"/>
      <c r="B14" s="806"/>
      <c r="C14" s="807"/>
      <c r="D14" s="808"/>
      <c r="E14" s="810"/>
      <c r="F14" s="810"/>
      <c r="G14" s="811"/>
      <c r="H14" s="800"/>
      <c r="I14" s="801"/>
      <c r="J14" s="802"/>
      <c r="K14" s="802"/>
      <c r="L14" s="802"/>
      <c r="M14" s="803"/>
      <c r="N14" s="803"/>
    </row>
    <row r="15" spans="1:14" s="786" customFormat="1">
      <c r="A15" s="812"/>
      <c r="B15" s="812" t="s">
        <v>47</v>
      </c>
      <c r="C15" s="538" t="s">
        <v>48</v>
      </c>
      <c r="D15" s="813">
        <f>E15+F15</f>
        <v>100000</v>
      </c>
      <c r="E15" s="813">
        <v>95000</v>
      </c>
      <c r="F15" s="813">
        <v>5000</v>
      </c>
      <c r="G15" s="814"/>
      <c r="H15" s="783"/>
      <c r="I15" s="784"/>
      <c r="J15" s="785"/>
      <c r="K15" s="785"/>
      <c r="L15" s="785"/>
      <c r="M15" s="796"/>
      <c r="N15" s="796"/>
    </row>
    <row r="16" spans="1:14" s="786" customFormat="1" ht="9" customHeight="1">
      <c r="A16" s="812"/>
      <c r="B16" s="812"/>
      <c r="C16" s="538"/>
      <c r="D16" s="813"/>
      <c r="E16" s="813"/>
      <c r="F16" s="813"/>
      <c r="G16" s="814"/>
      <c r="H16" s="783"/>
      <c r="I16" s="784"/>
      <c r="J16" s="785"/>
      <c r="K16" s="785"/>
      <c r="L16" s="785"/>
      <c r="M16" s="796"/>
      <c r="N16" s="796"/>
    </row>
    <row r="17" spans="1:14" s="804" customFormat="1">
      <c r="A17" s="805"/>
      <c r="B17" s="805" t="s">
        <v>55</v>
      </c>
      <c r="C17" s="544" t="s">
        <v>56</v>
      </c>
      <c r="D17" s="798">
        <f>D19</f>
        <v>9000</v>
      </c>
      <c r="E17" s="798">
        <f>E19</f>
        <v>8550</v>
      </c>
      <c r="F17" s="798">
        <f>F19</f>
        <v>450</v>
      </c>
      <c r="G17" s="799"/>
      <c r="H17" s="800"/>
      <c r="I17" s="801"/>
      <c r="J17" s="802"/>
      <c r="K17" s="802"/>
      <c r="L17" s="802"/>
      <c r="M17" s="803"/>
      <c r="N17" s="803"/>
    </row>
    <row r="18" spans="1:14" s="804" customFormat="1" ht="9" customHeight="1">
      <c r="A18" s="805"/>
      <c r="B18" s="805"/>
      <c r="C18" s="544"/>
      <c r="D18" s="798"/>
      <c r="E18" s="798"/>
      <c r="F18" s="798"/>
      <c r="G18" s="799"/>
      <c r="H18" s="800"/>
      <c r="I18" s="801"/>
      <c r="J18" s="802"/>
      <c r="K18" s="802"/>
      <c r="L18" s="802"/>
      <c r="M18" s="803"/>
      <c r="N18" s="803"/>
    </row>
    <row r="19" spans="1:14" s="804" customFormat="1" ht="25.5">
      <c r="A19" s="806" t="s">
        <v>19</v>
      </c>
      <c r="B19" s="806" t="s">
        <v>428</v>
      </c>
      <c r="C19" s="807" t="s">
        <v>1189</v>
      </c>
      <c r="D19" s="808">
        <f>D21</f>
        <v>9000</v>
      </c>
      <c r="E19" s="808">
        <f>E21</f>
        <v>8550</v>
      </c>
      <c r="F19" s="808">
        <f>F21</f>
        <v>450</v>
      </c>
      <c r="G19" s="809"/>
      <c r="H19" s="800"/>
      <c r="I19" s="801"/>
      <c r="J19" s="802"/>
      <c r="K19" s="802"/>
      <c r="L19" s="802"/>
      <c r="M19" s="803"/>
      <c r="N19" s="803"/>
    </row>
    <row r="20" spans="1:14" s="804" customFormat="1" ht="9" customHeight="1">
      <c r="A20" s="806"/>
      <c r="B20" s="806"/>
      <c r="C20" s="807"/>
      <c r="D20" s="808"/>
      <c r="E20" s="810"/>
      <c r="F20" s="810"/>
      <c r="G20" s="811"/>
      <c r="H20" s="800"/>
      <c r="I20" s="801"/>
      <c r="J20" s="802"/>
      <c r="K20" s="802"/>
      <c r="L20" s="802"/>
      <c r="M20" s="803"/>
      <c r="N20" s="803"/>
    </row>
    <row r="21" spans="1:14" s="786" customFormat="1">
      <c r="A21" s="812"/>
      <c r="B21" s="812" t="s">
        <v>47</v>
      </c>
      <c r="C21" s="538" t="s">
        <v>48</v>
      </c>
      <c r="D21" s="813">
        <f>E21+F21</f>
        <v>9000</v>
      </c>
      <c r="E21" s="813">
        <v>8550</v>
      </c>
      <c r="F21" s="813">
        <v>450</v>
      </c>
      <c r="G21" s="814"/>
      <c r="H21" s="783"/>
      <c r="I21" s="784"/>
      <c r="J21" s="785"/>
      <c r="K21" s="785"/>
      <c r="L21" s="785"/>
      <c r="M21" s="796"/>
      <c r="N21" s="796"/>
    </row>
    <row r="22" spans="1:14" s="786" customFormat="1" ht="9" customHeight="1">
      <c r="A22" s="812"/>
      <c r="B22" s="812"/>
      <c r="C22" s="538"/>
      <c r="D22" s="813"/>
      <c r="E22" s="813"/>
      <c r="F22" s="813"/>
      <c r="G22" s="814"/>
      <c r="H22" s="783"/>
      <c r="I22" s="784"/>
      <c r="J22" s="785"/>
      <c r="K22" s="785"/>
      <c r="L22" s="785"/>
      <c r="M22" s="796"/>
      <c r="N22" s="796"/>
    </row>
    <row r="23" spans="1:14" s="804" customFormat="1">
      <c r="A23" s="805"/>
      <c r="B23" s="805" t="s">
        <v>27</v>
      </c>
      <c r="C23" s="544" t="s">
        <v>28</v>
      </c>
      <c r="D23" s="798">
        <f>D25</f>
        <v>25000</v>
      </c>
      <c r="E23" s="798">
        <f>E25</f>
        <v>23750</v>
      </c>
      <c r="F23" s="798">
        <f>F25</f>
        <v>1250</v>
      </c>
      <c r="G23" s="799"/>
      <c r="H23" s="800"/>
      <c r="I23" s="801"/>
      <c r="J23" s="802"/>
      <c r="K23" s="802"/>
      <c r="L23" s="802"/>
      <c r="M23" s="803"/>
      <c r="N23" s="803"/>
    </row>
    <row r="24" spans="1:14" s="786" customFormat="1" ht="9" customHeight="1">
      <c r="A24" s="812"/>
      <c r="B24" s="812"/>
      <c r="C24" s="538"/>
      <c r="D24" s="813"/>
      <c r="E24" s="813"/>
      <c r="F24" s="813"/>
      <c r="G24" s="814"/>
      <c r="H24" s="783"/>
      <c r="I24" s="784"/>
      <c r="J24" s="785"/>
      <c r="K24" s="785"/>
      <c r="L24" s="785"/>
      <c r="M24" s="796"/>
      <c r="N24" s="796"/>
    </row>
    <row r="25" spans="1:14" s="804" customFormat="1" ht="25.5">
      <c r="A25" s="806" t="s">
        <v>20</v>
      </c>
      <c r="B25" s="806" t="s">
        <v>432</v>
      </c>
      <c r="C25" s="807" t="s">
        <v>1190</v>
      </c>
      <c r="D25" s="808">
        <f>D27</f>
        <v>25000</v>
      </c>
      <c r="E25" s="808">
        <f>E27</f>
        <v>23750</v>
      </c>
      <c r="F25" s="808">
        <f>F27</f>
        <v>1250</v>
      </c>
      <c r="G25" s="809"/>
      <c r="H25" s="800"/>
      <c r="I25" s="801"/>
      <c r="J25" s="802"/>
      <c r="K25" s="802"/>
      <c r="L25" s="802"/>
      <c r="M25" s="803"/>
      <c r="N25" s="803"/>
    </row>
    <row r="26" spans="1:14" s="804" customFormat="1" ht="9" customHeight="1">
      <c r="A26" s="806"/>
      <c r="B26" s="806"/>
      <c r="C26" s="807"/>
      <c r="D26" s="808"/>
      <c r="E26" s="810"/>
      <c r="F26" s="810"/>
      <c r="G26" s="811"/>
      <c r="H26" s="800"/>
      <c r="I26" s="801"/>
      <c r="J26" s="802"/>
      <c r="K26" s="802"/>
      <c r="L26" s="802"/>
      <c r="M26" s="803"/>
      <c r="N26" s="803"/>
    </row>
    <row r="27" spans="1:14" s="786" customFormat="1">
      <c r="A27" s="812"/>
      <c r="B27" s="812" t="s">
        <v>4</v>
      </c>
      <c r="C27" s="538" t="s">
        <v>5</v>
      </c>
      <c r="D27" s="813">
        <f>E27+F27</f>
        <v>25000</v>
      </c>
      <c r="E27" s="813">
        <v>23750</v>
      </c>
      <c r="F27" s="813">
        <v>1250</v>
      </c>
      <c r="G27" s="814"/>
      <c r="H27" s="783"/>
      <c r="I27" s="784"/>
      <c r="J27" s="785"/>
      <c r="K27" s="785"/>
      <c r="L27" s="785"/>
      <c r="M27" s="796"/>
      <c r="N27" s="796"/>
    </row>
    <row r="28" spans="1:14" s="786" customFormat="1" ht="9" customHeight="1">
      <c r="A28" s="812"/>
      <c r="B28" s="812"/>
      <c r="C28" s="538"/>
      <c r="D28" s="813"/>
      <c r="E28" s="813"/>
      <c r="F28" s="813"/>
      <c r="G28" s="814"/>
      <c r="H28" s="783"/>
      <c r="I28" s="784"/>
      <c r="J28" s="785"/>
      <c r="K28" s="785"/>
      <c r="L28" s="785"/>
      <c r="M28" s="796"/>
      <c r="N28" s="796"/>
    </row>
    <row r="29" spans="1:14" s="804" customFormat="1">
      <c r="A29" s="805"/>
      <c r="B29" s="805" t="s">
        <v>29</v>
      </c>
      <c r="C29" s="544" t="s">
        <v>30</v>
      </c>
      <c r="D29" s="798">
        <f>D31</f>
        <v>6000</v>
      </c>
      <c r="E29" s="798">
        <f>E31</f>
        <v>5700</v>
      </c>
      <c r="F29" s="798">
        <f>F31</f>
        <v>300</v>
      </c>
      <c r="G29" s="799"/>
      <c r="H29" s="800"/>
      <c r="I29" s="801"/>
      <c r="J29" s="802"/>
      <c r="K29" s="802"/>
      <c r="L29" s="802"/>
      <c r="M29" s="803"/>
      <c r="N29" s="803"/>
    </row>
    <row r="30" spans="1:14" s="786" customFormat="1" ht="9" customHeight="1">
      <c r="A30" s="812"/>
      <c r="B30" s="812"/>
      <c r="C30" s="538"/>
      <c r="D30" s="813"/>
      <c r="E30" s="813"/>
      <c r="F30" s="813"/>
      <c r="G30" s="814"/>
      <c r="H30" s="783"/>
      <c r="I30" s="784"/>
      <c r="J30" s="785"/>
      <c r="K30" s="785"/>
      <c r="L30" s="785"/>
      <c r="M30" s="796"/>
      <c r="N30" s="796"/>
    </row>
    <row r="31" spans="1:14" s="804" customFormat="1" ht="25.5">
      <c r="A31" s="806" t="s">
        <v>6</v>
      </c>
      <c r="B31" s="806" t="s">
        <v>1191</v>
      </c>
      <c r="C31" s="807" t="s">
        <v>1192</v>
      </c>
      <c r="D31" s="808">
        <f>D33</f>
        <v>6000</v>
      </c>
      <c r="E31" s="808">
        <f>E33</f>
        <v>5700</v>
      </c>
      <c r="F31" s="808">
        <f>F33</f>
        <v>300</v>
      </c>
      <c r="G31" s="809"/>
      <c r="H31" s="800"/>
      <c r="I31" s="801"/>
      <c r="J31" s="802"/>
      <c r="K31" s="802"/>
      <c r="L31" s="802"/>
      <c r="M31" s="803"/>
      <c r="N31" s="803"/>
    </row>
    <row r="32" spans="1:14" s="804" customFormat="1" ht="9" customHeight="1">
      <c r="A32" s="806"/>
      <c r="B32" s="806"/>
      <c r="C32" s="807"/>
      <c r="D32" s="808"/>
      <c r="E32" s="810"/>
      <c r="F32" s="810"/>
      <c r="G32" s="811"/>
      <c r="H32" s="800"/>
      <c r="I32" s="801"/>
      <c r="J32" s="802"/>
      <c r="K32" s="802"/>
      <c r="L32" s="802"/>
      <c r="M32" s="803"/>
      <c r="N32" s="803"/>
    </row>
    <row r="33" spans="1:14" s="786" customFormat="1">
      <c r="A33" s="812"/>
      <c r="B33" s="812" t="s">
        <v>47</v>
      </c>
      <c r="C33" s="538" t="s">
        <v>48</v>
      </c>
      <c r="D33" s="813">
        <f>E33+F33</f>
        <v>6000</v>
      </c>
      <c r="E33" s="813">
        <v>5700</v>
      </c>
      <c r="F33" s="813">
        <v>300</v>
      </c>
      <c r="G33" s="814"/>
      <c r="H33" s="783"/>
      <c r="I33" s="784"/>
      <c r="J33" s="785"/>
      <c r="K33" s="785"/>
      <c r="L33" s="785"/>
      <c r="M33" s="796"/>
      <c r="N33" s="796"/>
    </row>
    <row r="34" spans="1:14" s="786" customFormat="1" ht="9" customHeight="1">
      <c r="A34" s="812"/>
      <c r="B34" s="812"/>
      <c r="C34" s="538"/>
      <c r="D34" s="813"/>
      <c r="E34" s="813"/>
      <c r="F34" s="813"/>
      <c r="G34" s="814"/>
      <c r="H34" s="783"/>
      <c r="I34" s="784"/>
      <c r="J34" s="785"/>
      <c r="K34" s="785"/>
      <c r="L34" s="785"/>
      <c r="M34" s="796"/>
      <c r="N34" s="796"/>
    </row>
  </sheetData>
  <sheetProtection algorithmName="SHA-512" hashValue="LeFv19ziKmBbER8f8r7suMYkRs+mSY6wH5xklxWDJm4Rx6IdqA4Z+8HscmrEsQ4n4Az77BCVnjOBR7OqQgm8UQ==" saltValue="hjq1ISgpEXg69+DqwtO4Ug==" spinCount="100000" sheet="1" objects="1" scenarios="1"/>
  <mergeCells count="9">
    <mergeCell ref="A1:F1"/>
    <mergeCell ref="A2:F2"/>
    <mergeCell ref="A3:F3"/>
    <mergeCell ref="A4:C4"/>
    <mergeCell ref="A5:A6"/>
    <mergeCell ref="B5:B6"/>
    <mergeCell ref="C5:C6"/>
    <mergeCell ref="D5:D6"/>
    <mergeCell ref="E5:F5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5"/>
  <sheetViews>
    <sheetView view="pageBreakPreview" topLeftCell="A18" zoomScaleNormal="100" workbookViewId="0">
      <selection activeCell="F22" sqref="F22"/>
    </sheetView>
  </sheetViews>
  <sheetFormatPr defaultColWidth="8" defaultRowHeight="12.75"/>
  <cols>
    <col min="1" max="1" width="5.375" style="664" customWidth="1"/>
    <col min="2" max="2" width="7.625" style="664" customWidth="1"/>
    <col min="3" max="3" width="16" style="659" customWidth="1"/>
    <col min="4" max="4" width="34.625" style="659" customWidth="1"/>
    <col min="5" max="5" width="12.875" style="660" customWidth="1"/>
    <col min="6" max="6" width="14.375" style="659" customWidth="1"/>
    <col min="7" max="7" width="8.25" style="659" bestFit="1" customWidth="1"/>
    <col min="8" max="16384" width="8" style="661"/>
  </cols>
  <sheetData>
    <row r="1" spans="1:7" ht="15" customHeight="1">
      <c r="C1" s="821"/>
      <c r="D1" s="821"/>
      <c r="E1" s="1153" t="s">
        <v>1214</v>
      </c>
      <c r="F1" s="1153"/>
    </row>
    <row r="2" spans="1:7" ht="15" customHeight="1">
      <c r="C2" s="821"/>
      <c r="D2" s="821"/>
      <c r="E2" s="1154" t="s">
        <v>1196</v>
      </c>
      <c r="F2" s="1154"/>
    </row>
    <row r="3" spans="1:7" ht="15.75" customHeight="1">
      <c r="E3" s="1154" t="s">
        <v>1197</v>
      </c>
      <c r="F3" s="1154"/>
    </row>
    <row r="4" spans="1:7" ht="16.5" customHeight="1">
      <c r="E4" s="821"/>
      <c r="F4" s="821"/>
    </row>
    <row r="5" spans="1:7" ht="16.5" customHeight="1">
      <c r="E5" s="821"/>
      <c r="F5" s="821"/>
    </row>
    <row r="6" spans="1:7" ht="11.25" customHeight="1">
      <c r="E6" s="821"/>
      <c r="F6" s="821"/>
    </row>
    <row r="7" spans="1:7" ht="18" customHeight="1">
      <c r="A7" s="1109" t="s">
        <v>1198</v>
      </c>
      <c r="B7" s="1109"/>
      <c r="C7" s="1109"/>
      <c r="D7" s="1109"/>
      <c r="E7" s="1109"/>
      <c r="F7" s="1109"/>
    </row>
    <row r="8" spans="1:7" ht="18" customHeight="1">
      <c r="A8" s="1109" t="s">
        <v>1199</v>
      </c>
      <c r="B8" s="1109"/>
      <c r="C8" s="1109"/>
      <c r="D8" s="1109"/>
      <c r="E8" s="1109"/>
      <c r="F8" s="1109"/>
    </row>
    <row r="9" spans="1:7" ht="16.5" customHeight="1">
      <c r="A9" s="1109" t="s">
        <v>362</v>
      </c>
      <c r="B9" s="1109"/>
      <c r="C9" s="1109"/>
      <c r="D9" s="1109"/>
      <c r="E9" s="1109"/>
      <c r="F9" s="1109"/>
    </row>
    <row r="10" spans="1:7" ht="16.5" customHeight="1">
      <c r="E10" s="821"/>
      <c r="F10" s="821"/>
    </row>
    <row r="11" spans="1:7" ht="16.5" customHeight="1">
      <c r="E11" s="821"/>
      <c r="F11" s="821"/>
    </row>
    <row r="12" spans="1:7" ht="11.25" customHeight="1">
      <c r="E12" s="821"/>
      <c r="F12" s="822" t="s">
        <v>15</v>
      </c>
    </row>
    <row r="13" spans="1:7" s="563" customFormat="1" ht="25.5" customHeight="1">
      <c r="A13" s="1155" t="s">
        <v>145</v>
      </c>
      <c r="B13" s="1155" t="s">
        <v>855</v>
      </c>
      <c r="C13" s="1157" t="s">
        <v>470</v>
      </c>
      <c r="D13" s="1158"/>
      <c r="E13" s="1159" t="s">
        <v>1200</v>
      </c>
      <c r="F13" s="1161" t="s">
        <v>1201</v>
      </c>
      <c r="G13" s="823"/>
    </row>
    <row r="14" spans="1:7" s="563" customFormat="1" ht="29.25" customHeight="1">
      <c r="A14" s="1156"/>
      <c r="B14" s="1156"/>
      <c r="C14" s="824" t="s">
        <v>1202</v>
      </c>
      <c r="D14" s="824" t="s">
        <v>1203</v>
      </c>
      <c r="E14" s="1160"/>
      <c r="F14" s="1162"/>
      <c r="G14" s="823"/>
    </row>
    <row r="15" spans="1:7" s="589" customFormat="1" ht="11.25">
      <c r="A15" s="825">
        <v>1</v>
      </c>
      <c r="B15" s="825">
        <v>2</v>
      </c>
      <c r="C15" s="826">
        <v>3</v>
      </c>
      <c r="D15" s="826">
        <v>4</v>
      </c>
      <c r="E15" s="827">
        <v>5</v>
      </c>
      <c r="F15" s="826">
        <v>6</v>
      </c>
      <c r="G15" s="828"/>
    </row>
    <row r="16" spans="1:7" s="830" customFormat="1" ht="22.5" customHeight="1">
      <c r="A16" s="1150" t="s">
        <v>416</v>
      </c>
      <c r="B16" s="1151"/>
      <c r="C16" s="1151"/>
      <c r="D16" s="1152"/>
      <c r="E16" s="829">
        <f>E17+E18+E19+E20+E21+E22+E23</f>
        <v>9369279</v>
      </c>
      <c r="F16" s="829">
        <f>F17+F18+F19+F20+F21+F22+F23</f>
        <v>9420421</v>
      </c>
    </row>
    <row r="17" spans="1:7" s="638" customFormat="1" ht="34.5" customHeight="1">
      <c r="A17" s="831" t="s">
        <v>61</v>
      </c>
      <c r="B17" s="831" t="s">
        <v>65</v>
      </c>
      <c r="C17" s="832" t="s">
        <v>1204</v>
      </c>
      <c r="D17" s="833" t="s">
        <v>1205</v>
      </c>
      <c r="E17" s="834">
        <v>5250000</v>
      </c>
      <c r="F17" s="835">
        <v>5250000</v>
      </c>
      <c r="G17" s="836"/>
    </row>
    <row r="18" spans="1:7" s="638" customFormat="1" ht="70.5" customHeight="1">
      <c r="A18" s="837"/>
      <c r="B18" s="837"/>
      <c r="C18" s="832" t="s">
        <v>1204</v>
      </c>
      <c r="D18" s="833" t="s">
        <v>1206</v>
      </c>
      <c r="E18" s="834">
        <v>100000</v>
      </c>
      <c r="F18" s="835">
        <v>100000</v>
      </c>
      <c r="G18" s="836"/>
    </row>
    <row r="19" spans="1:7" s="638" customFormat="1" ht="70.5" customHeight="1">
      <c r="A19" s="838"/>
      <c r="B19" s="838"/>
      <c r="C19" s="832" t="s">
        <v>1204</v>
      </c>
      <c r="D19" s="833" t="s">
        <v>1207</v>
      </c>
      <c r="E19" s="834">
        <v>1360000</v>
      </c>
      <c r="F19" s="835">
        <v>1360000</v>
      </c>
      <c r="G19" s="836"/>
    </row>
    <row r="20" spans="1:7" s="638" customFormat="1" ht="30.75" customHeight="1">
      <c r="A20" s="839" t="s">
        <v>21</v>
      </c>
      <c r="B20" s="839" t="s">
        <v>69</v>
      </c>
      <c r="C20" s="832" t="s">
        <v>1204</v>
      </c>
      <c r="D20" s="833" t="s">
        <v>1208</v>
      </c>
      <c r="E20" s="834">
        <v>280000</v>
      </c>
      <c r="F20" s="835">
        <v>280000</v>
      </c>
      <c r="G20" s="836"/>
    </row>
    <row r="21" spans="1:7" s="638" customFormat="1" ht="42" customHeight="1">
      <c r="A21" s="831" t="s">
        <v>29</v>
      </c>
      <c r="B21" s="831" t="s">
        <v>443</v>
      </c>
      <c r="C21" s="832" t="s">
        <v>1209</v>
      </c>
      <c r="D21" s="833" t="s">
        <v>1210</v>
      </c>
      <c r="E21" s="834">
        <v>1294000</v>
      </c>
      <c r="F21" s="835">
        <v>1294000</v>
      </c>
      <c r="G21" s="836"/>
    </row>
    <row r="22" spans="1:7" s="638" customFormat="1" ht="42.75" customHeight="1">
      <c r="A22" s="838"/>
      <c r="B22" s="838"/>
      <c r="C22" s="832" t="s">
        <v>1209</v>
      </c>
      <c r="D22" s="833" t="s">
        <v>1211</v>
      </c>
      <c r="E22" s="834">
        <v>460279</v>
      </c>
      <c r="F22" s="835">
        <v>511421</v>
      </c>
      <c r="G22" s="836"/>
    </row>
    <row r="23" spans="1:7" s="638" customFormat="1" ht="34.5" customHeight="1">
      <c r="A23" s="838" t="s">
        <v>33</v>
      </c>
      <c r="B23" s="838" t="s">
        <v>458</v>
      </c>
      <c r="C23" s="832" t="s">
        <v>1204</v>
      </c>
      <c r="D23" s="833" t="s">
        <v>1212</v>
      </c>
      <c r="E23" s="834">
        <v>625000</v>
      </c>
      <c r="F23" s="835">
        <v>625000</v>
      </c>
      <c r="G23" s="836"/>
    </row>
    <row r="24" spans="1:7" s="840" customFormat="1" ht="27" customHeight="1">
      <c r="A24" s="664"/>
      <c r="B24" s="664"/>
      <c r="C24" s="659"/>
      <c r="D24" s="659"/>
      <c r="E24" s="660"/>
      <c r="F24" s="562"/>
      <c r="G24" s="562"/>
    </row>
    <row r="25" spans="1:7" ht="27" customHeight="1"/>
    <row r="26" spans="1:7" s="841" customFormat="1" ht="24.75" customHeight="1">
      <c r="A26" s="664"/>
      <c r="B26" s="664"/>
      <c r="C26" s="659"/>
      <c r="D26" s="659"/>
      <c r="E26" s="660"/>
      <c r="F26" s="658"/>
      <c r="G26" s="658"/>
    </row>
    <row r="27" spans="1:7" ht="30" customHeight="1"/>
    <row r="28" spans="1:7" ht="30" customHeight="1"/>
    <row r="29" spans="1:7" s="663" customFormat="1" ht="22.5" customHeight="1">
      <c r="A29" s="664"/>
      <c r="B29" s="664"/>
      <c r="C29" s="659"/>
      <c r="D29" s="659"/>
      <c r="E29" s="660"/>
      <c r="F29" s="842"/>
      <c r="G29" s="842"/>
    </row>
    <row r="30" spans="1:7" ht="30" customHeight="1"/>
    <row r="31" spans="1:7" ht="28.5" customHeight="1"/>
    <row r="32" spans="1:7" s="840" customFormat="1" ht="24.75" customHeight="1">
      <c r="A32" s="664"/>
      <c r="B32" s="664"/>
      <c r="C32" s="659"/>
      <c r="D32" s="659"/>
      <c r="E32" s="660"/>
      <c r="F32" s="562"/>
      <c r="G32" s="562"/>
    </row>
    <row r="33" spans="1:7" ht="24.75" customHeight="1"/>
    <row r="34" spans="1:7" s="841" customFormat="1" ht="21" customHeight="1">
      <c r="A34" s="664"/>
      <c r="B34" s="664"/>
      <c r="C34" s="659"/>
      <c r="D34" s="659"/>
      <c r="E34" s="660"/>
      <c r="F34" s="658"/>
      <c r="G34" s="658"/>
    </row>
    <row r="36" spans="1:7" ht="9" customHeight="1"/>
    <row r="37" spans="1:7" s="616" customFormat="1" ht="35.25" customHeight="1">
      <c r="A37" s="664"/>
      <c r="B37" s="664"/>
      <c r="C37" s="659"/>
      <c r="D37" s="659"/>
      <c r="E37" s="660"/>
    </row>
    <row r="38" spans="1:7" s="840" customFormat="1" ht="22.5" customHeight="1">
      <c r="A38" s="664"/>
      <c r="B38" s="664"/>
      <c r="C38" s="659"/>
      <c r="D38" s="659"/>
      <c r="E38" s="660"/>
      <c r="F38" s="562"/>
      <c r="G38" s="562"/>
    </row>
    <row r="39" spans="1:7" ht="41.25" customHeight="1"/>
    <row r="40" spans="1:7" s="616" customFormat="1" ht="21.75" customHeight="1">
      <c r="A40" s="664"/>
      <c r="B40" s="664"/>
      <c r="C40" s="659"/>
      <c r="D40" s="659"/>
      <c r="E40" s="660"/>
    </row>
    <row r="41" spans="1:7" ht="21.75" customHeight="1">
      <c r="F41" s="661"/>
      <c r="G41" s="661"/>
    </row>
    <row r="42" spans="1:7" ht="24.75" customHeight="1">
      <c r="F42" s="661"/>
      <c r="G42" s="661"/>
    </row>
    <row r="43" spans="1:7" ht="12" customHeight="1">
      <c r="F43" s="661"/>
      <c r="G43" s="661"/>
    </row>
    <row r="44" spans="1:7" s="843" customFormat="1" ht="30.75" customHeight="1">
      <c r="A44" s="664"/>
      <c r="B44" s="664"/>
      <c r="C44" s="659"/>
      <c r="D44" s="659"/>
      <c r="E44" s="660"/>
    </row>
    <row r="45" spans="1:7" s="616" customFormat="1" ht="21.75" customHeight="1">
      <c r="A45" s="664"/>
      <c r="B45" s="664"/>
      <c r="C45" s="659"/>
      <c r="D45" s="659"/>
      <c r="E45" s="660"/>
    </row>
    <row r="46" spans="1:7" s="844" customFormat="1" ht="21.75" customHeight="1">
      <c r="A46" s="664"/>
      <c r="B46" s="664"/>
      <c r="C46" s="659"/>
      <c r="D46" s="659"/>
      <c r="E46" s="660"/>
    </row>
    <row r="47" spans="1:7" s="844" customFormat="1" ht="21.75" customHeight="1">
      <c r="A47" s="664"/>
      <c r="B47" s="664"/>
      <c r="C47" s="659"/>
      <c r="D47" s="659"/>
      <c r="E47" s="660"/>
    </row>
    <row r="49" spans="1:7" s="563" customFormat="1" ht="24" customHeight="1">
      <c r="A49" s="664"/>
      <c r="B49" s="664"/>
      <c r="C49" s="659"/>
      <c r="D49" s="659"/>
      <c r="E49" s="660"/>
      <c r="F49" s="823"/>
      <c r="G49" s="823"/>
    </row>
    <row r="50" spans="1:7" s="563" customFormat="1" ht="24" customHeight="1">
      <c r="A50" s="664"/>
      <c r="B50" s="664"/>
      <c r="C50" s="659"/>
      <c r="D50" s="659"/>
      <c r="E50" s="660"/>
      <c r="F50" s="823"/>
      <c r="G50" s="823"/>
    </row>
    <row r="51" spans="1:7" s="553" customFormat="1" ht="24" customHeight="1">
      <c r="A51" s="664"/>
      <c r="B51" s="664"/>
      <c r="C51" s="659"/>
      <c r="D51" s="659"/>
      <c r="E51" s="660"/>
      <c r="F51" s="559"/>
      <c r="G51" s="559"/>
    </row>
    <row r="52" spans="1:7" s="553" customFormat="1" ht="24" customHeight="1">
      <c r="A52" s="664"/>
      <c r="B52" s="664"/>
      <c r="C52" s="659"/>
      <c r="D52" s="659"/>
      <c r="E52" s="660"/>
      <c r="F52" s="559"/>
      <c r="G52" s="559"/>
    </row>
    <row r="53" spans="1:7" s="563" customFormat="1" ht="21" customHeight="1">
      <c r="A53" s="664"/>
      <c r="B53" s="664"/>
      <c r="C53" s="659"/>
      <c r="D53" s="659"/>
      <c r="E53" s="660"/>
      <c r="F53" s="823"/>
      <c r="G53" s="823"/>
    </row>
    <row r="54" spans="1:7" ht="19.5" customHeight="1"/>
    <row r="55" spans="1:7" ht="21.75" customHeight="1"/>
  </sheetData>
  <sheetProtection algorithmName="SHA-512" hashValue="KfAt0mHCv0ZqH1sYdYoXp3y1NM4d4Az7QQR8MhDYXTwWOsYDj4+NhavU+ZbdcEhXqDVc+POEg+9X1tg38/Hgbg==" saltValue="xtoKovsn9tFE9kuyafjo2g==" spinCount="100000" sheet="1" objects="1" scenarios="1"/>
  <mergeCells count="12">
    <mergeCell ref="A16:D16"/>
    <mergeCell ref="E1:F1"/>
    <mergeCell ref="E2:F2"/>
    <mergeCell ref="E3:F3"/>
    <mergeCell ref="A7:F7"/>
    <mergeCell ref="A8:F8"/>
    <mergeCell ref="A9:F9"/>
    <mergeCell ref="A13:A14"/>
    <mergeCell ref="B13:B14"/>
    <mergeCell ref="C13:D13"/>
    <mergeCell ref="E13:E14"/>
    <mergeCell ref="F13:F14"/>
  </mergeCells>
  <printOptions horizontalCentered="1"/>
  <pageMargins left="0.70866141732283472" right="0.70866141732283472" top="0.98425196850393704" bottom="0.74803149606299213" header="0" footer="0.19685039370078741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8"/>
  <sheetViews>
    <sheetView view="pageBreakPreview" topLeftCell="A31" zoomScaleNormal="100" zoomScaleSheetLayoutView="100" workbookViewId="0">
      <selection activeCell="E35" sqref="E35"/>
    </sheetView>
  </sheetViews>
  <sheetFormatPr defaultColWidth="8" defaultRowHeight="12.75"/>
  <cols>
    <col min="1" max="1" width="4.625" style="664" customWidth="1"/>
    <col min="2" max="2" width="6.625" style="664" customWidth="1"/>
    <col min="3" max="3" width="15.625" style="659" customWidth="1"/>
    <col min="4" max="4" width="42" style="659" customWidth="1"/>
    <col min="5" max="5" width="13.75" style="660" customWidth="1"/>
    <col min="6" max="6" width="16.125" style="659" customWidth="1"/>
    <col min="7" max="7" width="2.875" style="659" customWidth="1"/>
    <col min="8" max="16384" width="8" style="661"/>
  </cols>
  <sheetData>
    <row r="1" spans="1:7" ht="15" customHeight="1">
      <c r="C1" s="821"/>
      <c r="D1" s="845" t="s">
        <v>1213</v>
      </c>
      <c r="E1" s="845" t="s">
        <v>1247</v>
      </c>
      <c r="F1" s="845"/>
    </row>
    <row r="2" spans="1:7" ht="15" customHeight="1">
      <c r="C2" s="821"/>
      <c r="D2" s="821" t="s">
        <v>1215</v>
      </c>
      <c r="E2" s="1154" t="s">
        <v>1216</v>
      </c>
      <c r="F2" s="1154"/>
    </row>
    <row r="3" spans="1:7" ht="15" customHeight="1">
      <c r="D3" s="821" t="s">
        <v>1217</v>
      </c>
      <c r="E3" s="1154" t="s">
        <v>1218</v>
      </c>
      <c r="F3" s="1154"/>
    </row>
    <row r="4" spans="1:7" ht="16.5" customHeight="1">
      <c r="E4" s="821"/>
      <c r="F4" s="821"/>
    </row>
    <row r="5" spans="1:7" ht="11.25" customHeight="1">
      <c r="E5" s="821"/>
      <c r="F5" s="821"/>
    </row>
    <row r="6" spans="1:7" ht="18" customHeight="1">
      <c r="A6" s="1109" t="s">
        <v>1219</v>
      </c>
      <c r="B6" s="1109"/>
      <c r="C6" s="1109"/>
      <c r="D6" s="1109"/>
      <c r="E6" s="1109"/>
      <c r="F6" s="1109"/>
    </row>
    <row r="7" spans="1:7" ht="18" customHeight="1">
      <c r="A7" s="1109" t="s">
        <v>1220</v>
      </c>
      <c r="B7" s="1109"/>
      <c r="C7" s="1109"/>
      <c r="D7" s="1109"/>
      <c r="E7" s="1109"/>
      <c r="F7" s="1109"/>
    </row>
    <row r="8" spans="1:7" ht="16.5" customHeight="1">
      <c r="A8" s="1109" t="s">
        <v>362</v>
      </c>
      <c r="B8" s="1109"/>
      <c r="C8" s="1109"/>
      <c r="D8" s="1109"/>
      <c r="E8" s="1109"/>
      <c r="F8" s="1109"/>
    </row>
    <row r="9" spans="1:7" ht="16.5" customHeight="1">
      <c r="E9" s="821"/>
      <c r="F9" s="821"/>
    </row>
    <row r="10" spans="1:7" ht="16.5" customHeight="1">
      <c r="E10" s="821"/>
      <c r="F10" s="821"/>
    </row>
    <row r="11" spans="1:7" ht="11.25" customHeight="1">
      <c r="E11" s="821"/>
      <c r="F11" s="822" t="s">
        <v>15</v>
      </c>
    </row>
    <row r="12" spans="1:7" s="563" customFormat="1" ht="15.75" customHeight="1">
      <c r="A12" s="1155" t="s">
        <v>145</v>
      </c>
      <c r="B12" s="1155" t="s">
        <v>855</v>
      </c>
      <c r="C12" s="1157" t="s">
        <v>470</v>
      </c>
      <c r="D12" s="1158"/>
      <c r="E12" s="1159" t="s">
        <v>1221</v>
      </c>
      <c r="F12" s="1161" t="s">
        <v>1201</v>
      </c>
      <c r="G12" s="823"/>
    </row>
    <row r="13" spans="1:7" s="563" customFormat="1" ht="38.25" customHeight="1">
      <c r="A13" s="1156"/>
      <c r="B13" s="1156"/>
      <c r="C13" s="824" t="s">
        <v>1222</v>
      </c>
      <c r="D13" s="824" t="s">
        <v>1203</v>
      </c>
      <c r="E13" s="1160"/>
      <c r="F13" s="1162"/>
      <c r="G13" s="823"/>
    </row>
    <row r="14" spans="1:7" s="589" customFormat="1" ht="11.25">
      <c r="A14" s="825">
        <v>1</v>
      </c>
      <c r="B14" s="825">
        <v>2</v>
      </c>
      <c r="C14" s="826">
        <v>3</v>
      </c>
      <c r="D14" s="826">
        <v>4</v>
      </c>
      <c r="E14" s="827">
        <v>5</v>
      </c>
      <c r="F14" s="826">
        <v>6</v>
      </c>
      <c r="G14" s="828"/>
    </row>
    <row r="15" spans="1:7" s="830" customFormat="1" ht="22.5" customHeight="1">
      <c r="A15" s="1150" t="s">
        <v>416</v>
      </c>
      <c r="B15" s="1151"/>
      <c r="C15" s="1151"/>
      <c r="D15" s="1152"/>
      <c r="E15" s="829">
        <f>E17+E18+E19+E20+E21+E22+E23+E24+E25+E26+E27+E28+E29+E30+E31+E32+E33</f>
        <v>26407077</v>
      </c>
      <c r="F15" s="829">
        <f>F17+F18+F19+F20+F21+F22+F23+F24+F25+F26+F27+F28+F29+F30+F31+F32+F33</f>
        <v>130396380</v>
      </c>
    </row>
    <row r="16" spans="1:7" s="830" customFormat="1" ht="9" customHeight="1">
      <c r="A16" s="1150"/>
      <c r="B16" s="1151"/>
      <c r="C16" s="1151"/>
      <c r="D16" s="1151"/>
      <c r="E16" s="1151"/>
      <c r="F16" s="1152"/>
    </row>
    <row r="17" spans="1:7" s="853" customFormat="1" ht="54.95" customHeight="1">
      <c r="A17" s="846">
        <v>600</v>
      </c>
      <c r="B17" s="847">
        <v>60013</v>
      </c>
      <c r="C17" s="848" t="s">
        <v>1223</v>
      </c>
      <c r="D17" s="849" t="s">
        <v>1224</v>
      </c>
      <c r="E17" s="850">
        <v>119190</v>
      </c>
      <c r="F17" s="851">
        <v>300000</v>
      </c>
      <c r="G17" s="852"/>
    </row>
    <row r="18" spans="1:7" s="853" customFormat="1" ht="41.1" customHeight="1">
      <c r="A18" s="854"/>
      <c r="B18" s="847"/>
      <c r="C18" s="848" t="s">
        <v>1225</v>
      </c>
      <c r="D18" s="849" t="s">
        <v>941</v>
      </c>
      <c r="E18" s="850">
        <v>1000000</v>
      </c>
      <c r="F18" s="851">
        <v>1000000</v>
      </c>
      <c r="G18" s="852"/>
    </row>
    <row r="19" spans="1:7" s="853" customFormat="1" ht="41.1" customHeight="1">
      <c r="A19" s="854"/>
      <c r="B19" s="847"/>
      <c r="C19" s="848" t="s">
        <v>1226</v>
      </c>
      <c r="D19" s="849" t="s">
        <v>1227</v>
      </c>
      <c r="E19" s="850">
        <v>1000000</v>
      </c>
      <c r="F19" s="851">
        <v>6538750</v>
      </c>
      <c r="G19" s="852"/>
    </row>
    <row r="20" spans="1:7" s="853" customFormat="1" ht="68.099999999999994" customHeight="1">
      <c r="A20" s="854"/>
      <c r="B20" s="854"/>
      <c r="C20" s="848" t="s">
        <v>1228</v>
      </c>
      <c r="D20" s="849" t="s">
        <v>1229</v>
      </c>
      <c r="E20" s="850">
        <v>556132</v>
      </c>
      <c r="F20" s="851">
        <v>3124632</v>
      </c>
      <c r="G20" s="852"/>
    </row>
    <row r="21" spans="1:7" s="853" customFormat="1" ht="68.099999999999994" customHeight="1">
      <c r="A21" s="854"/>
      <c r="B21" s="854"/>
      <c r="C21" s="848" t="s">
        <v>1228</v>
      </c>
      <c r="D21" s="849" t="s">
        <v>1230</v>
      </c>
      <c r="E21" s="850">
        <v>536037</v>
      </c>
      <c r="F21" s="851">
        <v>3000000</v>
      </c>
      <c r="G21" s="852"/>
    </row>
    <row r="22" spans="1:7" s="853" customFormat="1" ht="84.75" customHeight="1">
      <c r="A22" s="854"/>
      <c r="B22" s="854"/>
      <c r="C22" s="848" t="s">
        <v>1228</v>
      </c>
      <c r="D22" s="849" t="s">
        <v>1231</v>
      </c>
      <c r="E22" s="850">
        <v>2732745</v>
      </c>
      <c r="F22" s="851">
        <v>6383829</v>
      </c>
      <c r="G22" s="852"/>
    </row>
    <row r="23" spans="1:7" s="853" customFormat="1" ht="41.1" customHeight="1">
      <c r="A23" s="854"/>
      <c r="B23" s="854"/>
      <c r="C23" s="848" t="s">
        <v>1228</v>
      </c>
      <c r="D23" s="849" t="s">
        <v>1232</v>
      </c>
      <c r="E23" s="850">
        <v>213954</v>
      </c>
      <c r="F23" s="851">
        <v>3183926</v>
      </c>
      <c r="G23" s="852"/>
    </row>
    <row r="24" spans="1:7" s="853" customFormat="1" ht="41.1" customHeight="1">
      <c r="A24" s="854"/>
      <c r="B24" s="854"/>
      <c r="C24" s="848" t="s">
        <v>1233</v>
      </c>
      <c r="D24" s="849" t="s">
        <v>1234</v>
      </c>
      <c r="E24" s="850">
        <v>1191654</v>
      </c>
      <c r="F24" s="851">
        <v>27994482</v>
      </c>
      <c r="G24" s="852"/>
    </row>
    <row r="25" spans="1:7" s="638" customFormat="1" ht="30" customHeight="1">
      <c r="A25" s="839" t="s">
        <v>85</v>
      </c>
      <c r="B25" s="839" t="s">
        <v>434</v>
      </c>
      <c r="C25" s="848" t="s">
        <v>1228</v>
      </c>
      <c r="D25" s="833" t="s">
        <v>1235</v>
      </c>
      <c r="E25" s="834">
        <v>60435</v>
      </c>
      <c r="F25" s="835">
        <v>17102329</v>
      </c>
      <c r="G25" s="836"/>
    </row>
    <row r="26" spans="1:7" s="638" customFormat="1" ht="41.1" customHeight="1">
      <c r="A26" s="831" t="s">
        <v>29</v>
      </c>
      <c r="B26" s="831" t="s">
        <v>440</v>
      </c>
      <c r="C26" s="832" t="s">
        <v>1233</v>
      </c>
      <c r="D26" s="833" t="s">
        <v>1236</v>
      </c>
      <c r="E26" s="834">
        <v>637746</v>
      </c>
      <c r="F26" s="835">
        <v>7030270</v>
      </c>
      <c r="G26" s="836"/>
    </row>
    <row r="27" spans="1:7" s="638" customFormat="1" ht="30" customHeight="1">
      <c r="A27" s="838"/>
      <c r="B27" s="838"/>
      <c r="C27" s="832" t="s">
        <v>1233</v>
      </c>
      <c r="D27" s="833" t="s">
        <v>1237</v>
      </c>
      <c r="E27" s="834">
        <v>260695</v>
      </c>
      <c r="F27" s="835">
        <v>2715839</v>
      </c>
      <c r="G27" s="836"/>
    </row>
    <row r="28" spans="1:7" s="638" customFormat="1" ht="41.1" customHeight="1">
      <c r="A28" s="839" t="s">
        <v>33</v>
      </c>
      <c r="B28" s="839" t="s">
        <v>457</v>
      </c>
      <c r="C28" s="832" t="s">
        <v>1228</v>
      </c>
      <c r="D28" s="833" t="s">
        <v>1238</v>
      </c>
      <c r="E28" s="834">
        <v>850000</v>
      </c>
      <c r="F28" s="835">
        <v>850000</v>
      </c>
      <c r="G28" s="836"/>
    </row>
    <row r="29" spans="1:7" s="638" customFormat="1" ht="30" customHeight="1">
      <c r="A29" s="839" t="s">
        <v>146</v>
      </c>
      <c r="B29" s="839" t="s">
        <v>1090</v>
      </c>
      <c r="C29" s="832" t="s">
        <v>1228</v>
      </c>
      <c r="D29" s="833" t="s">
        <v>1239</v>
      </c>
      <c r="E29" s="834">
        <v>78000</v>
      </c>
      <c r="F29" s="835">
        <v>360000</v>
      </c>
      <c r="G29" s="836"/>
    </row>
    <row r="30" spans="1:7" s="638" customFormat="1" ht="18" customHeight="1">
      <c r="A30" s="837" t="s">
        <v>40</v>
      </c>
      <c r="B30" s="839" t="s">
        <v>899</v>
      </c>
      <c r="C30" s="832" t="s">
        <v>1240</v>
      </c>
      <c r="D30" s="833" t="s">
        <v>965</v>
      </c>
      <c r="E30" s="834">
        <v>13397376</v>
      </c>
      <c r="F30" s="835">
        <v>26794752</v>
      </c>
      <c r="G30" s="836"/>
    </row>
    <row r="31" spans="1:7" s="638" customFormat="1" ht="30" customHeight="1">
      <c r="A31" s="838"/>
      <c r="B31" s="839" t="s">
        <v>905</v>
      </c>
      <c r="C31" s="832" t="s">
        <v>1241</v>
      </c>
      <c r="D31" s="833" t="s">
        <v>1242</v>
      </c>
      <c r="E31" s="834">
        <v>73113</v>
      </c>
      <c r="F31" s="835">
        <v>980521</v>
      </c>
      <c r="G31" s="836"/>
    </row>
    <row r="32" spans="1:7" s="638" customFormat="1" ht="30" customHeight="1">
      <c r="A32" s="831"/>
      <c r="B32" s="831" t="s">
        <v>908</v>
      </c>
      <c r="C32" s="832" t="s">
        <v>1240</v>
      </c>
      <c r="D32" s="833" t="s">
        <v>1243</v>
      </c>
      <c r="E32" s="834">
        <v>2300000</v>
      </c>
      <c r="F32" s="835">
        <v>12353695</v>
      </c>
      <c r="G32" s="836"/>
    </row>
    <row r="33" spans="1:13" s="638" customFormat="1" ht="30" customHeight="1">
      <c r="A33" s="838"/>
      <c r="B33" s="838"/>
      <c r="C33" s="832" t="s">
        <v>1244</v>
      </c>
      <c r="D33" s="833" t="s">
        <v>1245</v>
      </c>
      <c r="E33" s="834">
        <v>1400000</v>
      </c>
      <c r="F33" s="835">
        <v>10683355</v>
      </c>
      <c r="G33" s="836"/>
    </row>
    <row r="34" spans="1:13" ht="15">
      <c r="A34" s="656" t="s">
        <v>1140</v>
      </c>
      <c r="B34" s="657"/>
      <c r="C34" s="658"/>
      <c r="D34" s="657"/>
      <c r="E34" s="658"/>
      <c r="G34" s="658"/>
      <c r="H34" s="660"/>
      <c r="I34" s="660"/>
      <c r="J34" s="660"/>
      <c r="K34" s="660"/>
      <c r="L34" s="660"/>
      <c r="M34" s="660"/>
    </row>
    <row r="35" spans="1:13" s="553" customFormat="1" ht="20.25" customHeight="1">
      <c r="A35" s="662" t="s">
        <v>1246</v>
      </c>
      <c r="B35" s="663"/>
      <c r="C35" s="562"/>
      <c r="D35" s="663"/>
      <c r="E35" s="562"/>
      <c r="F35" s="559"/>
      <c r="G35" s="562"/>
      <c r="H35" s="855"/>
      <c r="I35" s="855"/>
      <c r="J35" s="855"/>
      <c r="K35" s="855"/>
      <c r="L35" s="855"/>
      <c r="M35" s="855"/>
    </row>
    <row r="36" spans="1:13" ht="24.75" customHeight="1"/>
    <row r="37" spans="1:13" s="841" customFormat="1" ht="21" customHeight="1">
      <c r="A37" s="664"/>
      <c r="B37" s="664"/>
      <c r="C37" s="659"/>
      <c r="D37" s="659"/>
      <c r="E37" s="660"/>
      <c r="F37" s="658"/>
      <c r="G37" s="658"/>
    </row>
    <row r="39" spans="1:13" ht="9" customHeight="1"/>
    <row r="40" spans="1:13" s="616" customFormat="1" ht="35.25" customHeight="1">
      <c r="A40" s="664"/>
      <c r="B40" s="664"/>
      <c r="C40" s="659"/>
      <c r="D40" s="659"/>
      <c r="E40" s="660"/>
    </row>
    <row r="41" spans="1:13" s="840" customFormat="1" ht="22.5" customHeight="1">
      <c r="A41" s="664"/>
      <c r="B41" s="664"/>
      <c r="C41" s="659"/>
      <c r="D41" s="659"/>
      <c r="E41" s="660"/>
      <c r="F41" s="562"/>
      <c r="G41" s="562"/>
    </row>
    <row r="42" spans="1:13" ht="41.25" customHeight="1"/>
    <row r="43" spans="1:13" s="616" customFormat="1" ht="21.75" customHeight="1">
      <c r="A43" s="664"/>
      <c r="B43" s="664"/>
      <c r="C43" s="659"/>
      <c r="D43" s="659"/>
      <c r="E43" s="660"/>
    </row>
    <row r="44" spans="1:13" ht="21.75" customHeight="1">
      <c r="F44" s="661"/>
      <c r="G44" s="661"/>
    </row>
    <row r="45" spans="1:13" ht="24.75" customHeight="1">
      <c r="F45" s="661"/>
      <c r="G45" s="661"/>
    </row>
    <row r="46" spans="1:13" ht="12" customHeight="1">
      <c r="F46" s="661"/>
      <c r="G46" s="661"/>
    </row>
    <row r="47" spans="1:13" s="843" customFormat="1" ht="30.75" customHeight="1">
      <c r="A47" s="664"/>
      <c r="B47" s="664"/>
      <c r="C47" s="659"/>
      <c r="D47" s="659"/>
      <c r="E47" s="660"/>
    </row>
    <row r="48" spans="1:13" s="616" customFormat="1" ht="21.75" customHeight="1">
      <c r="A48" s="664"/>
      <c r="B48" s="664"/>
      <c r="C48" s="659"/>
      <c r="D48" s="659"/>
      <c r="E48" s="660"/>
    </row>
    <row r="49" spans="1:7" s="844" customFormat="1" ht="21.75" customHeight="1">
      <c r="A49" s="664"/>
      <c r="B49" s="664"/>
      <c r="C49" s="659"/>
      <c r="D49" s="659"/>
      <c r="E49" s="660"/>
    </row>
    <row r="50" spans="1:7" s="844" customFormat="1" ht="21.75" customHeight="1">
      <c r="A50" s="664"/>
      <c r="B50" s="664"/>
      <c r="C50" s="659"/>
      <c r="D50" s="659"/>
      <c r="E50" s="660"/>
    </row>
    <row r="52" spans="1:7" s="563" customFormat="1" ht="24" customHeight="1">
      <c r="A52" s="664"/>
      <c r="B52" s="664"/>
      <c r="C52" s="659"/>
      <c r="D52" s="659"/>
      <c r="E52" s="660"/>
      <c r="F52" s="823"/>
      <c r="G52" s="823"/>
    </row>
    <row r="53" spans="1:7" s="563" customFormat="1" ht="24" customHeight="1">
      <c r="A53" s="664"/>
      <c r="B53" s="664"/>
      <c r="C53" s="659"/>
      <c r="D53" s="659"/>
      <c r="E53" s="660"/>
      <c r="F53" s="823"/>
      <c r="G53" s="823"/>
    </row>
    <row r="54" spans="1:7" s="553" customFormat="1" ht="24" customHeight="1">
      <c r="A54" s="664"/>
      <c r="B54" s="664"/>
      <c r="C54" s="659"/>
      <c r="D54" s="659"/>
      <c r="E54" s="660"/>
      <c r="F54" s="559"/>
      <c r="G54" s="559"/>
    </row>
    <row r="55" spans="1:7" s="553" customFormat="1" ht="24" customHeight="1">
      <c r="A55" s="664"/>
      <c r="B55" s="664"/>
      <c r="C55" s="659"/>
      <c r="D55" s="659"/>
      <c r="E55" s="660"/>
      <c r="F55" s="559"/>
      <c r="G55" s="559"/>
    </row>
    <row r="56" spans="1:7" s="563" customFormat="1" ht="21" customHeight="1">
      <c r="A56" s="664"/>
      <c r="B56" s="664"/>
      <c r="C56" s="659"/>
      <c r="D56" s="659"/>
      <c r="E56" s="660"/>
      <c r="F56" s="823"/>
      <c r="G56" s="823"/>
    </row>
    <row r="57" spans="1:7" ht="19.5" customHeight="1"/>
    <row r="58" spans="1:7" ht="21.75" customHeight="1"/>
  </sheetData>
  <sheetProtection algorithmName="SHA-512" hashValue="G93/JG8TqQDyDmGSZhxflinoplFUdEM47MMj435DvT0EWPTA86pA52knzFULsW/VvudZHywjgFxjpwDv2GTXHw==" saltValue="P4pkRgfdHc8C6BeI/mq4JA==" spinCount="100000" sheet="1" objects="1" scenarios="1"/>
  <mergeCells count="12">
    <mergeCell ref="A15:D15"/>
    <mergeCell ref="A16:F16"/>
    <mergeCell ref="E2:F2"/>
    <mergeCell ref="E3:F3"/>
    <mergeCell ref="A6:F6"/>
    <mergeCell ref="A7:F7"/>
    <mergeCell ref="A8:F8"/>
    <mergeCell ref="A12:A13"/>
    <mergeCell ref="B12:B13"/>
    <mergeCell ref="C12:D12"/>
    <mergeCell ref="E12:E13"/>
    <mergeCell ref="F12:F13"/>
  </mergeCells>
  <printOptions horizontalCentered="1"/>
  <pageMargins left="0.70866141732283472" right="0.70866141732283472" top="0.98425196850393704" bottom="0.74803149606299213" header="0" footer="0.19685039370078741"/>
  <pageSetup paperSize="9"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9"/>
  <sheetViews>
    <sheetView tabSelected="1" view="pageBreakPreview" topLeftCell="A7" zoomScaleNormal="100" zoomScaleSheetLayoutView="100" workbookViewId="0">
      <selection activeCell="F16" sqref="F16"/>
    </sheetView>
  </sheetViews>
  <sheetFormatPr defaultRowHeight="12.75"/>
  <cols>
    <col min="1" max="1" width="3.875" style="897" customWidth="1"/>
    <col min="2" max="2" width="53.5" style="898" customWidth="1"/>
    <col min="3" max="3" width="7.125" style="899" customWidth="1"/>
    <col min="4" max="4" width="12" style="899" customWidth="1"/>
    <col min="5" max="6" width="10.25" style="900" customWidth="1"/>
    <col min="7" max="7" width="12" style="866" customWidth="1"/>
    <col min="8" max="256" width="9" style="866"/>
    <col min="257" max="257" width="3.875" style="866" customWidth="1"/>
    <col min="258" max="258" width="53.5" style="866" customWidth="1"/>
    <col min="259" max="259" width="7.125" style="866" customWidth="1"/>
    <col min="260" max="260" width="12" style="866" customWidth="1"/>
    <col min="261" max="262" width="10.25" style="866" customWidth="1"/>
    <col min="263" max="263" width="12" style="866" customWidth="1"/>
    <col min="264" max="512" width="9" style="866"/>
    <col min="513" max="513" width="3.875" style="866" customWidth="1"/>
    <col min="514" max="514" width="53.5" style="866" customWidth="1"/>
    <col min="515" max="515" width="7.125" style="866" customWidth="1"/>
    <col min="516" max="516" width="12" style="866" customWidth="1"/>
    <col min="517" max="518" width="10.25" style="866" customWidth="1"/>
    <col min="519" max="519" width="12" style="866" customWidth="1"/>
    <col min="520" max="768" width="9" style="866"/>
    <col min="769" max="769" width="3.875" style="866" customWidth="1"/>
    <col min="770" max="770" width="53.5" style="866" customWidth="1"/>
    <col min="771" max="771" width="7.125" style="866" customWidth="1"/>
    <col min="772" max="772" width="12" style="866" customWidth="1"/>
    <col min="773" max="774" width="10.25" style="866" customWidth="1"/>
    <col min="775" max="775" width="12" style="866" customWidth="1"/>
    <col min="776" max="1024" width="9" style="866"/>
    <col min="1025" max="1025" width="3.875" style="866" customWidth="1"/>
    <col min="1026" max="1026" width="53.5" style="866" customWidth="1"/>
    <col min="1027" max="1027" width="7.125" style="866" customWidth="1"/>
    <col min="1028" max="1028" width="12" style="866" customWidth="1"/>
    <col min="1029" max="1030" width="10.25" style="866" customWidth="1"/>
    <col min="1031" max="1031" width="12" style="866" customWidth="1"/>
    <col min="1032" max="1280" width="9" style="866"/>
    <col min="1281" max="1281" width="3.875" style="866" customWidth="1"/>
    <col min="1282" max="1282" width="53.5" style="866" customWidth="1"/>
    <col min="1283" max="1283" width="7.125" style="866" customWidth="1"/>
    <col min="1284" max="1284" width="12" style="866" customWidth="1"/>
    <col min="1285" max="1286" width="10.25" style="866" customWidth="1"/>
    <col min="1287" max="1287" width="12" style="866" customWidth="1"/>
    <col min="1288" max="1536" width="9" style="866"/>
    <col min="1537" max="1537" width="3.875" style="866" customWidth="1"/>
    <col min="1538" max="1538" width="53.5" style="866" customWidth="1"/>
    <col min="1539" max="1539" width="7.125" style="866" customWidth="1"/>
    <col min="1540" max="1540" width="12" style="866" customWidth="1"/>
    <col min="1541" max="1542" width="10.25" style="866" customWidth="1"/>
    <col min="1543" max="1543" width="12" style="866" customWidth="1"/>
    <col min="1544" max="1792" width="9" style="866"/>
    <col min="1793" max="1793" width="3.875" style="866" customWidth="1"/>
    <col min="1794" max="1794" width="53.5" style="866" customWidth="1"/>
    <col min="1795" max="1795" width="7.125" style="866" customWidth="1"/>
    <col min="1796" max="1796" width="12" style="866" customWidth="1"/>
    <col min="1797" max="1798" width="10.25" style="866" customWidth="1"/>
    <col min="1799" max="1799" width="12" style="866" customWidth="1"/>
    <col min="1800" max="2048" width="9" style="866"/>
    <col min="2049" max="2049" width="3.875" style="866" customWidth="1"/>
    <col min="2050" max="2050" width="53.5" style="866" customWidth="1"/>
    <col min="2051" max="2051" width="7.125" style="866" customWidth="1"/>
    <col min="2052" max="2052" width="12" style="866" customWidth="1"/>
    <col min="2053" max="2054" width="10.25" style="866" customWidth="1"/>
    <col min="2055" max="2055" width="12" style="866" customWidth="1"/>
    <col min="2056" max="2304" width="9" style="866"/>
    <col min="2305" max="2305" width="3.875" style="866" customWidth="1"/>
    <col min="2306" max="2306" width="53.5" style="866" customWidth="1"/>
    <col min="2307" max="2307" width="7.125" style="866" customWidth="1"/>
    <col min="2308" max="2308" width="12" style="866" customWidth="1"/>
    <col min="2309" max="2310" width="10.25" style="866" customWidth="1"/>
    <col min="2311" max="2311" width="12" style="866" customWidth="1"/>
    <col min="2312" max="2560" width="9" style="866"/>
    <col min="2561" max="2561" width="3.875" style="866" customWidth="1"/>
    <col min="2562" max="2562" width="53.5" style="866" customWidth="1"/>
    <col min="2563" max="2563" width="7.125" style="866" customWidth="1"/>
    <col min="2564" max="2564" width="12" style="866" customWidth="1"/>
    <col min="2565" max="2566" width="10.25" style="866" customWidth="1"/>
    <col min="2567" max="2567" width="12" style="866" customWidth="1"/>
    <col min="2568" max="2816" width="9" style="866"/>
    <col min="2817" max="2817" width="3.875" style="866" customWidth="1"/>
    <col min="2818" max="2818" width="53.5" style="866" customWidth="1"/>
    <col min="2819" max="2819" width="7.125" style="866" customWidth="1"/>
    <col min="2820" max="2820" width="12" style="866" customWidth="1"/>
    <col min="2821" max="2822" width="10.25" style="866" customWidth="1"/>
    <col min="2823" max="2823" width="12" style="866" customWidth="1"/>
    <col min="2824" max="3072" width="9" style="866"/>
    <col min="3073" max="3073" width="3.875" style="866" customWidth="1"/>
    <col min="3074" max="3074" width="53.5" style="866" customWidth="1"/>
    <col min="3075" max="3075" width="7.125" style="866" customWidth="1"/>
    <col min="3076" max="3076" width="12" style="866" customWidth="1"/>
    <col min="3077" max="3078" width="10.25" style="866" customWidth="1"/>
    <col min="3079" max="3079" width="12" style="866" customWidth="1"/>
    <col min="3080" max="3328" width="9" style="866"/>
    <col min="3329" max="3329" width="3.875" style="866" customWidth="1"/>
    <col min="3330" max="3330" width="53.5" style="866" customWidth="1"/>
    <col min="3331" max="3331" width="7.125" style="866" customWidth="1"/>
    <col min="3332" max="3332" width="12" style="866" customWidth="1"/>
    <col min="3333" max="3334" width="10.25" style="866" customWidth="1"/>
    <col min="3335" max="3335" width="12" style="866" customWidth="1"/>
    <col min="3336" max="3584" width="9" style="866"/>
    <col min="3585" max="3585" width="3.875" style="866" customWidth="1"/>
    <col min="3586" max="3586" width="53.5" style="866" customWidth="1"/>
    <col min="3587" max="3587" width="7.125" style="866" customWidth="1"/>
    <col min="3588" max="3588" width="12" style="866" customWidth="1"/>
    <col min="3589" max="3590" width="10.25" style="866" customWidth="1"/>
    <col min="3591" max="3591" width="12" style="866" customWidth="1"/>
    <col min="3592" max="3840" width="9" style="866"/>
    <col min="3841" max="3841" width="3.875" style="866" customWidth="1"/>
    <col min="3842" max="3842" width="53.5" style="866" customWidth="1"/>
    <col min="3843" max="3843" width="7.125" style="866" customWidth="1"/>
    <col min="3844" max="3844" width="12" style="866" customWidth="1"/>
    <col min="3845" max="3846" width="10.25" style="866" customWidth="1"/>
    <col min="3847" max="3847" width="12" style="866" customWidth="1"/>
    <col min="3848" max="4096" width="9" style="866"/>
    <col min="4097" max="4097" width="3.875" style="866" customWidth="1"/>
    <col min="4098" max="4098" width="53.5" style="866" customWidth="1"/>
    <col min="4099" max="4099" width="7.125" style="866" customWidth="1"/>
    <col min="4100" max="4100" width="12" style="866" customWidth="1"/>
    <col min="4101" max="4102" width="10.25" style="866" customWidth="1"/>
    <col min="4103" max="4103" width="12" style="866" customWidth="1"/>
    <col min="4104" max="4352" width="9" style="866"/>
    <col min="4353" max="4353" width="3.875" style="866" customWidth="1"/>
    <col min="4354" max="4354" width="53.5" style="866" customWidth="1"/>
    <col min="4355" max="4355" width="7.125" style="866" customWidth="1"/>
    <col min="4356" max="4356" width="12" style="866" customWidth="1"/>
    <col min="4357" max="4358" width="10.25" style="866" customWidth="1"/>
    <col min="4359" max="4359" width="12" style="866" customWidth="1"/>
    <col min="4360" max="4608" width="9" style="866"/>
    <col min="4609" max="4609" width="3.875" style="866" customWidth="1"/>
    <col min="4610" max="4610" width="53.5" style="866" customWidth="1"/>
    <col min="4611" max="4611" width="7.125" style="866" customWidth="1"/>
    <col min="4612" max="4612" width="12" style="866" customWidth="1"/>
    <col min="4613" max="4614" width="10.25" style="866" customWidth="1"/>
    <col min="4615" max="4615" width="12" style="866" customWidth="1"/>
    <col min="4616" max="4864" width="9" style="866"/>
    <col min="4865" max="4865" width="3.875" style="866" customWidth="1"/>
    <col min="4866" max="4866" width="53.5" style="866" customWidth="1"/>
    <col min="4867" max="4867" width="7.125" style="866" customWidth="1"/>
    <col min="4868" max="4868" width="12" style="866" customWidth="1"/>
    <col min="4869" max="4870" width="10.25" style="866" customWidth="1"/>
    <col min="4871" max="4871" width="12" style="866" customWidth="1"/>
    <col min="4872" max="5120" width="9" style="866"/>
    <col min="5121" max="5121" width="3.875" style="866" customWidth="1"/>
    <col min="5122" max="5122" width="53.5" style="866" customWidth="1"/>
    <col min="5123" max="5123" width="7.125" style="866" customWidth="1"/>
    <col min="5124" max="5124" width="12" style="866" customWidth="1"/>
    <col min="5125" max="5126" width="10.25" style="866" customWidth="1"/>
    <col min="5127" max="5127" width="12" style="866" customWidth="1"/>
    <col min="5128" max="5376" width="9" style="866"/>
    <col min="5377" max="5377" width="3.875" style="866" customWidth="1"/>
    <col min="5378" max="5378" width="53.5" style="866" customWidth="1"/>
    <col min="5379" max="5379" width="7.125" style="866" customWidth="1"/>
    <col min="5380" max="5380" width="12" style="866" customWidth="1"/>
    <col min="5381" max="5382" width="10.25" style="866" customWidth="1"/>
    <col min="5383" max="5383" width="12" style="866" customWidth="1"/>
    <col min="5384" max="5632" width="9" style="866"/>
    <col min="5633" max="5633" width="3.875" style="866" customWidth="1"/>
    <col min="5634" max="5634" width="53.5" style="866" customWidth="1"/>
    <col min="5635" max="5635" width="7.125" style="866" customWidth="1"/>
    <col min="5636" max="5636" width="12" style="866" customWidth="1"/>
    <col min="5637" max="5638" width="10.25" style="866" customWidth="1"/>
    <col min="5639" max="5639" width="12" style="866" customWidth="1"/>
    <col min="5640" max="5888" width="9" style="866"/>
    <col min="5889" max="5889" width="3.875" style="866" customWidth="1"/>
    <col min="5890" max="5890" width="53.5" style="866" customWidth="1"/>
    <col min="5891" max="5891" width="7.125" style="866" customWidth="1"/>
    <col min="5892" max="5892" width="12" style="866" customWidth="1"/>
    <col min="5893" max="5894" width="10.25" style="866" customWidth="1"/>
    <col min="5895" max="5895" width="12" style="866" customWidth="1"/>
    <col min="5896" max="6144" width="9" style="866"/>
    <col min="6145" max="6145" width="3.875" style="866" customWidth="1"/>
    <col min="6146" max="6146" width="53.5" style="866" customWidth="1"/>
    <col min="6147" max="6147" width="7.125" style="866" customWidth="1"/>
    <col min="6148" max="6148" width="12" style="866" customWidth="1"/>
    <col min="6149" max="6150" width="10.25" style="866" customWidth="1"/>
    <col min="6151" max="6151" width="12" style="866" customWidth="1"/>
    <col min="6152" max="6400" width="9" style="866"/>
    <col min="6401" max="6401" width="3.875" style="866" customWidth="1"/>
    <col min="6402" max="6402" width="53.5" style="866" customWidth="1"/>
    <col min="6403" max="6403" width="7.125" style="866" customWidth="1"/>
    <col min="6404" max="6404" width="12" style="866" customWidth="1"/>
    <col min="6405" max="6406" width="10.25" style="866" customWidth="1"/>
    <col min="6407" max="6407" width="12" style="866" customWidth="1"/>
    <col min="6408" max="6656" width="9" style="866"/>
    <col min="6657" max="6657" width="3.875" style="866" customWidth="1"/>
    <col min="6658" max="6658" width="53.5" style="866" customWidth="1"/>
    <col min="6659" max="6659" width="7.125" style="866" customWidth="1"/>
    <col min="6660" max="6660" width="12" style="866" customWidth="1"/>
    <col min="6661" max="6662" width="10.25" style="866" customWidth="1"/>
    <col min="6663" max="6663" width="12" style="866" customWidth="1"/>
    <col min="6664" max="6912" width="9" style="866"/>
    <col min="6913" max="6913" width="3.875" style="866" customWidth="1"/>
    <col min="6914" max="6914" width="53.5" style="866" customWidth="1"/>
    <col min="6915" max="6915" width="7.125" style="866" customWidth="1"/>
    <col min="6916" max="6916" width="12" style="866" customWidth="1"/>
    <col min="6917" max="6918" width="10.25" style="866" customWidth="1"/>
    <col min="6919" max="6919" width="12" style="866" customWidth="1"/>
    <col min="6920" max="7168" width="9" style="866"/>
    <col min="7169" max="7169" width="3.875" style="866" customWidth="1"/>
    <col min="7170" max="7170" width="53.5" style="866" customWidth="1"/>
    <col min="7171" max="7171" width="7.125" style="866" customWidth="1"/>
    <col min="7172" max="7172" width="12" style="866" customWidth="1"/>
    <col min="7173" max="7174" width="10.25" style="866" customWidth="1"/>
    <col min="7175" max="7175" width="12" style="866" customWidth="1"/>
    <col min="7176" max="7424" width="9" style="866"/>
    <col min="7425" max="7425" width="3.875" style="866" customWidth="1"/>
    <col min="7426" max="7426" width="53.5" style="866" customWidth="1"/>
    <col min="7427" max="7427" width="7.125" style="866" customWidth="1"/>
    <col min="7428" max="7428" width="12" style="866" customWidth="1"/>
    <col min="7429" max="7430" width="10.25" style="866" customWidth="1"/>
    <col min="7431" max="7431" width="12" style="866" customWidth="1"/>
    <col min="7432" max="7680" width="9" style="866"/>
    <col min="7681" max="7681" width="3.875" style="866" customWidth="1"/>
    <col min="7682" max="7682" width="53.5" style="866" customWidth="1"/>
    <col min="7683" max="7683" width="7.125" style="866" customWidth="1"/>
    <col min="7684" max="7684" width="12" style="866" customWidth="1"/>
    <col min="7685" max="7686" width="10.25" style="866" customWidth="1"/>
    <col min="7687" max="7687" width="12" style="866" customWidth="1"/>
    <col min="7688" max="7936" width="9" style="866"/>
    <col min="7937" max="7937" width="3.875" style="866" customWidth="1"/>
    <col min="7938" max="7938" width="53.5" style="866" customWidth="1"/>
    <col min="7939" max="7939" width="7.125" style="866" customWidth="1"/>
    <col min="7940" max="7940" width="12" style="866" customWidth="1"/>
    <col min="7941" max="7942" width="10.25" style="866" customWidth="1"/>
    <col min="7943" max="7943" width="12" style="866" customWidth="1"/>
    <col min="7944" max="8192" width="9" style="866"/>
    <col min="8193" max="8193" width="3.875" style="866" customWidth="1"/>
    <col min="8194" max="8194" width="53.5" style="866" customWidth="1"/>
    <col min="8195" max="8195" width="7.125" style="866" customWidth="1"/>
    <col min="8196" max="8196" width="12" style="866" customWidth="1"/>
    <col min="8197" max="8198" width="10.25" style="866" customWidth="1"/>
    <col min="8199" max="8199" width="12" style="866" customWidth="1"/>
    <col min="8200" max="8448" width="9" style="866"/>
    <col min="8449" max="8449" width="3.875" style="866" customWidth="1"/>
    <col min="8450" max="8450" width="53.5" style="866" customWidth="1"/>
    <col min="8451" max="8451" width="7.125" style="866" customWidth="1"/>
    <col min="8452" max="8452" width="12" style="866" customWidth="1"/>
    <col min="8453" max="8454" width="10.25" style="866" customWidth="1"/>
    <col min="8455" max="8455" width="12" style="866" customWidth="1"/>
    <col min="8456" max="8704" width="9" style="866"/>
    <col min="8705" max="8705" width="3.875" style="866" customWidth="1"/>
    <col min="8706" max="8706" width="53.5" style="866" customWidth="1"/>
    <col min="8707" max="8707" width="7.125" style="866" customWidth="1"/>
    <col min="8708" max="8708" width="12" style="866" customWidth="1"/>
    <col min="8709" max="8710" width="10.25" style="866" customWidth="1"/>
    <col min="8711" max="8711" width="12" style="866" customWidth="1"/>
    <col min="8712" max="8960" width="9" style="866"/>
    <col min="8961" max="8961" width="3.875" style="866" customWidth="1"/>
    <col min="8962" max="8962" width="53.5" style="866" customWidth="1"/>
    <col min="8963" max="8963" width="7.125" style="866" customWidth="1"/>
    <col min="8964" max="8964" width="12" style="866" customWidth="1"/>
    <col min="8965" max="8966" width="10.25" style="866" customWidth="1"/>
    <col min="8967" max="8967" width="12" style="866" customWidth="1"/>
    <col min="8968" max="9216" width="9" style="866"/>
    <col min="9217" max="9217" width="3.875" style="866" customWidth="1"/>
    <col min="9218" max="9218" width="53.5" style="866" customWidth="1"/>
    <col min="9219" max="9219" width="7.125" style="866" customWidth="1"/>
    <col min="9220" max="9220" width="12" style="866" customWidth="1"/>
    <col min="9221" max="9222" width="10.25" style="866" customWidth="1"/>
    <col min="9223" max="9223" width="12" style="866" customWidth="1"/>
    <col min="9224" max="9472" width="9" style="866"/>
    <col min="9473" max="9473" width="3.875" style="866" customWidth="1"/>
    <col min="9474" max="9474" width="53.5" style="866" customWidth="1"/>
    <col min="9475" max="9475" width="7.125" style="866" customWidth="1"/>
    <col min="9476" max="9476" width="12" style="866" customWidth="1"/>
    <col min="9477" max="9478" width="10.25" style="866" customWidth="1"/>
    <col min="9479" max="9479" width="12" style="866" customWidth="1"/>
    <col min="9480" max="9728" width="9" style="866"/>
    <col min="9729" max="9729" width="3.875" style="866" customWidth="1"/>
    <col min="9730" max="9730" width="53.5" style="866" customWidth="1"/>
    <col min="9731" max="9731" width="7.125" style="866" customWidth="1"/>
    <col min="9732" max="9732" width="12" style="866" customWidth="1"/>
    <col min="9733" max="9734" width="10.25" style="866" customWidth="1"/>
    <col min="9735" max="9735" width="12" style="866" customWidth="1"/>
    <col min="9736" max="9984" width="9" style="866"/>
    <col min="9985" max="9985" width="3.875" style="866" customWidth="1"/>
    <col min="9986" max="9986" width="53.5" style="866" customWidth="1"/>
    <col min="9987" max="9987" width="7.125" style="866" customWidth="1"/>
    <col min="9988" max="9988" width="12" style="866" customWidth="1"/>
    <col min="9989" max="9990" width="10.25" style="866" customWidth="1"/>
    <col min="9991" max="9991" width="12" style="866" customWidth="1"/>
    <col min="9992" max="10240" width="9" style="866"/>
    <col min="10241" max="10241" width="3.875" style="866" customWidth="1"/>
    <col min="10242" max="10242" width="53.5" style="866" customWidth="1"/>
    <col min="10243" max="10243" width="7.125" style="866" customWidth="1"/>
    <col min="10244" max="10244" width="12" style="866" customWidth="1"/>
    <col min="10245" max="10246" width="10.25" style="866" customWidth="1"/>
    <col min="10247" max="10247" width="12" style="866" customWidth="1"/>
    <col min="10248" max="10496" width="9" style="866"/>
    <col min="10497" max="10497" width="3.875" style="866" customWidth="1"/>
    <col min="10498" max="10498" width="53.5" style="866" customWidth="1"/>
    <col min="10499" max="10499" width="7.125" style="866" customWidth="1"/>
    <col min="10500" max="10500" width="12" style="866" customWidth="1"/>
    <col min="10501" max="10502" width="10.25" style="866" customWidth="1"/>
    <col min="10503" max="10503" width="12" style="866" customWidth="1"/>
    <col min="10504" max="10752" width="9" style="866"/>
    <col min="10753" max="10753" width="3.875" style="866" customWidth="1"/>
    <col min="10754" max="10754" width="53.5" style="866" customWidth="1"/>
    <col min="10755" max="10755" width="7.125" style="866" customWidth="1"/>
    <col min="10756" max="10756" width="12" style="866" customWidth="1"/>
    <col min="10757" max="10758" width="10.25" style="866" customWidth="1"/>
    <col min="10759" max="10759" width="12" style="866" customWidth="1"/>
    <col min="10760" max="11008" width="9" style="866"/>
    <col min="11009" max="11009" width="3.875" style="866" customWidth="1"/>
    <col min="11010" max="11010" width="53.5" style="866" customWidth="1"/>
    <col min="11011" max="11011" width="7.125" style="866" customWidth="1"/>
    <col min="11012" max="11012" width="12" style="866" customWidth="1"/>
    <col min="11013" max="11014" width="10.25" style="866" customWidth="1"/>
    <col min="11015" max="11015" width="12" style="866" customWidth="1"/>
    <col min="11016" max="11264" width="9" style="866"/>
    <col min="11265" max="11265" width="3.875" style="866" customWidth="1"/>
    <col min="11266" max="11266" width="53.5" style="866" customWidth="1"/>
    <col min="11267" max="11267" width="7.125" style="866" customWidth="1"/>
    <col min="11268" max="11268" width="12" style="866" customWidth="1"/>
    <col min="11269" max="11270" width="10.25" style="866" customWidth="1"/>
    <col min="11271" max="11271" width="12" style="866" customWidth="1"/>
    <col min="11272" max="11520" width="9" style="866"/>
    <col min="11521" max="11521" width="3.875" style="866" customWidth="1"/>
    <col min="11522" max="11522" width="53.5" style="866" customWidth="1"/>
    <col min="11523" max="11523" width="7.125" style="866" customWidth="1"/>
    <col min="11524" max="11524" width="12" style="866" customWidth="1"/>
    <col min="11525" max="11526" width="10.25" style="866" customWidth="1"/>
    <col min="11527" max="11527" width="12" style="866" customWidth="1"/>
    <col min="11528" max="11776" width="9" style="866"/>
    <col min="11777" max="11777" width="3.875" style="866" customWidth="1"/>
    <col min="11778" max="11778" width="53.5" style="866" customWidth="1"/>
    <col min="11779" max="11779" width="7.125" style="866" customWidth="1"/>
    <col min="11780" max="11780" width="12" style="866" customWidth="1"/>
    <col min="11781" max="11782" width="10.25" style="866" customWidth="1"/>
    <col min="11783" max="11783" width="12" style="866" customWidth="1"/>
    <col min="11784" max="12032" width="9" style="866"/>
    <col min="12033" max="12033" width="3.875" style="866" customWidth="1"/>
    <col min="12034" max="12034" width="53.5" style="866" customWidth="1"/>
    <col min="12035" max="12035" width="7.125" style="866" customWidth="1"/>
    <col min="12036" max="12036" width="12" style="866" customWidth="1"/>
    <col min="12037" max="12038" width="10.25" style="866" customWidth="1"/>
    <col min="12039" max="12039" width="12" style="866" customWidth="1"/>
    <col min="12040" max="12288" width="9" style="866"/>
    <col min="12289" max="12289" width="3.875" style="866" customWidth="1"/>
    <col min="12290" max="12290" width="53.5" style="866" customWidth="1"/>
    <col min="12291" max="12291" width="7.125" style="866" customWidth="1"/>
    <col min="12292" max="12292" width="12" style="866" customWidth="1"/>
    <col min="12293" max="12294" width="10.25" style="866" customWidth="1"/>
    <col min="12295" max="12295" width="12" style="866" customWidth="1"/>
    <col min="12296" max="12544" width="9" style="866"/>
    <col min="12545" max="12545" width="3.875" style="866" customWidth="1"/>
    <col min="12546" max="12546" width="53.5" style="866" customWidth="1"/>
    <col min="12547" max="12547" width="7.125" style="866" customWidth="1"/>
    <col min="12548" max="12548" width="12" style="866" customWidth="1"/>
    <col min="12549" max="12550" width="10.25" style="866" customWidth="1"/>
    <col min="12551" max="12551" width="12" style="866" customWidth="1"/>
    <col min="12552" max="12800" width="9" style="866"/>
    <col min="12801" max="12801" width="3.875" style="866" customWidth="1"/>
    <col min="12802" max="12802" width="53.5" style="866" customWidth="1"/>
    <col min="12803" max="12803" width="7.125" style="866" customWidth="1"/>
    <col min="12804" max="12804" width="12" style="866" customWidth="1"/>
    <col min="12805" max="12806" width="10.25" style="866" customWidth="1"/>
    <col min="12807" max="12807" width="12" style="866" customWidth="1"/>
    <col min="12808" max="13056" width="9" style="866"/>
    <col min="13057" max="13057" width="3.875" style="866" customWidth="1"/>
    <col min="13058" max="13058" width="53.5" style="866" customWidth="1"/>
    <col min="13059" max="13059" width="7.125" style="866" customWidth="1"/>
    <col min="13060" max="13060" width="12" style="866" customWidth="1"/>
    <col min="13061" max="13062" width="10.25" style="866" customWidth="1"/>
    <col min="13063" max="13063" width="12" style="866" customWidth="1"/>
    <col min="13064" max="13312" width="9" style="866"/>
    <col min="13313" max="13313" width="3.875" style="866" customWidth="1"/>
    <col min="13314" max="13314" width="53.5" style="866" customWidth="1"/>
    <col min="13315" max="13315" width="7.125" style="866" customWidth="1"/>
    <col min="13316" max="13316" width="12" style="866" customWidth="1"/>
    <col min="13317" max="13318" width="10.25" style="866" customWidth="1"/>
    <col min="13319" max="13319" width="12" style="866" customWidth="1"/>
    <col min="13320" max="13568" width="9" style="866"/>
    <col min="13569" max="13569" width="3.875" style="866" customWidth="1"/>
    <col min="13570" max="13570" width="53.5" style="866" customWidth="1"/>
    <col min="13571" max="13571" width="7.125" style="866" customWidth="1"/>
    <col min="13572" max="13572" width="12" style="866" customWidth="1"/>
    <col min="13573" max="13574" width="10.25" style="866" customWidth="1"/>
    <col min="13575" max="13575" width="12" style="866" customWidth="1"/>
    <col min="13576" max="13824" width="9" style="866"/>
    <col min="13825" max="13825" width="3.875" style="866" customWidth="1"/>
    <col min="13826" max="13826" width="53.5" style="866" customWidth="1"/>
    <col min="13827" max="13827" width="7.125" style="866" customWidth="1"/>
    <col min="13828" max="13828" width="12" style="866" customWidth="1"/>
    <col min="13829" max="13830" width="10.25" style="866" customWidth="1"/>
    <col min="13831" max="13831" width="12" style="866" customWidth="1"/>
    <col min="13832" max="14080" width="9" style="866"/>
    <col min="14081" max="14081" width="3.875" style="866" customWidth="1"/>
    <col min="14082" max="14082" width="53.5" style="866" customWidth="1"/>
    <col min="14083" max="14083" width="7.125" style="866" customWidth="1"/>
    <col min="14084" max="14084" width="12" style="866" customWidth="1"/>
    <col min="14085" max="14086" width="10.25" style="866" customWidth="1"/>
    <col min="14087" max="14087" width="12" style="866" customWidth="1"/>
    <col min="14088" max="14336" width="9" style="866"/>
    <col min="14337" max="14337" width="3.875" style="866" customWidth="1"/>
    <col min="14338" max="14338" width="53.5" style="866" customWidth="1"/>
    <col min="14339" max="14339" width="7.125" style="866" customWidth="1"/>
    <col min="14340" max="14340" width="12" style="866" customWidth="1"/>
    <col min="14341" max="14342" width="10.25" style="866" customWidth="1"/>
    <col min="14343" max="14343" width="12" style="866" customWidth="1"/>
    <col min="14344" max="14592" width="9" style="866"/>
    <col min="14593" max="14593" width="3.875" style="866" customWidth="1"/>
    <col min="14594" max="14594" width="53.5" style="866" customWidth="1"/>
    <col min="14595" max="14595" width="7.125" style="866" customWidth="1"/>
    <col min="14596" max="14596" width="12" style="866" customWidth="1"/>
    <col min="14597" max="14598" width="10.25" style="866" customWidth="1"/>
    <col min="14599" max="14599" width="12" style="866" customWidth="1"/>
    <col min="14600" max="14848" width="9" style="866"/>
    <col min="14849" max="14849" width="3.875" style="866" customWidth="1"/>
    <col min="14850" max="14850" width="53.5" style="866" customWidth="1"/>
    <col min="14851" max="14851" width="7.125" style="866" customWidth="1"/>
    <col min="14852" max="14852" width="12" style="866" customWidth="1"/>
    <col min="14853" max="14854" width="10.25" style="866" customWidth="1"/>
    <col min="14855" max="14855" width="12" style="866" customWidth="1"/>
    <col min="14856" max="15104" width="9" style="866"/>
    <col min="15105" max="15105" width="3.875" style="866" customWidth="1"/>
    <col min="15106" max="15106" width="53.5" style="866" customWidth="1"/>
    <col min="15107" max="15107" width="7.125" style="866" customWidth="1"/>
    <col min="15108" max="15108" width="12" style="866" customWidth="1"/>
    <col min="15109" max="15110" width="10.25" style="866" customWidth="1"/>
    <col min="15111" max="15111" width="12" style="866" customWidth="1"/>
    <col min="15112" max="15360" width="9" style="866"/>
    <col min="15361" max="15361" width="3.875" style="866" customWidth="1"/>
    <col min="15362" max="15362" width="53.5" style="866" customWidth="1"/>
    <col min="15363" max="15363" width="7.125" style="866" customWidth="1"/>
    <col min="15364" max="15364" width="12" style="866" customWidth="1"/>
    <col min="15365" max="15366" width="10.25" style="866" customWidth="1"/>
    <col min="15367" max="15367" width="12" style="866" customWidth="1"/>
    <col min="15368" max="15616" width="9" style="866"/>
    <col min="15617" max="15617" width="3.875" style="866" customWidth="1"/>
    <col min="15618" max="15618" width="53.5" style="866" customWidth="1"/>
    <col min="15619" max="15619" width="7.125" style="866" customWidth="1"/>
    <col min="15620" max="15620" width="12" style="866" customWidth="1"/>
    <col min="15621" max="15622" width="10.25" style="866" customWidth="1"/>
    <col min="15623" max="15623" width="12" style="866" customWidth="1"/>
    <col min="15624" max="15872" width="9" style="866"/>
    <col min="15873" max="15873" width="3.875" style="866" customWidth="1"/>
    <col min="15874" max="15874" width="53.5" style="866" customWidth="1"/>
    <col min="15875" max="15875" width="7.125" style="866" customWidth="1"/>
    <col min="15876" max="15876" width="12" style="866" customWidth="1"/>
    <col min="15877" max="15878" width="10.25" style="866" customWidth="1"/>
    <col min="15879" max="15879" width="12" style="866" customWidth="1"/>
    <col min="15880" max="16128" width="9" style="866"/>
    <col min="16129" max="16129" width="3.875" style="866" customWidth="1"/>
    <col min="16130" max="16130" width="53.5" style="866" customWidth="1"/>
    <col min="16131" max="16131" width="7.125" style="866" customWidth="1"/>
    <col min="16132" max="16132" width="12" style="866" customWidth="1"/>
    <col min="16133" max="16134" width="10.25" style="866" customWidth="1"/>
    <col min="16135" max="16135" width="12" style="866" customWidth="1"/>
    <col min="16136" max="16384" width="9" style="866"/>
  </cols>
  <sheetData>
    <row r="1" spans="1:7" s="861" customFormat="1">
      <c r="A1" s="856"/>
      <c r="B1" s="857"/>
      <c r="C1" s="858"/>
      <c r="D1" s="859"/>
      <c r="E1" s="859" t="s">
        <v>1248</v>
      </c>
      <c r="F1" s="860"/>
      <c r="G1" s="860"/>
    </row>
    <row r="2" spans="1:7" s="861" customFormat="1">
      <c r="A2" s="856"/>
      <c r="B2" s="857"/>
      <c r="C2" s="858"/>
      <c r="D2" s="862"/>
      <c r="E2" s="862" t="s">
        <v>1249</v>
      </c>
      <c r="F2" s="860"/>
      <c r="G2" s="860"/>
    </row>
    <row r="3" spans="1:7" s="861" customFormat="1">
      <c r="A3" s="856"/>
      <c r="B3" s="857"/>
      <c r="C3" s="858"/>
      <c r="D3" s="860"/>
      <c r="E3" s="860" t="s">
        <v>1250</v>
      </c>
      <c r="F3" s="860"/>
      <c r="G3" s="860"/>
    </row>
    <row r="4" spans="1:7" s="861" customFormat="1">
      <c r="A4" s="856"/>
      <c r="B4" s="857"/>
      <c r="C4" s="858"/>
      <c r="D4" s="858"/>
      <c r="E4" s="860"/>
      <c r="F4" s="860"/>
      <c r="G4" s="860"/>
    </row>
    <row r="5" spans="1:7">
      <c r="A5" s="16"/>
      <c r="B5" s="863"/>
      <c r="C5" s="864"/>
      <c r="D5" s="864"/>
      <c r="E5" s="865"/>
      <c r="F5" s="865"/>
      <c r="G5" s="865"/>
    </row>
    <row r="6" spans="1:7" ht="18.75">
      <c r="A6" s="1163" t="s">
        <v>1251</v>
      </c>
      <c r="B6" s="1163"/>
      <c r="C6" s="1163"/>
      <c r="D6" s="1163"/>
      <c r="E6" s="1163"/>
      <c r="F6" s="1163"/>
      <c r="G6" s="1163"/>
    </row>
    <row r="7" spans="1:7" ht="18.75">
      <c r="A7" s="1163" t="s">
        <v>362</v>
      </c>
      <c r="B7" s="1163"/>
      <c r="C7" s="1163"/>
      <c r="D7" s="1163"/>
      <c r="E7" s="1163"/>
      <c r="F7" s="1163"/>
      <c r="G7" s="1163"/>
    </row>
    <row r="8" spans="1:7">
      <c r="A8" s="16"/>
      <c r="B8" s="863"/>
      <c r="C8" s="864"/>
      <c r="D8" s="864"/>
      <c r="E8" s="865"/>
      <c r="F8" s="865"/>
      <c r="G8" s="865"/>
    </row>
    <row r="9" spans="1:7">
      <c r="A9" s="16"/>
      <c r="B9" s="863"/>
      <c r="C9" s="864"/>
      <c r="D9" s="864"/>
      <c r="E9" s="865"/>
      <c r="F9" s="865"/>
      <c r="G9" s="16" t="s">
        <v>15</v>
      </c>
    </row>
    <row r="10" spans="1:7" s="868" customFormat="1" ht="44.25" customHeight="1">
      <c r="A10" s="867" t="s">
        <v>469</v>
      </c>
      <c r="B10" s="867" t="s">
        <v>1252</v>
      </c>
      <c r="C10" s="867" t="s">
        <v>855</v>
      </c>
      <c r="D10" s="867" t="s">
        <v>1253</v>
      </c>
      <c r="E10" s="867" t="s">
        <v>321</v>
      </c>
      <c r="F10" s="867" t="s">
        <v>322</v>
      </c>
      <c r="G10" s="867" t="s">
        <v>1254</v>
      </c>
    </row>
    <row r="11" spans="1:7" s="870" customFormat="1">
      <c r="A11" s="869" t="s">
        <v>1255</v>
      </c>
      <c r="B11" s="869" t="s">
        <v>1256</v>
      </c>
      <c r="C11" s="869" t="s">
        <v>1257</v>
      </c>
      <c r="D11" s="869" t="s">
        <v>1258</v>
      </c>
      <c r="E11" s="869" t="s">
        <v>1259</v>
      </c>
      <c r="F11" s="869" t="s">
        <v>1260</v>
      </c>
      <c r="G11" s="869" t="s">
        <v>1261</v>
      </c>
    </row>
    <row r="12" spans="1:7" s="877" customFormat="1" ht="46.5" customHeight="1">
      <c r="A12" s="871" t="s">
        <v>1255</v>
      </c>
      <c r="B12" s="872" t="s">
        <v>1262</v>
      </c>
      <c r="C12" s="873">
        <v>80147</v>
      </c>
      <c r="D12" s="874">
        <v>0</v>
      </c>
      <c r="E12" s="875">
        <v>24600</v>
      </c>
      <c r="F12" s="875">
        <v>24600</v>
      </c>
      <c r="G12" s="876">
        <f>D12+E12-F12</f>
        <v>0</v>
      </c>
    </row>
    <row r="13" spans="1:7" s="877" customFormat="1" ht="46.5" customHeight="1">
      <c r="A13" s="871" t="s">
        <v>1256</v>
      </c>
      <c r="B13" s="872" t="s">
        <v>1263</v>
      </c>
      <c r="C13" s="873">
        <v>80146</v>
      </c>
      <c r="D13" s="874">
        <v>0</v>
      </c>
      <c r="E13" s="875">
        <v>400000</v>
      </c>
      <c r="F13" s="875">
        <v>400000</v>
      </c>
      <c r="G13" s="876">
        <f>D13+E13-F13</f>
        <v>0</v>
      </c>
    </row>
    <row r="14" spans="1:7" s="877" customFormat="1" ht="46.5" customHeight="1">
      <c r="A14" s="871" t="s">
        <v>1257</v>
      </c>
      <c r="B14" s="872" t="s">
        <v>1264</v>
      </c>
      <c r="C14" s="873">
        <v>80146</v>
      </c>
      <c r="D14" s="874">
        <v>0</v>
      </c>
      <c r="E14" s="875">
        <v>300000</v>
      </c>
      <c r="F14" s="875">
        <v>300000</v>
      </c>
      <c r="G14" s="876">
        <f>D14+E14-F14</f>
        <v>0</v>
      </c>
    </row>
    <row r="15" spans="1:7" s="877" customFormat="1" ht="46.5" customHeight="1">
      <c r="A15" s="878" t="s">
        <v>1258</v>
      </c>
      <c r="B15" s="879" t="s">
        <v>888</v>
      </c>
      <c r="C15" s="873" t="s">
        <v>731</v>
      </c>
      <c r="D15" s="875">
        <f>D16+D17</f>
        <v>0</v>
      </c>
      <c r="E15" s="875">
        <f>E16+E17</f>
        <v>133300</v>
      </c>
      <c r="F15" s="875">
        <f>F16+F17</f>
        <v>133300</v>
      </c>
      <c r="G15" s="875">
        <f>G16+G17</f>
        <v>0</v>
      </c>
    </row>
    <row r="16" spans="1:7" s="886" customFormat="1" ht="30" customHeight="1">
      <c r="A16" s="880"/>
      <c r="B16" s="881"/>
      <c r="C16" s="882">
        <v>80146</v>
      </c>
      <c r="D16" s="883">
        <v>0</v>
      </c>
      <c r="E16" s="884">
        <v>123800</v>
      </c>
      <c r="F16" s="884">
        <v>123800</v>
      </c>
      <c r="G16" s="885">
        <v>0</v>
      </c>
    </row>
    <row r="17" spans="1:7" s="886" customFormat="1" ht="30" customHeight="1">
      <c r="A17" s="887"/>
      <c r="B17" s="888"/>
      <c r="C17" s="882">
        <v>80147</v>
      </c>
      <c r="D17" s="883">
        <v>0</v>
      </c>
      <c r="E17" s="884">
        <v>9500</v>
      </c>
      <c r="F17" s="884">
        <v>9500</v>
      </c>
      <c r="G17" s="885">
        <v>0</v>
      </c>
    </row>
    <row r="18" spans="1:7" s="877" customFormat="1" ht="46.5" customHeight="1">
      <c r="A18" s="871" t="s">
        <v>1259</v>
      </c>
      <c r="B18" s="872" t="s">
        <v>1265</v>
      </c>
      <c r="C18" s="873">
        <v>85410</v>
      </c>
      <c r="D18" s="874">
        <v>0</v>
      </c>
      <c r="E18" s="875">
        <v>431000</v>
      </c>
      <c r="F18" s="875">
        <v>431000</v>
      </c>
      <c r="G18" s="876">
        <f>D18+E18-F18</f>
        <v>0</v>
      </c>
    </row>
    <row r="19" spans="1:7" s="877" customFormat="1" ht="46.5" customHeight="1">
      <c r="A19" s="871" t="s">
        <v>1260</v>
      </c>
      <c r="B19" s="872" t="s">
        <v>1266</v>
      </c>
      <c r="C19" s="873">
        <v>85403</v>
      </c>
      <c r="D19" s="874">
        <v>0</v>
      </c>
      <c r="E19" s="875">
        <v>252000</v>
      </c>
      <c r="F19" s="875">
        <v>252000</v>
      </c>
      <c r="G19" s="876">
        <f>D19+E19-F19</f>
        <v>0</v>
      </c>
    </row>
    <row r="20" spans="1:7" s="890" customFormat="1" ht="46.5" customHeight="1">
      <c r="A20" s="871" t="s">
        <v>1261</v>
      </c>
      <c r="B20" s="889" t="s">
        <v>1267</v>
      </c>
      <c r="C20" s="873">
        <v>85403</v>
      </c>
      <c r="D20" s="874">
        <v>0</v>
      </c>
      <c r="E20" s="875">
        <v>350000</v>
      </c>
      <c r="F20" s="875">
        <v>350000</v>
      </c>
      <c r="G20" s="876">
        <f>D20+E20-F20</f>
        <v>0</v>
      </c>
    </row>
    <row r="21" spans="1:7" s="891" customFormat="1" ht="46.5" customHeight="1">
      <c r="A21" s="871" t="s">
        <v>1268</v>
      </c>
      <c r="B21" s="889" t="s">
        <v>1269</v>
      </c>
      <c r="C21" s="873">
        <v>85403</v>
      </c>
      <c r="D21" s="874">
        <v>0</v>
      </c>
      <c r="E21" s="875">
        <v>235000</v>
      </c>
      <c r="F21" s="875">
        <v>235000</v>
      </c>
      <c r="G21" s="876">
        <f>D21+E21-F21</f>
        <v>0</v>
      </c>
    </row>
    <row r="22" spans="1:7" s="877" customFormat="1" ht="46.5" customHeight="1">
      <c r="A22" s="878" t="s">
        <v>1270</v>
      </c>
      <c r="B22" s="879" t="s">
        <v>1271</v>
      </c>
      <c r="C22" s="873" t="s">
        <v>731</v>
      </c>
      <c r="D22" s="875">
        <f>D23+D24</f>
        <v>0</v>
      </c>
      <c r="E22" s="875">
        <f>E23+E24</f>
        <v>15820</v>
      </c>
      <c r="F22" s="875">
        <f>F23+F24</f>
        <v>15820</v>
      </c>
      <c r="G22" s="875">
        <f>G23+G24</f>
        <v>0</v>
      </c>
    </row>
    <row r="23" spans="1:7" s="886" customFormat="1" ht="30" customHeight="1">
      <c r="A23" s="880"/>
      <c r="B23" s="881"/>
      <c r="C23" s="882">
        <v>80116</v>
      </c>
      <c r="D23" s="883">
        <v>0</v>
      </c>
      <c r="E23" s="884">
        <v>2820</v>
      </c>
      <c r="F23" s="884">
        <v>2820</v>
      </c>
      <c r="G23" s="885">
        <v>0</v>
      </c>
    </row>
    <row r="24" spans="1:7" s="886" customFormat="1" ht="30" customHeight="1">
      <c r="A24" s="887"/>
      <c r="B24" s="888"/>
      <c r="C24" s="882">
        <v>80140</v>
      </c>
      <c r="D24" s="883">
        <v>0</v>
      </c>
      <c r="E24" s="884">
        <v>13000</v>
      </c>
      <c r="F24" s="884">
        <v>13000</v>
      </c>
      <c r="G24" s="885">
        <v>0</v>
      </c>
    </row>
    <row r="25" spans="1:7" s="877" customFormat="1" ht="46.5" customHeight="1">
      <c r="A25" s="878" t="s">
        <v>1272</v>
      </c>
      <c r="B25" s="879" t="s">
        <v>1273</v>
      </c>
      <c r="C25" s="873" t="s">
        <v>731</v>
      </c>
      <c r="D25" s="875">
        <f>D26+D27</f>
        <v>0</v>
      </c>
      <c r="E25" s="875">
        <f>E26+E27</f>
        <v>26800</v>
      </c>
      <c r="F25" s="875">
        <f>F26+F27</f>
        <v>26800</v>
      </c>
      <c r="G25" s="875">
        <f>G26+G27</f>
        <v>0</v>
      </c>
    </row>
    <row r="26" spans="1:7" s="886" customFormat="1" ht="30" customHeight="1">
      <c r="A26" s="880"/>
      <c r="B26" s="881"/>
      <c r="C26" s="882">
        <v>80116</v>
      </c>
      <c r="D26" s="883">
        <v>0</v>
      </c>
      <c r="E26" s="884">
        <v>5300</v>
      </c>
      <c r="F26" s="884">
        <v>5300</v>
      </c>
      <c r="G26" s="885">
        <v>0</v>
      </c>
    </row>
    <row r="27" spans="1:7" s="886" customFormat="1" ht="30" customHeight="1">
      <c r="A27" s="887"/>
      <c r="B27" s="888"/>
      <c r="C27" s="882">
        <v>80140</v>
      </c>
      <c r="D27" s="883">
        <v>0</v>
      </c>
      <c r="E27" s="884">
        <v>21500</v>
      </c>
      <c r="F27" s="884">
        <v>21500</v>
      </c>
      <c r="G27" s="885">
        <v>0</v>
      </c>
    </row>
    <row r="28" spans="1:7" s="877" customFormat="1" ht="46.5" customHeight="1">
      <c r="A28" s="871" t="s">
        <v>1274</v>
      </c>
      <c r="B28" s="872" t="s">
        <v>1275</v>
      </c>
      <c r="C28" s="873">
        <v>80147</v>
      </c>
      <c r="D28" s="874">
        <v>0</v>
      </c>
      <c r="E28" s="875">
        <v>19000</v>
      </c>
      <c r="F28" s="875">
        <v>19000</v>
      </c>
      <c r="G28" s="876">
        <f>D28+E28-F28</f>
        <v>0</v>
      </c>
    </row>
    <row r="29" spans="1:7" s="896" customFormat="1" ht="46.5" customHeight="1">
      <c r="A29" s="892"/>
      <c r="B29" s="893" t="s">
        <v>918</v>
      </c>
      <c r="C29" s="894"/>
      <c r="D29" s="895">
        <f>D12+D13+D14+D15+D18+D28+D19+D20+D21+D22+D25</f>
        <v>0</v>
      </c>
      <c r="E29" s="895">
        <f>E12+E13+E14+E15+E18+E28+E19+E20+E21+E22+E25</f>
        <v>2187520</v>
      </c>
      <c r="F29" s="895">
        <f>F12+F13+F14+F15+F18+F28+F19+F20+F21+F22+F25</f>
        <v>2187520</v>
      </c>
      <c r="G29" s="895">
        <f>G12+G13+G14+G15+G18+G28+G19+G20+G21+G22+G25</f>
        <v>0</v>
      </c>
    </row>
  </sheetData>
  <sheetProtection algorithmName="SHA-512" hashValue="wJVRaqWsdAri+R2VA/aYNSfRC0JOiQirtMo3+GNX2Bj+l0oPnh+RsI6jpZ8ZBPKgw971i5w6cGjQczFRMS3Cow==" saltValue="1fWVsjXIf+/RkM3O20zvOA==" spinCount="100000" sheet="1" objects="1" scenarios="1"/>
  <mergeCells count="2">
    <mergeCell ref="A6:G6"/>
    <mergeCell ref="A7:G7"/>
  </mergeCells>
  <printOptions horizontalCentered="1"/>
  <pageMargins left="0.78740157480314965" right="0.78740157480314965" top="0.98425196850393704" bottom="0.74803149606299213" header="0.51181102362204722" footer="0.51181102362204722"/>
  <pageSetup paperSize="9" scale="71" fitToHeight="2" orientation="portrait" r:id="rId1"/>
  <headerFooter alignWithMargins="0"/>
  <rowBreaks count="1" manualBreakCount="1">
    <brk id="19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2"/>
  <sheetViews>
    <sheetView view="pageBreakPreview" topLeftCell="A84" zoomScaleNormal="100" zoomScaleSheetLayoutView="100" workbookViewId="0">
      <selection activeCell="C99" sqref="C99"/>
    </sheetView>
  </sheetViews>
  <sheetFormatPr defaultColWidth="9" defaultRowHeight="15"/>
  <cols>
    <col min="1" max="1" width="10.125" style="231" customWidth="1"/>
    <col min="2" max="2" width="9.375" style="232" customWidth="1"/>
    <col min="3" max="3" width="62.5" style="247" customWidth="1"/>
    <col min="4" max="4" width="15.125" style="248" customWidth="1"/>
    <col min="5" max="16384" width="9" style="233"/>
  </cols>
  <sheetData>
    <row r="1" spans="1:4">
      <c r="C1" s="924" t="s">
        <v>320</v>
      </c>
      <c r="D1" s="924"/>
    </row>
    <row r="2" spans="1:4">
      <c r="C2" s="924" t="s">
        <v>375</v>
      </c>
      <c r="D2" s="924"/>
    </row>
    <row r="3" spans="1:4">
      <c r="C3" s="924" t="s">
        <v>376</v>
      </c>
      <c r="D3" s="924"/>
    </row>
    <row r="4" spans="1:4" ht="6.75" customHeight="1">
      <c r="C4" s="234"/>
      <c r="D4" s="235"/>
    </row>
    <row r="5" spans="1:4" ht="18.75">
      <c r="A5" s="925" t="s">
        <v>175</v>
      </c>
      <c r="B5" s="925"/>
      <c r="C5" s="925"/>
      <c r="D5" s="925"/>
    </row>
    <row r="6" spans="1:4" ht="18.75">
      <c r="A6" s="925" t="s">
        <v>362</v>
      </c>
      <c r="B6" s="925"/>
      <c r="C6" s="925"/>
      <c r="D6" s="925"/>
    </row>
    <row r="7" spans="1:4" ht="15" customHeight="1">
      <c r="A7" s="236"/>
      <c r="B7" s="236"/>
      <c r="C7" s="236"/>
      <c r="D7" s="236" t="s">
        <v>15</v>
      </c>
    </row>
    <row r="8" spans="1:4" s="240" customFormat="1" ht="30">
      <c r="A8" s="237" t="s">
        <v>176</v>
      </c>
      <c r="B8" s="237" t="s">
        <v>177</v>
      </c>
      <c r="C8" s="238" t="s">
        <v>16</v>
      </c>
      <c r="D8" s="239" t="s">
        <v>178</v>
      </c>
    </row>
    <row r="9" spans="1:4" s="244" customFormat="1" ht="13.5" customHeight="1">
      <c r="A9" s="241" t="s">
        <v>18</v>
      </c>
      <c r="B9" s="241" t="s">
        <v>19</v>
      </c>
      <c r="C9" s="242">
        <v>3</v>
      </c>
      <c r="D9" s="243">
        <v>4</v>
      </c>
    </row>
    <row r="10" spans="1:4" s="244" customFormat="1" ht="19.5" customHeight="1">
      <c r="A10" s="241"/>
      <c r="B10" s="241"/>
      <c r="C10" s="245" t="s">
        <v>179</v>
      </c>
      <c r="D10" s="246">
        <f>D11+D25+D31+D34+D58+D63+D70+D80+D87+D108+D111+D121+D147+D166+D184+D194+D201+D204+D222+D229+D173</f>
        <v>1521229829</v>
      </c>
    </row>
    <row r="11" spans="1:4" s="261" customFormat="1" ht="19.5" customHeight="1">
      <c r="A11" s="259" t="s">
        <v>61</v>
      </c>
      <c r="B11" s="259" t="s">
        <v>180</v>
      </c>
      <c r="C11" s="263" t="s">
        <v>62</v>
      </c>
      <c r="D11" s="260">
        <f>D12+D19+D22</f>
        <v>12914600</v>
      </c>
    </row>
    <row r="12" spans="1:4" s="261" customFormat="1" ht="19.5" customHeight="1">
      <c r="A12" s="257" t="s">
        <v>65</v>
      </c>
      <c r="B12" s="257" t="s">
        <v>180</v>
      </c>
      <c r="C12" s="262" t="s">
        <v>181</v>
      </c>
      <c r="D12" s="258">
        <f>SUM(D13:D18)</f>
        <v>6710000</v>
      </c>
    </row>
    <row r="13" spans="1:4" ht="62.25" customHeight="1">
      <c r="A13" s="250" t="s">
        <v>180</v>
      </c>
      <c r="B13" s="250">
        <v>2008</v>
      </c>
      <c r="C13" s="252" t="s">
        <v>182</v>
      </c>
      <c r="D13" s="251">
        <v>318000</v>
      </c>
    </row>
    <row r="14" spans="1:4" ht="62.25" customHeight="1">
      <c r="A14" s="250" t="s">
        <v>180</v>
      </c>
      <c r="B14" s="250">
        <v>2009</v>
      </c>
      <c r="C14" s="252" t="s">
        <v>182</v>
      </c>
      <c r="D14" s="251">
        <v>182000</v>
      </c>
    </row>
    <row r="15" spans="1:4" ht="62.25" customHeight="1">
      <c r="A15" s="250" t="s">
        <v>180</v>
      </c>
      <c r="B15" s="250">
        <v>2058</v>
      </c>
      <c r="C15" s="252" t="s">
        <v>183</v>
      </c>
      <c r="D15" s="251">
        <v>3920000</v>
      </c>
    </row>
    <row r="16" spans="1:4" ht="62.25" customHeight="1">
      <c r="A16" s="250" t="s">
        <v>180</v>
      </c>
      <c r="B16" s="250">
        <v>2059</v>
      </c>
      <c r="C16" s="252" t="s">
        <v>183</v>
      </c>
      <c r="D16" s="251">
        <v>2240000</v>
      </c>
    </row>
    <row r="17" spans="1:4" ht="62.25" customHeight="1">
      <c r="A17" s="250" t="s">
        <v>180</v>
      </c>
      <c r="B17" s="250">
        <v>6258</v>
      </c>
      <c r="C17" s="252" t="s">
        <v>239</v>
      </c>
      <c r="D17" s="251">
        <v>32000</v>
      </c>
    </row>
    <row r="18" spans="1:4" ht="62.25" customHeight="1">
      <c r="A18" s="250" t="s">
        <v>180</v>
      </c>
      <c r="B18" s="250">
        <v>6259</v>
      </c>
      <c r="C18" s="252" t="s">
        <v>239</v>
      </c>
      <c r="D18" s="251">
        <v>18000</v>
      </c>
    </row>
    <row r="19" spans="1:4" s="261" customFormat="1" ht="21" customHeight="1">
      <c r="A19" s="257" t="s">
        <v>66</v>
      </c>
      <c r="B19" s="257" t="s">
        <v>180</v>
      </c>
      <c r="C19" s="262" t="s">
        <v>67</v>
      </c>
      <c r="D19" s="258">
        <f>SUM(D20:D21)</f>
        <v>6080000</v>
      </c>
    </row>
    <row r="20" spans="1:4" ht="21" customHeight="1">
      <c r="A20" s="250" t="s">
        <v>180</v>
      </c>
      <c r="B20" s="250" t="s">
        <v>47</v>
      </c>
      <c r="C20" s="252" t="s">
        <v>48</v>
      </c>
      <c r="D20" s="251">
        <v>6000000</v>
      </c>
    </row>
    <row r="21" spans="1:4" ht="21" customHeight="1">
      <c r="A21" s="250" t="s">
        <v>180</v>
      </c>
      <c r="B21" s="250" t="s">
        <v>184</v>
      </c>
      <c r="C21" s="252" t="s">
        <v>185</v>
      </c>
      <c r="D21" s="251">
        <v>80000</v>
      </c>
    </row>
    <row r="22" spans="1:4" s="261" customFormat="1" ht="21" customHeight="1">
      <c r="A22" s="257" t="s">
        <v>68</v>
      </c>
      <c r="B22" s="257" t="s">
        <v>180</v>
      </c>
      <c r="C22" s="262" t="s">
        <v>46</v>
      </c>
      <c r="D22" s="258">
        <f>SUM(D23:D24)</f>
        <v>124600</v>
      </c>
    </row>
    <row r="23" spans="1:4" ht="21" customHeight="1">
      <c r="A23" s="250" t="s">
        <v>180</v>
      </c>
      <c r="B23" s="250" t="s">
        <v>4</v>
      </c>
      <c r="C23" s="252" t="s">
        <v>5</v>
      </c>
      <c r="D23" s="251">
        <v>12600</v>
      </c>
    </row>
    <row r="24" spans="1:4" ht="45">
      <c r="A24" s="250" t="s">
        <v>180</v>
      </c>
      <c r="B24" s="250">
        <v>2210</v>
      </c>
      <c r="C24" s="252" t="s">
        <v>186</v>
      </c>
      <c r="D24" s="251">
        <v>112000</v>
      </c>
    </row>
    <row r="25" spans="1:4" s="261" customFormat="1" ht="16.5" customHeight="1">
      <c r="A25" s="259" t="s">
        <v>21</v>
      </c>
      <c r="B25" s="259" t="s">
        <v>180</v>
      </c>
      <c r="C25" s="264" t="s">
        <v>22</v>
      </c>
      <c r="D25" s="260">
        <v>348000</v>
      </c>
    </row>
    <row r="26" spans="1:4" s="261" customFormat="1" ht="45">
      <c r="A26" s="257" t="s">
        <v>69</v>
      </c>
      <c r="B26" s="257" t="s">
        <v>180</v>
      </c>
      <c r="C26" s="262" t="s">
        <v>70</v>
      </c>
      <c r="D26" s="258">
        <f>SUM(D27:D28)</f>
        <v>280000</v>
      </c>
    </row>
    <row r="27" spans="1:4" ht="64.5" customHeight="1">
      <c r="A27" s="250" t="s">
        <v>180</v>
      </c>
      <c r="B27" s="250">
        <v>2058</v>
      </c>
      <c r="C27" s="252" t="s">
        <v>183</v>
      </c>
      <c r="D27" s="251">
        <v>210000</v>
      </c>
    </row>
    <row r="28" spans="1:4" ht="64.5" customHeight="1">
      <c r="A28" s="250" t="s">
        <v>180</v>
      </c>
      <c r="B28" s="250">
        <v>2059</v>
      </c>
      <c r="C28" s="252" t="s">
        <v>183</v>
      </c>
      <c r="D28" s="251">
        <v>70000</v>
      </c>
    </row>
    <row r="29" spans="1:4" s="261" customFormat="1">
      <c r="A29" s="257" t="s">
        <v>60</v>
      </c>
      <c r="B29" s="257" t="s">
        <v>180</v>
      </c>
      <c r="C29" s="262" t="s">
        <v>46</v>
      </c>
      <c r="D29" s="258">
        <f>D30</f>
        <v>68000</v>
      </c>
    </row>
    <row r="30" spans="1:4" ht="48.75" customHeight="1">
      <c r="A30" s="253" t="s">
        <v>180</v>
      </c>
      <c r="B30" s="253">
        <v>2210</v>
      </c>
      <c r="C30" s="266" t="s">
        <v>186</v>
      </c>
      <c r="D30" s="254">
        <v>68000</v>
      </c>
    </row>
    <row r="31" spans="1:4" ht="18.75" customHeight="1">
      <c r="A31" s="259" t="s">
        <v>71</v>
      </c>
      <c r="B31" s="259" t="s">
        <v>180</v>
      </c>
      <c r="C31" s="264" t="s">
        <v>72</v>
      </c>
      <c r="D31" s="260">
        <f>D32</f>
        <v>225000</v>
      </c>
    </row>
    <row r="32" spans="1:4" s="261" customFormat="1" ht="18" customHeight="1">
      <c r="A32" s="257">
        <v>15095</v>
      </c>
      <c r="B32" s="257" t="s">
        <v>180</v>
      </c>
      <c r="C32" s="262" t="s">
        <v>46</v>
      </c>
      <c r="D32" s="258">
        <f>D33</f>
        <v>225000</v>
      </c>
    </row>
    <row r="33" spans="1:4" ht="66" customHeight="1">
      <c r="A33" s="250" t="s">
        <v>180</v>
      </c>
      <c r="B33" s="250">
        <v>2058</v>
      </c>
      <c r="C33" s="252" t="s">
        <v>183</v>
      </c>
      <c r="D33" s="251">
        <v>225000</v>
      </c>
    </row>
    <row r="34" spans="1:4" ht="17.25" customHeight="1">
      <c r="A34" s="259" t="s">
        <v>23</v>
      </c>
      <c r="B34" s="259" t="s">
        <v>180</v>
      </c>
      <c r="C34" s="264" t="s">
        <v>24</v>
      </c>
      <c r="D34" s="260">
        <f>D35+D37+D39+D54</f>
        <v>94435755</v>
      </c>
    </row>
    <row r="35" spans="1:4" s="261" customFormat="1" ht="17.25" customHeight="1">
      <c r="A35" s="257">
        <v>60001</v>
      </c>
      <c r="B35" s="257" t="s">
        <v>180</v>
      </c>
      <c r="C35" s="262" t="s">
        <v>77</v>
      </c>
      <c r="D35" s="258">
        <f>D36</f>
        <v>2202775</v>
      </c>
    </row>
    <row r="36" spans="1:4" ht="45">
      <c r="A36" s="250" t="s">
        <v>180</v>
      </c>
      <c r="B36" s="250" t="s">
        <v>188</v>
      </c>
      <c r="C36" s="252" t="s">
        <v>189</v>
      </c>
      <c r="D36" s="251">
        <v>2202775</v>
      </c>
    </row>
    <row r="37" spans="1:4" s="261" customFormat="1" ht="20.25" customHeight="1">
      <c r="A37" s="257">
        <v>60003</v>
      </c>
      <c r="B37" s="257" t="s">
        <v>180</v>
      </c>
      <c r="C37" s="262" t="s">
        <v>49</v>
      </c>
      <c r="D37" s="258">
        <f>D38</f>
        <v>36443000</v>
      </c>
    </row>
    <row r="38" spans="1:4" ht="45">
      <c r="A38" s="250" t="s">
        <v>180</v>
      </c>
      <c r="B38" s="250">
        <v>2210</v>
      </c>
      <c r="C38" s="252" t="s">
        <v>186</v>
      </c>
      <c r="D38" s="251">
        <v>36443000</v>
      </c>
    </row>
    <row r="39" spans="1:4" s="261" customFormat="1" ht="18.75" customHeight="1">
      <c r="A39" s="257">
        <v>60013</v>
      </c>
      <c r="B39" s="257" t="s">
        <v>180</v>
      </c>
      <c r="C39" s="262" t="s">
        <v>80</v>
      </c>
      <c r="D39" s="258">
        <f>SUM(D40:D53)</f>
        <v>55154454</v>
      </c>
    </row>
    <row r="40" spans="1:4" ht="30">
      <c r="A40" s="250" t="s">
        <v>180</v>
      </c>
      <c r="B40" s="250" t="s">
        <v>192</v>
      </c>
      <c r="C40" s="252" t="s">
        <v>193</v>
      </c>
      <c r="D40" s="251">
        <v>1200</v>
      </c>
    </row>
    <row r="41" spans="1:4" ht="17.25" customHeight="1">
      <c r="A41" s="250" t="s">
        <v>180</v>
      </c>
      <c r="B41" s="250" t="s">
        <v>47</v>
      </c>
      <c r="C41" s="252" t="s">
        <v>48</v>
      </c>
      <c r="D41" s="251">
        <v>5000000</v>
      </c>
    </row>
    <row r="42" spans="1:4" ht="45">
      <c r="A42" s="250" t="s">
        <v>180</v>
      </c>
      <c r="B42" s="250" t="s">
        <v>188</v>
      </c>
      <c r="C42" s="252" t="s">
        <v>189</v>
      </c>
      <c r="D42" s="251">
        <v>32000</v>
      </c>
    </row>
    <row r="43" spans="1:4" ht="18.75" customHeight="1">
      <c r="A43" s="250" t="s">
        <v>180</v>
      </c>
      <c r="B43" s="250" t="s">
        <v>194</v>
      </c>
      <c r="C43" s="252" t="s">
        <v>195</v>
      </c>
      <c r="D43" s="251">
        <v>60000</v>
      </c>
    </row>
    <row r="44" spans="1:4" ht="18.75" customHeight="1">
      <c r="A44" s="250" t="s">
        <v>180</v>
      </c>
      <c r="B44" s="250" t="s">
        <v>196</v>
      </c>
      <c r="C44" s="252" t="s">
        <v>197</v>
      </c>
      <c r="D44" s="251">
        <v>280000</v>
      </c>
    </row>
    <row r="45" spans="1:4" ht="18.75" customHeight="1">
      <c r="A45" s="250" t="s">
        <v>180</v>
      </c>
      <c r="B45" s="250" t="s">
        <v>198</v>
      </c>
      <c r="C45" s="252" t="s">
        <v>199</v>
      </c>
      <c r="D45" s="251">
        <v>490000</v>
      </c>
    </row>
    <row r="46" spans="1:4" ht="18.75" customHeight="1">
      <c r="A46" s="250" t="s">
        <v>180</v>
      </c>
      <c r="B46" s="250" t="s">
        <v>4</v>
      </c>
      <c r="C46" s="252" t="s">
        <v>5</v>
      </c>
      <c r="D46" s="251">
        <v>50000</v>
      </c>
    </row>
    <row r="47" spans="1:4" ht="47.25" customHeight="1">
      <c r="A47" s="250" t="s">
        <v>180</v>
      </c>
      <c r="B47" s="250">
        <v>6300</v>
      </c>
      <c r="C47" s="252" t="s">
        <v>200</v>
      </c>
      <c r="D47" s="251">
        <v>2119190</v>
      </c>
    </row>
    <row r="48" spans="1:4" ht="47.25" customHeight="1">
      <c r="A48" s="250" t="s">
        <v>180</v>
      </c>
      <c r="B48" s="250">
        <v>6309</v>
      </c>
      <c r="C48" s="252" t="s">
        <v>200</v>
      </c>
      <c r="D48" s="251">
        <v>1405608</v>
      </c>
    </row>
    <row r="49" spans="1:4" ht="47.25" customHeight="1">
      <c r="A49" s="250" t="s">
        <v>180</v>
      </c>
      <c r="B49" s="250">
        <v>6350</v>
      </c>
      <c r="C49" s="252" t="s">
        <v>201</v>
      </c>
      <c r="D49" s="251">
        <v>41891542</v>
      </c>
    </row>
    <row r="50" spans="1:4" ht="47.25" customHeight="1">
      <c r="A50" s="250" t="s">
        <v>180</v>
      </c>
      <c r="B50" s="250">
        <v>6610</v>
      </c>
      <c r="C50" s="252" t="s">
        <v>202</v>
      </c>
      <c r="D50" s="251">
        <v>1125000</v>
      </c>
    </row>
    <row r="51" spans="1:4" ht="47.25" customHeight="1">
      <c r="A51" s="250" t="s">
        <v>180</v>
      </c>
      <c r="B51" s="250">
        <v>6619</v>
      </c>
      <c r="C51" s="252" t="s">
        <v>202</v>
      </c>
      <c r="D51" s="251">
        <v>1780006</v>
      </c>
    </row>
    <row r="52" spans="1:4" ht="47.25" customHeight="1">
      <c r="A52" s="250" t="s">
        <v>180</v>
      </c>
      <c r="B52" s="250">
        <v>6620</v>
      </c>
      <c r="C52" s="252" t="s">
        <v>203</v>
      </c>
      <c r="D52" s="251">
        <v>562500</v>
      </c>
    </row>
    <row r="53" spans="1:4" ht="47.25" customHeight="1">
      <c r="A53" s="250" t="s">
        <v>180</v>
      </c>
      <c r="B53" s="250">
        <v>6629</v>
      </c>
      <c r="C53" s="252" t="s">
        <v>203</v>
      </c>
      <c r="D53" s="251">
        <v>357408</v>
      </c>
    </row>
    <row r="54" spans="1:4" s="261" customFormat="1" ht="19.5" customHeight="1">
      <c r="A54" s="257">
        <v>60095</v>
      </c>
      <c r="B54" s="257" t="s">
        <v>180</v>
      </c>
      <c r="C54" s="262" t="s">
        <v>46</v>
      </c>
      <c r="D54" s="258">
        <f>SUM(D55:D57)</f>
        <v>635526</v>
      </c>
    </row>
    <row r="55" spans="1:4" ht="61.5" customHeight="1">
      <c r="A55" s="250" t="s">
        <v>180</v>
      </c>
      <c r="B55" s="250">
        <v>2058</v>
      </c>
      <c r="C55" s="252" t="s">
        <v>183</v>
      </c>
      <c r="D55" s="251">
        <v>362526</v>
      </c>
    </row>
    <row r="56" spans="1:4" ht="48" customHeight="1">
      <c r="A56" s="250" t="s">
        <v>180</v>
      </c>
      <c r="B56" s="250">
        <v>2210</v>
      </c>
      <c r="C56" s="252" t="s">
        <v>186</v>
      </c>
      <c r="D56" s="251">
        <v>268000</v>
      </c>
    </row>
    <row r="57" spans="1:4" ht="42" customHeight="1">
      <c r="A57" s="253" t="s">
        <v>180</v>
      </c>
      <c r="B57" s="253">
        <v>2360</v>
      </c>
      <c r="C57" s="266" t="s">
        <v>204</v>
      </c>
      <c r="D57" s="254">
        <v>5000</v>
      </c>
    </row>
    <row r="58" spans="1:4" ht="18" customHeight="1">
      <c r="A58" s="259" t="s">
        <v>55</v>
      </c>
      <c r="B58" s="259" t="s">
        <v>180</v>
      </c>
      <c r="C58" s="265" t="s">
        <v>56</v>
      </c>
      <c r="D58" s="260">
        <f>D59</f>
        <v>718145</v>
      </c>
    </row>
    <row r="59" spans="1:4" s="261" customFormat="1" ht="18" customHeight="1">
      <c r="A59" s="257">
        <v>63095</v>
      </c>
      <c r="B59" s="257" t="s">
        <v>180</v>
      </c>
      <c r="C59" s="262" t="s">
        <v>46</v>
      </c>
      <c r="D59" s="258">
        <f>SUM(D60:D62)</f>
        <v>718145</v>
      </c>
    </row>
    <row r="60" spans="1:4" ht="60">
      <c r="A60" s="250" t="s">
        <v>180</v>
      </c>
      <c r="B60" s="250">
        <v>2058</v>
      </c>
      <c r="C60" s="252" t="s">
        <v>183</v>
      </c>
      <c r="D60" s="251">
        <v>528695</v>
      </c>
    </row>
    <row r="61" spans="1:4" ht="45">
      <c r="A61" s="250" t="s">
        <v>180</v>
      </c>
      <c r="B61" s="250">
        <v>2210</v>
      </c>
      <c r="C61" s="252" t="s">
        <v>186</v>
      </c>
      <c r="D61" s="251">
        <v>189000</v>
      </c>
    </row>
    <row r="62" spans="1:4" ht="30">
      <c r="A62" s="250" t="s">
        <v>180</v>
      </c>
      <c r="B62" s="250">
        <v>2360</v>
      </c>
      <c r="C62" s="252" t="s">
        <v>204</v>
      </c>
      <c r="D62" s="251">
        <v>450</v>
      </c>
    </row>
    <row r="63" spans="1:4">
      <c r="A63" s="259" t="s">
        <v>25</v>
      </c>
      <c r="B63" s="259" t="s">
        <v>180</v>
      </c>
      <c r="C63" s="264" t="s">
        <v>26</v>
      </c>
      <c r="D63" s="260">
        <f>D64</f>
        <v>1410000</v>
      </c>
    </row>
    <row r="64" spans="1:4" s="261" customFormat="1">
      <c r="A64" s="257">
        <v>70005</v>
      </c>
      <c r="B64" s="257" t="s">
        <v>180</v>
      </c>
      <c r="C64" s="262" t="s">
        <v>82</v>
      </c>
      <c r="D64" s="258">
        <f>SUM(D65:D69)</f>
        <v>1410000</v>
      </c>
    </row>
    <row r="65" spans="1:4">
      <c r="A65" s="250" t="s">
        <v>180</v>
      </c>
      <c r="B65" s="250" t="s">
        <v>205</v>
      </c>
      <c r="C65" s="252" t="s">
        <v>206</v>
      </c>
      <c r="D65" s="251">
        <v>211500</v>
      </c>
    </row>
    <row r="66" spans="1:4">
      <c r="A66" s="250" t="s">
        <v>180</v>
      </c>
      <c r="B66" s="250" t="s">
        <v>207</v>
      </c>
      <c r="C66" s="252" t="s">
        <v>208</v>
      </c>
      <c r="D66" s="251">
        <v>104000</v>
      </c>
    </row>
    <row r="67" spans="1:4" ht="45.75" customHeight="1">
      <c r="A67" s="250" t="s">
        <v>180</v>
      </c>
      <c r="B67" s="250" t="s">
        <v>188</v>
      </c>
      <c r="C67" s="252" t="s">
        <v>189</v>
      </c>
      <c r="D67" s="251">
        <v>685000</v>
      </c>
    </row>
    <row r="68" spans="1:4" ht="20.25" customHeight="1">
      <c r="A68" s="250" t="s">
        <v>180</v>
      </c>
      <c r="B68" s="250" t="s">
        <v>209</v>
      </c>
      <c r="C68" s="252" t="s">
        <v>210</v>
      </c>
      <c r="D68" s="251">
        <v>9500</v>
      </c>
    </row>
    <row r="69" spans="1:4" ht="31.5" customHeight="1">
      <c r="A69" s="250" t="s">
        <v>180</v>
      </c>
      <c r="B69" s="250" t="s">
        <v>211</v>
      </c>
      <c r="C69" s="252" t="s">
        <v>212</v>
      </c>
      <c r="D69" s="251">
        <v>400000</v>
      </c>
    </row>
    <row r="70" spans="1:4">
      <c r="A70" s="259" t="s">
        <v>27</v>
      </c>
      <c r="B70" s="259" t="s">
        <v>180</v>
      </c>
      <c r="C70" s="264" t="s">
        <v>28</v>
      </c>
      <c r="D70" s="260">
        <v>392400</v>
      </c>
    </row>
    <row r="71" spans="1:4" s="261" customFormat="1">
      <c r="A71" s="257">
        <v>71003</v>
      </c>
      <c r="B71" s="257" t="s">
        <v>180</v>
      </c>
      <c r="C71" s="262" t="s">
        <v>83</v>
      </c>
      <c r="D71" s="258">
        <f>D72+D73</f>
        <v>2150</v>
      </c>
    </row>
    <row r="72" spans="1:4">
      <c r="A72" s="250" t="s">
        <v>180</v>
      </c>
      <c r="B72" s="250" t="s">
        <v>196</v>
      </c>
      <c r="C72" s="252" t="s">
        <v>197</v>
      </c>
      <c r="D72" s="251">
        <v>2000</v>
      </c>
    </row>
    <row r="73" spans="1:4">
      <c r="A73" s="250" t="s">
        <v>180</v>
      </c>
      <c r="B73" s="250" t="s">
        <v>4</v>
      </c>
      <c r="C73" s="252" t="s">
        <v>5</v>
      </c>
      <c r="D73" s="251">
        <v>150</v>
      </c>
    </row>
    <row r="74" spans="1:4" s="261" customFormat="1">
      <c r="A74" s="257">
        <v>71005</v>
      </c>
      <c r="B74" s="257" t="s">
        <v>180</v>
      </c>
      <c r="C74" s="262" t="s">
        <v>50</v>
      </c>
      <c r="D74" s="258">
        <f>D75+D76</f>
        <v>270250</v>
      </c>
    </row>
    <row r="75" spans="1:4" ht="45">
      <c r="A75" s="250" t="s">
        <v>180</v>
      </c>
      <c r="B75" s="250">
        <v>2210</v>
      </c>
      <c r="C75" s="252" t="s">
        <v>186</v>
      </c>
      <c r="D75" s="251">
        <v>269000</v>
      </c>
    </row>
    <row r="76" spans="1:4" ht="30">
      <c r="A76" s="250" t="s">
        <v>180</v>
      </c>
      <c r="B76" s="250">
        <v>2360</v>
      </c>
      <c r="C76" s="252" t="s">
        <v>204</v>
      </c>
      <c r="D76" s="251">
        <v>1250</v>
      </c>
    </row>
    <row r="77" spans="1:4" s="261" customFormat="1">
      <c r="A77" s="257">
        <v>71012</v>
      </c>
      <c r="B77" s="257" t="s">
        <v>180</v>
      </c>
      <c r="C77" s="262" t="s">
        <v>51</v>
      </c>
      <c r="D77" s="258">
        <f>D78+D79</f>
        <v>120000</v>
      </c>
    </row>
    <row r="78" spans="1:4">
      <c r="A78" s="250" t="s">
        <v>180</v>
      </c>
      <c r="B78" s="250" t="s">
        <v>47</v>
      </c>
      <c r="C78" s="252" t="s">
        <v>48</v>
      </c>
      <c r="D78" s="251">
        <v>20000</v>
      </c>
    </row>
    <row r="79" spans="1:4" ht="45">
      <c r="A79" s="250" t="s">
        <v>180</v>
      </c>
      <c r="B79" s="250">
        <v>2210</v>
      </c>
      <c r="C79" s="252" t="s">
        <v>186</v>
      </c>
      <c r="D79" s="251">
        <v>100000</v>
      </c>
    </row>
    <row r="80" spans="1:4">
      <c r="A80" s="259" t="s">
        <v>85</v>
      </c>
      <c r="B80" s="259" t="s">
        <v>180</v>
      </c>
      <c r="C80" s="264" t="s">
        <v>86</v>
      </c>
      <c r="D80" s="260">
        <f>D81</f>
        <v>98490</v>
      </c>
    </row>
    <row r="81" spans="1:4" s="261" customFormat="1">
      <c r="A81" s="257">
        <v>72095</v>
      </c>
      <c r="B81" s="257" t="s">
        <v>180</v>
      </c>
      <c r="C81" s="262" t="s">
        <v>46</v>
      </c>
      <c r="D81" s="258">
        <f>SUM(D82:D86)</f>
        <v>98490</v>
      </c>
    </row>
    <row r="82" spans="1:4" ht="35.25" customHeight="1">
      <c r="A82" s="283"/>
      <c r="B82" s="283" t="s">
        <v>399</v>
      </c>
      <c r="C82" s="282" t="s">
        <v>213</v>
      </c>
      <c r="D82" s="284">
        <v>49900</v>
      </c>
    </row>
    <row r="83" spans="1:4" ht="35.25" customHeight="1">
      <c r="A83" s="250" t="s">
        <v>180</v>
      </c>
      <c r="B83" s="250">
        <v>2329</v>
      </c>
      <c r="C83" s="252" t="s">
        <v>214</v>
      </c>
      <c r="D83" s="251">
        <v>10535</v>
      </c>
    </row>
    <row r="84" spans="1:4" ht="45">
      <c r="A84" s="250" t="s">
        <v>180</v>
      </c>
      <c r="B84" s="250">
        <v>2469</v>
      </c>
      <c r="C84" s="252" t="s">
        <v>187</v>
      </c>
      <c r="D84" s="251">
        <v>555</v>
      </c>
    </row>
    <row r="85" spans="1:4" ht="48.75" customHeight="1">
      <c r="A85" s="250" t="s">
        <v>180</v>
      </c>
      <c r="B85" s="250">
        <v>6289</v>
      </c>
      <c r="C85" s="252" t="s">
        <v>215</v>
      </c>
      <c r="D85" s="251">
        <v>33000</v>
      </c>
    </row>
    <row r="86" spans="1:4" ht="45">
      <c r="A86" s="250" t="s">
        <v>180</v>
      </c>
      <c r="B86" s="250">
        <v>6299</v>
      </c>
      <c r="C86" s="252" t="s">
        <v>377</v>
      </c>
      <c r="D86" s="251">
        <v>4500</v>
      </c>
    </row>
    <row r="87" spans="1:4">
      <c r="A87" s="259" t="s">
        <v>29</v>
      </c>
      <c r="B87" s="259" t="s">
        <v>180</v>
      </c>
      <c r="C87" s="264" t="s">
        <v>30</v>
      </c>
      <c r="D87" s="260">
        <f>D88+D96+D98+D100+D102</f>
        <v>3156862</v>
      </c>
    </row>
    <row r="88" spans="1:4" s="261" customFormat="1">
      <c r="A88" s="257">
        <v>75018</v>
      </c>
      <c r="B88" s="257" t="s">
        <v>180</v>
      </c>
      <c r="C88" s="262" t="s">
        <v>91</v>
      </c>
      <c r="D88" s="258">
        <f>SUM(D89:D95)</f>
        <v>226000</v>
      </c>
    </row>
    <row r="89" spans="1:4">
      <c r="A89" s="250" t="s">
        <v>180</v>
      </c>
      <c r="B89" s="250" t="s">
        <v>47</v>
      </c>
      <c r="C89" s="252" t="s">
        <v>48</v>
      </c>
      <c r="D89" s="251">
        <v>1000</v>
      </c>
    </row>
    <row r="90" spans="1:4" ht="45">
      <c r="A90" s="250" t="s">
        <v>180</v>
      </c>
      <c r="B90" s="250" t="s">
        <v>188</v>
      </c>
      <c r="C90" s="252" t="s">
        <v>189</v>
      </c>
      <c r="D90" s="251">
        <v>45000</v>
      </c>
    </row>
    <row r="91" spans="1:4">
      <c r="A91" s="250" t="s">
        <v>180</v>
      </c>
      <c r="B91" s="250" t="s">
        <v>216</v>
      </c>
      <c r="C91" s="252" t="s">
        <v>217</v>
      </c>
      <c r="D91" s="251">
        <v>45000</v>
      </c>
    </row>
    <row r="92" spans="1:4">
      <c r="A92" s="250" t="s">
        <v>180</v>
      </c>
      <c r="B92" s="250" t="s">
        <v>196</v>
      </c>
      <c r="C92" s="252" t="s">
        <v>197</v>
      </c>
      <c r="D92" s="251">
        <v>10000</v>
      </c>
    </row>
    <row r="93" spans="1:4">
      <c r="A93" s="250" t="s">
        <v>180</v>
      </c>
      <c r="B93" s="250" t="s">
        <v>198</v>
      </c>
      <c r="C93" s="252" t="s">
        <v>199</v>
      </c>
      <c r="D93" s="251">
        <v>10000</v>
      </c>
    </row>
    <row r="94" spans="1:4">
      <c r="A94" s="253" t="s">
        <v>180</v>
      </c>
      <c r="B94" s="253" t="s">
        <v>4</v>
      </c>
      <c r="C94" s="266" t="s">
        <v>5</v>
      </c>
      <c r="D94" s="254">
        <v>30000</v>
      </c>
    </row>
    <row r="95" spans="1:4" ht="30">
      <c r="A95" s="270" t="s">
        <v>180</v>
      </c>
      <c r="B95" s="270">
        <v>2230</v>
      </c>
      <c r="C95" s="271" t="s">
        <v>218</v>
      </c>
      <c r="D95" s="272">
        <v>85000</v>
      </c>
    </row>
    <row r="96" spans="1:4" s="261" customFormat="1">
      <c r="A96" s="257">
        <v>75046</v>
      </c>
      <c r="B96" s="257" t="s">
        <v>180</v>
      </c>
      <c r="C96" s="262" t="s">
        <v>219</v>
      </c>
      <c r="D96" s="258">
        <f>D97</f>
        <v>300</v>
      </c>
    </row>
    <row r="97" spans="1:4" ht="30">
      <c r="A97" s="250" t="s">
        <v>180</v>
      </c>
      <c r="B97" s="250">
        <v>2360</v>
      </c>
      <c r="C97" s="252" t="s">
        <v>204</v>
      </c>
      <c r="D97" s="251">
        <v>300</v>
      </c>
    </row>
    <row r="98" spans="1:4" s="261" customFormat="1">
      <c r="A98" s="257">
        <v>75075</v>
      </c>
      <c r="B98" s="257" t="s">
        <v>180</v>
      </c>
      <c r="C98" s="262" t="s">
        <v>93</v>
      </c>
      <c r="D98" s="258">
        <f>D99</f>
        <v>898441</v>
      </c>
    </row>
    <row r="99" spans="1:4" ht="33.75" customHeight="1">
      <c r="A99" s="250" t="s">
        <v>180</v>
      </c>
      <c r="B99" s="250">
        <v>2319</v>
      </c>
      <c r="C99" s="252" t="s">
        <v>213</v>
      </c>
      <c r="D99" s="251">
        <v>898441</v>
      </c>
    </row>
    <row r="100" spans="1:4" s="261" customFormat="1" ht="18" customHeight="1">
      <c r="A100" s="257">
        <v>75084</v>
      </c>
      <c r="B100" s="257" t="s">
        <v>180</v>
      </c>
      <c r="C100" s="262" t="s">
        <v>220</v>
      </c>
      <c r="D100" s="258">
        <f>D101</f>
        <v>202000</v>
      </c>
    </row>
    <row r="101" spans="1:4" ht="45">
      <c r="A101" s="250" t="s">
        <v>180</v>
      </c>
      <c r="B101" s="250">
        <v>2210</v>
      </c>
      <c r="C101" s="252" t="s">
        <v>186</v>
      </c>
      <c r="D101" s="251">
        <v>202000</v>
      </c>
    </row>
    <row r="102" spans="1:4" s="261" customFormat="1">
      <c r="A102" s="257">
        <v>75095</v>
      </c>
      <c r="B102" s="257" t="s">
        <v>180</v>
      </c>
      <c r="C102" s="262" t="s">
        <v>46</v>
      </c>
      <c r="D102" s="258">
        <f>SUM(D103:D107)</f>
        <v>1830121</v>
      </c>
    </row>
    <row r="103" spans="1:4" ht="60">
      <c r="A103" s="250" t="s">
        <v>180</v>
      </c>
      <c r="B103" s="250">
        <v>2008</v>
      </c>
      <c r="C103" s="252" t="s">
        <v>182</v>
      </c>
      <c r="D103" s="251">
        <v>391237</v>
      </c>
    </row>
    <row r="104" spans="1:4" ht="60">
      <c r="A104" s="250" t="s">
        <v>180</v>
      </c>
      <c r="B104" s="250">
        <v>2009</v>
      </c>
      <c r="C104" s="252" t="s">
        <v>182</v>
      </c>
      <c r="D104" s="251">
        <v>69042</v>
      </c>
    </row>
    <row r="105" spans="1:4" ht="60">
      <c r="A105" s="250" t="s">
        <v>180</v>
      </c>
      <c r="B105" s="250">
        <v>2057</v>
      </c>
      <c r="C105" s="252" t="s">
        <v>183</v>
      </c>
      <c r="D105" s="251">
        <v>71016</v>
      </c>
    </row>
    <row r="106" spans="1:4" ht="60">
      <c r="A106" s="250" t="s">
        <v>180</v>
      </c>
      <c r="B106" s="250">
        <v>2058</v>
      </c>
      <c r="C106" s="252" t="s">
        <v>183</v>
      </c>
      <c r="D106" s="251">
        <v>1099900</v>
      </c>
    </row>
    <row r="107" spans="1:4" ht="60">
      <c r="A107" s="250" t="s">
        <v>180</v>
      </c>
      <c r="B107" s="250">
        <v>2059</v>
      </c>
      <c r="C107" s="252" t="s">
        <v>183</v>
      </c>
      <c r="D107" s="251">
        <v>198926</v>
      </c>
    </row>
    <row r="108" spans="1:4" s="261" customFormat="1">
      <c r="A108" s="259" t="s">
        <v>31</v>
      </c>
      <c r="B108" s="259" t="s">
        <v>180</v>
      </c>
      <c r="C108" s="264" t="s">
        <v>32</v>
      </c>
      <c r="D108" s="260">
        <f>D109</f>
        <v>5000</v>
      </c>
    </row>
    <row r="109" spans="1:4" s="261" customFormat="1">
      <c r="A109" s="257">
        <v>75212</v>
      </c>
      <c r="B109" s="257" t="s">
        <v>180</v>
      </c>
      <c r="C109" s="262" t="s">
        <v>59</v>
      </c>
      <c r="D109" s="258">
        <f>D110</f>
        <v>5000</v>
      </c>
    </row>
    <row r="110" spans="1:4" ht="45">
      <c r="A110" s="250" t="s">
        <v>180</v>
      </c>
      <c r="B110" s="250">
        <v>2210</v>
      </c>
      <c r="C110" s="252" t="s">
        <v>186</v>
      </c>
      <c r="D110" s="251">
        <v>5000</v>
      </c>
    </row>
    <row r="111" spans="1:4" ht="45">
      <c r="A111" s="259" t="s">
        <v>169</v>
      </c>
      <c r="B111" s="259" t="s">
        <v>180</v>
      </c>
      <c r="C111" s="264" t="s">
        <v>170</v>
      </c>
      <c r="D111" s="260">
        <f>D112+D118</f>
        <v>456487046</v>
      </c>
    </row>
    <row r="112" spans="1:4" s="261" customFormat="1" ht="30">
      <c r="A112" s="257">
        <v>75618</v>
      </c>
      <c r="B112" s="257" t="s">
        <v>180</v>
      </c>
      <c r="C112" s="262" t="s">
        <v>221</v>
      </c>
      <c r="D112" s="258">
        <f>SUM(D113:D117)</f>
        <v>751100</v>
      </c>
    </row>
    <row r="113" spans="1:4">
      <c r="A113" s="250" t="s">
        <v>180</v>
      </c>
      <c r="B113" s="250" t="s">
        <v>380</v>
      </c>
      <c r="C113" s="252" t="s">
        <v>378</v>
      </c>
      <c r="D113" s="251">
        <v>400</v>
      </c>
    </row>
    <row r="114" spans="1:4">
      <c r="A114" s="250" t="s">
        <v>180</v>
      </c>
      <c r="B114" s="250" t="s">
        <v>222</v>
      </c>
      <c r="C114" s="252" t="s">
        <v>223</v>
      </c>
      <c r="D114" s="251">
        <v>700000</v>
      </c>
    </row>
    <row r="115" spans="1:4" ht="30">
      <c r="A115" s="250" t="s">
        <v>180</v>
      </c>
      <c r="B115" s="250" t="s">
        <v>224</v>
      </c>
      <c r="C115" s="252" t="s">
        <v>225</v>
      </c>
      <c r="D115" s="251">
        <v>700</v>
      </c>
    </row>
    <row r="116" spans="1:4" ht="30">
      <c r="A116" s="250" t="s">
        <v>180</v>
      </c>
      <c r="B116" s="250" t="s">
        <v>190</v>
      </c>
      <c r="C116" s="252" t="s">
        <v>191</v>
      </c>
      <c r="D116" s="251">
        <v>20000</v>
      </c>
    </row>
    <row r="117" spans="1:4" ht="16.5" customHeight="1">
      <c r="A117" s="250" t="s">
        <v>180</v>
      </c>
      <c r="B117" s="250" t="s">
        <v>47</v>
      </c>
      <c r="C117" s="252" t="s">
        <v>48</v>
      </c>
      <c r="D117" s="251">
        <v>30000</v>
      </c>
    </row>
    <row r="118" spans="1:4" ht="17.25" customHeight="1">
      <c r="A118" s="257">
        <v>75623</v>
      </c>
      <c r="B118" s="257" t="s">
        <v>180</v>
      </c>
      <c r="C118" s="262" t="s">
        <v>226</v>
      </c>
      <c r="D118" s="258">
        <f>SUM(D119:D120)</f>
        <v>455735946</v>
      </c>
    </row>
    <row r="119" spans="1:4" ht="17.25" customHeight="1">
      <c r="A119" s="250" t="s">
        <v>180</v>
      </c>
      <c r="B119" s="250" t="s">
        <v>227</v>
      </c>
      <c r="C119" s="252" t="s">
        <v>228</v>
      </c>
      <c r="D119" s="251">
        <v>75368433</v>
      </c>
    </row>
    <row r="120" spans="1:4" ht="17.25" customHeight="1">
      <c r="A120" s="250" t="s">
        <v>180</v>
      </c>
      <c r="B120" s="250" t="s">
        <v>229</v>
      </c>
      <c r="C120" s="252" t="s">
        <v>230</v>
      </c>
      <c r="D120" s="251">
        <v>380367513</v>
      </c>
    </row>
    <row r="121" spans="1:4" ht="17.25" customHeight="1">
      <c r="A121" s="259" t="s">
        <v>99</v>
      </c>
      <c r="B121" s="259" t="s">
        <v>180</v>
      </c>
      <c r="C121" s="264" t="s">
        <v>100</v>
      </c>
      <c r="D121" s="260">
        <f>D122+D124+D126+D128+D130+D139</f>
        <v>894448390</v>
      </c>
    </row>
    <row r="122" spans="1:4" s="261" customFormat="1" ht="17.25" customHeight="1">
      <c r="A122" s="257">
        <v>75801</v>
      </c>
      <c r="B122" s="257" t="s">
        <v>180</v>
      </c>
      <c r="C122" s="262" t="s">
        <v>231</v>
      </c>
      <c r="D122" s="258">
        <v>64988100</v>
      </c>
    </row>
    <row r="123" spans="1:4" ht="17.25" customHeight="1">
      <c r="A123" s="250" t="s">
        <v>180</v>
      </c>
      <c r="B123" s="250">
        <v>2920</v>
      </c>
      <c r="C123" s="252" t="s">
        <v>232</v>
      </c>
      <c r="D123" s="251">
        <v>64988100</v>
      </c>
    </row>
    <row r="124" spans="1:4" s="261" customFormat="1" ht="17.25" customHeight="1">
      <c r="A124" s="257">
        <v>75804</v>
      </c>
      <c r="B124" s="257" t="s">
        <v>180</v>
      </c>
      <c r="C124" s="262" t="s">
        <v>233</v>
      </c>
      <c r="D124" s="258">
        <v>186891199</v>
      </c>
    </row>
    <row r="125" spans="1:4" ht="17.25" customHeight="1">
      <c r="A125" s="250" t="s">
        <v>180</v>
      </c>
      <c r="B125" s="250">
        <v>2920</v>
      </c>
      <c r="C125" s="252" t="s">
        <v>232</v>
      </c>
      <c r="D125" s="251">
        <v>186891199</v>
      </c>
    </row>
    <row r="126" spans="1:4" s="261" customFormat="1" ht="17.25" customHeight="1">
      <c r="A126" s="257">
        <v>75819</v>
      </c>
      <c r="B126" s="257" t="s">
        <v>180</v>
      </c>
      <c r="C126" s="262" t="s">
        <v>234</v>
      </c>
      <c r="D126" s="258">
        <v>20398510</v>
      </c>
    </row>
    <row r="127" spans="1:4" ht="17.25" customHeight="1">
      <c r="A127" s="250" t="s">
        <v>180</v>
      </c>
      <c r="B127" s="250">
        <v>2770</v>
      </c>
      <c r="C127" s="252" t="s">
        <v>235</v>
      </c>
      <c r="D127" s="251">
        <v>20398510</v>
      </c>
    </row>
    <row r="128" spans="1:4" s="261" customFormat="1" ht="17.25" customHeight="1">
      <c r="A128" s="286">
        <v>75833</v>
      </c>
      <c r="B128" s="286" t="s">
        <v>180</v>
      </c>
      <c r="C128" s="287" t="s">
        <v>236</v>
      </c>
      <c r="D128" s="288">
        <v>127154994</v>
      </c>
    </row>
    <row r="129" spans="1:4" ht="17.25" customHeight="1">
      <c r="A129" s="270" t="s">
        <v>180</v>
      </c>
      <c r="B129" s="270">
        <v>2920</v>
      </c>
      <c r="C129" s="271" t="s">
        <v>232</v>
      </c>
      <c r="D129" s="272">
        <v>127154994</v>
      </c>
    </row>
    <row r="130" spans="1:4" s="261" customFormat="1" ht="30">
      <c r="A130" s="257">
        <v>75863</v>
      </c>
      <c r="B130" s="257" t="s">
        <v>180</v>
      </c>
      <c r="C130" s="262" t="s">
        <v>237</v>
      </c>
      <c r="D130" s="258">
        <v>381456750</v>
      </c>
    </row>
    <row r="131" spans="1:4" ht="60">
      <c r="A131" s="250" t="s">
        <v>180</v>
      </c>
      <c r="B131" s="250">
        <v>2007</v>
      </c>
      <c r="C131" s="252" t="s">
        <v>182</v>
      </c>
      <c r="D131" s="251">
        <v>6309836</v>
      </c>
    </row>
    <row r="132" spans="1:4" ht="60">
      <c r="A132" s="250" t="s">
        <v>180</v>
      </c>
      <c r="B132" s="250">
        <v>2009</v>
      </c>
      <c r="C132" s="252" t="s">
        <v>182</v>
      </c>
      <c r="D132" s="251">
        <v>314575</v>
      </c>
    </row>
    <row r="133" spans="1:4" ht="60">
      <c r="A133" s="250" t="s">
        <v>180</v>
      </c>
      <c r="B133" s="250">
        <v>2057</v>
      </c>
      <c r="C133" s="252" t="s">
        <v>183</v>
      </c>
      <c r="D133" s="251">
        <v>31349660</v>
      </c>
    </row>
    <row r="134" spans="1:4" ht="60">
      <c r="A134" s="250" t="s">
        <v>180</v>
      </c>
      <c r="B134" s="250">
        <v>2059</v>
      </c>
      <c r="C134" s="252" t="s">
        <v>183</v>
      </c>
      <c r="D134" s="251">
        <v>1902177</v>
      </c>
    </row>
    <row r="135" spans="1:4" ht="60">
      <c r="A135" s="250" t="s">
        <v>180</v>
      </c>
      <c r="B135" s="250">
        <v>6207</v>
      </c>
      <c r="C135" s="252" t="s">
        <v>238</v>
      </c>
      <c r="D135" s="251">
        <v>54442680</v>
      </c>
    </row>
    <row r="136" spans="1:4" ht="60">
      <c r="A136" s="250" t="s">
        <v>180</v>
      </c>
      <c r="B136" s="250">
        <v>6209</v>
      </c>
      <c r="C136" s="252" t="s">
        <v>238</v>
      </c>
      <c r="D136" s="251">
        <v>40369362</v>
      </c>
    </row>
    <row r="137" spans="1:4" ht="60">
      <c r="A137" s="250" t="s">
        <v>180</v>
      </c>
      <c r="B137" s="250">
        <v>6257</v>
      </c>
      <c r="C137" s="252" t="s">
        <v>239</v>
      </c>
      <c r="D137" s="251">
        <v>235771727</v>
      </c>
    </row>
    <row r="138" spans="1:4" ht="60">
      <c r="A138" s="250" t="s">
        <v>180</v>
      </c>
      <c r="B138" s="250">
        <v>6259</v>
      </c>
      <c r="C138" s="252" t="s">
        <v>239</v>
      </c>
      <c r="D138" s="251">
        <v>10996733</v>
      </c>
    </row>
    <row r="139" spans="1:4" s="261" customFormat="1" ht="30">
      <c r="A139" s="257">
        <v>75864</v>
      </c>
      <c r="B139" s="257" t="s">
        <v>180</v>
      </c>
      <c r="C139" s="262" t="s">
        <v>240</v>
      </c>
      <c r="D139" s="258">
        <v>113558837</v>
      </c>
    </row>
    <row r="140" spans="1:4" ht="60">
      <c r="A140" s="250" t="s">
        <v>180</v>
      </c>
      <c r="B140" s="250">
        <v>2007</v>
      </c>
      <c r="C140" s="252" t="s">
        <v>182</v>
      </c>
      <c r="D140" s="251">
        <v>18048681</v>
      </c>
    </row>
    <row r="141" spans="1:4" ht="60">
      <c r="A141" s="250" t="s">
        <v>180</v>
      </c>
      <c r="B141" s="250">
        <v>2009</v>
      </c>
      <c r="C141" s="252" t="s">
        <v>182</v>
      </c>
      <c r="D141" s="251">
        <v>15545858</v>
      </c>
    </row>
    <row r="142" spans="1:4" ht="60">
      <c r="A142" s="250" t="s">
        <v>180</v>
      </c>
      <c r="B142" s="250">
        <v>2057</v>
      </c>
      <c r="C142" s="252" t="s">
        <v>183</v>
      </c>
      <c r="D142" s="251">
        <v>21233298</v>
      </c>
    </row>
    <row r="143" spans="1:4" ht="60">
      <c r="A143" s="250" t="s">
        <v>180</v>
      </c>
      <c r="B143" s="250">
        <v>2058</v>
      </c>
      <c r="C143" s="252" t="s">
        <v>183</v>
      </c>
      <c r="D143" s="251">
        <v>46007000</v>
      </c>
    </row>
    <row r="144" spans="1:4" ht="60">
      <c r="A144" s="250" t="s">
        <v>180</v>
      </c>
      <c r="B144" s="250">
        <v>2059</v>
      </c>
      <c r="C144" s="252" t="s">
        <v>183</v>
      </c>
      <c r="D144" s="251">
        <v>2287000</v>
      </c>
    </row>
    <row r="145" spans="1:4" ht="60">
      <c r="A145" s="253" t="s">
        <v>180</v>
      </c>
      <c r="B145" s="253">
        <v>6209</v>
      </c>
      <c r="C145" s="266" t="s">
        <v>238</v>
      </c>
      <c r="D145" s="254">
        <v>330000</v>
      </c>
    </row>
    <row r="146" spans="1:4" ht="60">
      <c r="A146" s="255" t="s">
        <v>180</v>
      </c>
      <c r="B146" s="255">
        <v>6258</v>
      </c>
      <c r="C146" s="276" t="s">
        <v>239</v>
      </c>
      <c r="D146" s="256">
        <v>10107000</v>
      </c>
    </row>
    <row r="147" spans="1:4" ht="17.25" customHeight="1">
      <c r="A147" s="259" t="s">
        <v>33</v>
      </c>
      <c r="B147" s="259" t="s">
        <v>180</v>
      </c>
      <c r="C147" s="264" t="s">
        <v>34</v>
      </c>
      <c r="D147" s="260">
        <f>D148+D150+D152+D154+D156+D161+D164</f>
        <v>2067110</v>
      </c>
    </row>
    <row r="148" spans="1:4" s="261" customFormat="1" ht="17.25" customHeight="1">
      <c r="A148" s="257">
        <v>80102</v>
      </c>
      <c r="B148" s="257" t="s">
        <v>180</v>
      </c>
      <c r="C148" s="262" t="s">
        <v>102</v>
      </c>
      <c r="D148" s="258">
        <f>D149</f>
        <v>5900</v>
      </c>
    </row>
    <row r="149" spans="1:4" ht="17.25" customHeight="1">
      <c r="A149" s="250" t="s">
        <v>180</v>
      </c>
      <c r="B149" s="250" t="s">
        <v>4</v>
      </c>
      <c r="C149" s="252" t="s">
        <v>5</v>
      </c>
      <c r="D149" s="251">
        <v>5900</v>
      </c>
    </row>
    <row r="150" spans="1:4" s="261" customFormat="1" ht="17.25" customHeight="1">
      <c r="A150" s="257">
        <v>80116</v>
      </c>
      <c r="B150" s="257" t="s">
        <v>180</v>
      </c>
      <c r="C150" s="262" t="s">
        <v>105</v>
      </c>
      <c r="D150" s="258">
        <f>D151</f>
        <v>1170</v>
      </c>
    </row>
    <row r="151" spans="1:4" ht="17.25" customHeight="1">
      <c r="A151" s="250" t="s">
        <v>180</v>
      </c>
      <c r="B151" s="250" t="s">
        <v>4</v>
      </c>
      <c r="C151" s="252" t="s">
        <v>5</v>
      </c>
      <c r="D151" s="251">
        <v>1170</v>
      </c>
    </row>
    <row r="152" spans="1:4" s="261" customFormat="1" ht="17.25" customHeight="1">
      <c r="A152" s="257">
        <v>80121</v>
      </c>
      <c r="B152" s="257" t="s">
        <v>180</v>
      </c>
      <c r="C152" s="262" t="s">
        <v>106</v>
      </c>
      <c r="D152" s="258">
        <f>D153</f>
        <v>300</v>
      </c>
    </row>
    <row r="153" spans="1:4" ht="17.25" customHeight="1">
      <c r="A153" s="250" t="s">
        <v>180</v>
      </c>
      <c r="B153" s="250" t="s">
        <v>4</v>
      </c>
      <c r="C153" s="252" t="s">
        <v>5</v>
      </c>
      <c r="D153" s="251">
        <v>300</v>
      </c>
    </row>
    <row r="154" spans="1:4" s="261" customFormat="1" ht="17.25" customHeight="1">
      <c r="A154" s="257">
        <v>80134</v>
      </c>
      <c r="B154" s="257" t="s">
        <v>180</v>
      </c>
      <c r="C154" s="262" t="s">
        <v>107</v>
      </c>
      <c r="D154" s="258">
        <f>D155</f>
        <v>800</v>
      </c>
    </row>
    <row r="155" spans="1:4" ht="17.25" customHeight="1">
      <c r="A155" s="250" t="s">
        <v>180</v>
      </c>
      <c r="B155" s="250" t="s">
        <v>4</v>
      </c>
      <c r="C155" s="252" t="s">
        <v>5</v>
      </c>
      <c r="D155" s="251">
        <v>800</v>
      </c>
    </row>
    <row r="156" spans="1:4" s="261" customFormat="1" ht="17.25" customHeight="1">
      <c r="A156" s="257">
        <v>80140</v>
      </c>
      <c r="B156" s="257" t="s">
        <v>180</v>
      </c>
      <c r="C156" s="262" t="s">
        <v>108</v>
      </c>
      <c r="D156" s="258">
        <f>SUM(D157:D160)</f>
        <v>1430600</v>
      </c>
    </row>
    <row r="157" spans="1:4" ht="17.25" customHeight="1">
      <c r="A157" s="250" t="s">
        <v>180</v>
      </c>
      <c r="B157" s="250" t="s">
        <v>216</v>
      </c>
      <c r="C157" s="252" t="s">
        <v>217</v>
      </c>
      <c r="D157" s="251">
        <v>580000</v>
      </c>
    </row>
    <row r="158" spans="1:4" ht="17.25" customHeight="1">
      <c r="A158" s="250" t="s">
        <v>180</v>
      </c>
      <c r="B158" s="250" t="s">
        <v>4</v>
      </c>
      <c r="C158" s="252" t="s">
        <v>5</v>
      </c>
      <c r="D158" s="251">
        <v>600</v>
      </c>
    </row>
    <row r="159" spans="1:4" ht="33.75" customHeight="1">
      <c r="A159" s="250" t="s">
        <v>180</v>
      </c>
      <c r="B159" s="250">
        <v>2310</v>
      </c>
      <c r="C159" s="252" t="s">
        <v>213</v>
      </c>
      <c r="D159" s="251">
        <v>120000</v>
      </c>
    </row>
    <row r="160" spans="1:4" ht="33.75" customHeight="1">
      <c r="A160" s="250" t="s">
        <v>180</v>
      </c>
      <c r="B160" s="250">
        <v>2320</v>
      </c>
      <c r="C160" s="252" t="s">
        <v>214</v>
      </c>
      <c r="D160" s="251">
        <v>730000</v>
      </c>
    </row>
    <row r="161" spans="1:4" s="261" customFormat="1">
      <c r="A161" s="257">
        <v>80146</v>
      </c>
      <c r="B161" s="257" t="s">
        <v>180</v>
      </c>
      <c r="C161" s="262" t="s">
        <v>109</v>
      </c>
      <c r="D161" s="258">
        <f>D162+D163</f>
        <v>627040</v>
      </c>
    </row>
    <row r="162" spans="1:4">
      <c r="A162" s="250" t="s">
        <v>180</v>
      </c>
      <c r="B162" s="250" t="s">
        <v>4</v>
      </c>
      <c r="C162" s="252" t="s">
        <v>5</v>
      </c>
      <c r="D162" s="251">
        <v>2040</v>
      </c>
    </row>
    <row r="163" spans="1:4" ht="45">
      <c r="A163" s="250" t="s">
        <v>180</v>
      </c>
      <c r="B163" s="250">
        <v>2220</v>
      </c>
      <c r="C163" s="252" t="s">
        <v>241</v>
      </c>
      <c r="D163" s="251">
        <v>625000</v>
      </c>
    </row>
    <row r="164" spans="1:4" s="261" customFormat="1">
      <c r="A164" s="257">
        <v>80147</v>
      </c>
      <c r="B164" s="257" t="s">
        <v>180</v>
      </c>
      <c r="C164" s="262" t="s">
        <v>110</v>
      </c>
      <c r="D164" s="258">
        <f>D165</f>
        <v>1300</v>
      </c>
    </row>
    <row r="165" spans="1:4">
      <c r="A165" s="250" t="s">
        <v>180</v>
      </c>
      <c r="B165" s="250" t="s">
        <v>4</v>
      </c>
      <c r="C165" s="252" t="s">
        <v>5</v>
      </c>
      <c r="D165" s="251">
        <v>1300</v>
      </c>
    </row>
    <row r="166" spans="1:4">
      <c r="A166" s="259" t="s">
        <v>35</v>
      </c>
      <c r="B166" s="259" t="s">
        <v>180</v>
      </c>
      <c r="C166" s="264" t="s">
        <v>36</v>
      </c>
      <c r="D166" s="260">
        <f>D167+D169+D171</f>
        <v>15304956</v>
      </c>
    </row>
    <row r="167" spans="1:4" s="261" customFormat="1" ht="30">
      <c r="A167" s="257">
        <v>85156</v>
      </c>
      <c r="B167" s="257" t="s">
        <v>180</v>
      </c>
      <c r="C167" s="262" t="s">
        <v>242</v>
      </c>
      <c r="D167" s="258">
        <f>D168</f>
        <v>16000</v>
      </c>
    </row>
    <row r="168" spans="1:4" ht="45">
      <c r="A168" s="250" t="s">
        <v>180</v>
      </c>
      <c r="B168" s="250">
        <v>2210</v>
      </c>
      <c r="C168" s="252" t="s">
        <v>186</v>
      </c>
      <c r="D168" s="251">
        <v>16000</v>
      </c>
    </row>
    <row r="169" spans="1:4" s="261" customFormat="1">
      <c r="A169" s="257">
        <v>85157</v>
      </c>
      <c r="B169" s="257" t="s">
        <v>180</v>
      </c>
      <c r="C169" s="267" t="s">
        <v>379</v>
      </c>
      <c r="D169" s="258">
        <f>D170</f>
        <v>15268956</v>
      </c>
    </row>
    <row r="170" spans="1:4" ht="45">
      <c r="A170" s="250" t="s">
        <v>180</v>
      </c>
      <c r="B170" s="250">
        <v>2210</v>
      </c>
      <c r="C170" s="268" t="s">
        <v>186</v>
      </c>
      <c r="D170" s="251">
        <v>15268956</v>
      </c>
    </row>
    <row r="171" spans="1:4" s="261" customFormat="1">
      <c r="A171" s="257">
        <v>85195</v>
      </c>
      <c r="B171" s="257" t="s">
        <v>180</v>
      </c>
      <c r="C171" s="267" t="s">
        <v>46</v>
      </c>
      <c r="D171" s="258">
        <f>D172</f>
        <v>20000</v>
      </c>
    </row>
    <row r="172" spans="1:4" s="247" customFormat="1" ht="45">
      <c r="A172" s="250"/>
      <c r="B172" s="250">
        <v>2210</v>
      </c>
      <c r="C172" s="249" t="s">
        <v>186</v>
      </c>
      <c r="D172" s="251">
        <v>20000</v>
      </c>
    </row>
    <row r="173" spans="1:4">
      <c r="A173" s="259" t="s">
        <v>146</v>
      </c>
      <c r="B173" s="259" t="s">
        <v>180</v>
      </c>
      <c r="C173" s="269" t="s">
        <v>117</v>
      </c>
      <c r="D173" s="260">
        <f>D174+D177+D179</f>
        <v>5918108</v>
      </c>
    </row>
    <row r="174" spans="1:4">
      <c r="A174" s="257">
        <v>85205</v>
      </c>
      <c r="B174" s="257" t="s">
        <v>180</v>
      </c>
      <c r="C174" s="267" t="s">
        <v>119</v>
      </c>
      <c r="D174" s="258">
        <f>SUM(D175:D176)</f>
        <v>178000</v>
      </c>
    </row>
    <row r="175" spans="1:4" ht="30">
      <c r="A175" s="250" t="s">
        <v>180</v>
      </c>
      <c r="B175" s="250">
        <v>2230</v>
      </c>
      <c r="C175" s="268" t="s">
        <v>218</v>
      </c>
      <c r="D175" s="251">
        <v>100000</v>
      </c>
    </row>
    <row r="176" spans="1:4" ht="45.75" customHeight="1">
      <c r="A176" s="250" t="s">
        <v>180</v>
      </c>
      <c r="B176" s="250">
        <v>2900</v>
      </c>
      <c r="C176" s="252" t="s">
        <v>243</v>
      </c>
      <c r="D176" s="251">
        <v>78000</v>
      </c>
    </row>
    <row r="177" spans="1:4" s="261" customFormat="1">
      <c r="A177" s="257">
        <v>85217</v>
      </c>
      <c r="B177" s="257" t="s">
        <v>180</v>
      </c>
      <c r="C177" s="262" t="s">
        <v>120</v>
      </c>
      <c r="D177" s="258">
        <f>D178</f>
        <v>4000</v>
      </c>
    </row>
    <row r="178" spans="1:4">
      <c r="A178" s="250" t="s">
        <v>180</v>
      </c>
      <c r="B178" s="250" t="s">
        <v>4</v>
      </c>
      <c r="C178" s="252" t="s">
        <v>5</v>
      </c>
      <c r="D178" s="251">
        <v>4000</v>
      </c>
    </row>
    <row r="179" spans="1:4" s="261" customFormat="1">
      <c r="A179" s="257">
        <v>85295</v>
      </c>
      <c r="B179" s="257" t="s">
        <v>180</v>
      </c>
      <c r="C179" s="262" t="s">
        <v>46</v>
      </c>
      <c r="D179" s="258">
        <f>SUM(D180:D183)</f>
        <v>5736108</v>
      </c>
    </row>
    <row r="180" spans="1:4" ht="60">
      <c r="A180" s="250" t="s">
        <v>180</v>
      </c>
      <c r="B180" s="250">
        <v>2007</v>
      </c>
      <c r="C180" s="252" t="s">
        <v>182</v>
      </c>
      <c r="D180" s="251">
        <v>3678142</v>
      </c>
    </row>
    <row r="181" spans="1:4" ht="60">
      <c r="A181" s="253" t="s">
        <v>180</v>
      </c>
      <c r="B181" s="253">
        <v>2009</v>
      </c>
      <c r="C181" s="266" t="s">
        <v>182</v>
      </c>
      <c r="D181" s="254">
        <v>686051</v>
      </c>
    </row>
    <row r="182" spans="1:4" ht="60">
      <c r="A182" s="270" t="s">
        <v>180</v>
      </c>
      <c r="B182" s="270">
        <v>2057</v>
      </c>
      <c r="C182" s="271" t="s">
        <v>183</v>
      </c>
      <c r="D182" s="272">
        <v>1158061</v>
      </c>
    </row>
    <row r="183" spans="1:4" ht="60">
      <c r="A183" s="250" t="s">
        <v>180</v>
      </c>
      <c r="B183" s="250">
        <v>2059</v>
      </c>
      <c r="C183" s="252" t="s">
        <v>183</v>
      </c>
      <c r="D183" s="251">
        <v>213854</v>
      </c>
    </row>
    <row r="184" spans="1:4">
      <c r="A184" s="259" t="s">
        <v>37</v>
      </c>
      <c r="B184" s="259" t="s">
        <v>180</v>
      </c>
      <c r="C184" s="264" t="s">
        <v>42</v>
      </c>
      <c r="D184" s="260">
        <f>D185+D187+D189</f>
        <v>8610115</v>
      </c>
    </row>
    <row r="185" spans="1:4" s="261" customFormat="1">
      <c r="A185" s="257">
        <v>85324</v>
      </c>
      <c r="B185" s="257" t="s">
        <v>180</v>
      </c>
      <c r="C185" s="262" t="s">
        <v>123</v>
      </c>
      <c r="D185" s="258">
        <f>D186</f>
        <v>375000</v>
      </c>
    </row>
    <row r="186" spans="1:4">
      <c r="A186" s="250" t="s">
        <v>180</v>
      </c>
      <c r="B186" s="250" t="s">
        <v>4</v>
      </c>
      <c r="C186" s="252" t="s">
        <v>5</v>
      </c>
      <c r="D186" s="251">
        <v>375000</v>
      </c>
    </row>
    <row r="187" spans="1:4" s="261" customFormat="1">
      <c r="A187" s="257">
        <v>85325</v>
      </c>
      <c r="B187" s="257" t="s">
        <v>180</v>
      </c>
      <c r="C187" s="262" t="s">
        <v>124</v>
      </c>
      <c r="D187" s="258">
        <f>D188</f>
        <v>1398000</v>
      </c>
    </row>
    <row r="188" spans="1:4">
      <c r="A188" s="250" t="s">
        <v>180</v>
      </c>
      <c r="B188" s="250" t="s">
        <v>4</v>
      </c>
      <c r="C188" s="252" t="s">
        <v>5</v>
      </c>
      <c r="D188" s="251">
        <v>1398000</v>
      </c>
    </row>
    <row r="189" spans="1:4" s="261" customFormat="1">
      <c r="A189" s="257">
        <v>85332</v>
      </c>
      <c r="B189" s="257" t="s">
        <v>180</v>
      </c>
      <c r="C189" s="262" t="s">
        <v>43</v>
      </c>
      <c r="D189" s="258">
        <f>SUM(D190:D193)</f>
        <v>6837115</v>
      </c>
    </row>
    <row r="190" spans="1:4">
      <c r="A190" s="250" t="s">
        <v>180</v>
      </c>
      <c r="B190" s="250" t="s">
        <v>4</v>
      </c>
      <c r="C190" s="252" t="s">
        <v>5</v>
      </c>
      <c r="D190" s="251">
        <v>30000</v>
      </c>
    </row>
    <row r="191" spans="1:4" ht="61.5" customHeight="1">
      <c r="A191" s="250" t="s">
        <v>180</v>
      </c>
      <c r="B191" s="250">
        <v>2009</v>
      </c>
      <c r="C191" s="252" t="s">
        <v>182</v>
      </c>
      <c r="D191" s="251">
        <v>4081000</v>
      </c>
    </row>
    <row r="192" spans="1:4" ht="63.75" customHeight="1">
      <c r="A192" s="250" t="s">
        <v>180</v>
      </c>
      <c r="B192" s="250">
        <v>2058</v>
      </c>
      <c r="C192" s="252" t="s">
        <v>183</v>
      </c>
      <c r="D192" s="251">
        <v>2725115</v>
      </c>
    </row>
    <row r="193" spans="1:4" ht="45">
      <c r="A193" s="250" t="s">
        <v>180</v>
      </c>
      <c r="B193" s="250">
        <v>2210</v>
      </c>
      <c r="C193" s="252" t="s">
        <v>186</v>
      </c>
      <c r="D193" s="251">
        <v>1000</v>
      </c>
    </row>
    <row r="194" spans="1:4" ht="17.25" customHeight="1">
      <c r="A194" s="259" t="s">
        <v>7</v>
      </c>
      <c r="B194" s="259" t="s">
        <v>180</v>
      </c>
      <c r="C194" s="264" t="s">
        <v>8</v>
      </c>
      <c r="D194" s="260">
        <f>D195+D197+D199</f>
        <v>4230</v>
      </c>
    </row>
    <row r="195" spans="1:4" s="261" customFormat="1" ht="17.25" customHeight="1">
      <c r="A195" s="257">
        <v>85403</v>
      </c>
      <c r="B195" s="257" t="s">
        <v>180</v>
      </c>
      <c r="C195" s="262" t="s">
        <v>125</v>
      </c>
      <c r="D195" s="258">
        <f>D196</f>
        <v>3800</v>
      </c>
    </row>
    <row r="196" spans="1:4" ht="17.25" customHeight="1">
      <c r="A196" s="250" t="s">
        <v>180</v>
      </c>
      <c r="B196" s="250" t="s">
        <v>4</v>
      </c>
      <c r="C196" s="252" t="s">
        <v>5</v>
      </c>
      <c r="D196" s="251">
        <v>3800</v>
      </c>
    </row>
    <row r="197" spans="1:4" s="261" customFormat="1" ht="17.25" customHeight="1">
      <c r="A197" s="257">
        <v>85404</v>
      </c>
      <c r="B197" s="257" t="s">
        <v>180</v>
      </c>
      <c r="C197" s="262" t="s">
        <v>126</v>
      </c>
      <c r="D197" s="258">
        <f>D198</f>
        <v>50</v>
      </c>
    </row>
    <row r="198" spans="1:4" ht="17.25" customHeight="1">
      <c r="A198" s="250" t="s">
        <v>180</v>
      </c>
      <c r="B198" s="250" t="s">
        <v>4</v>
      </c>
      <c r="C198" s="252" t="s">
        <v>5</v>
      </c>
      <c r="D198" s="251">
        <v>50</v>
      </c>
    </row>
    <row r="199" spans="1:4" s="261" customFormat="1" ht="17.25" customHeight="1">
      <c r="A199" s="257">
        <v>85407</v>
      </c>
      <c r="B199" s="257" t="s">
        <v>180</v>
      </c>
      <c r="C199" s="262" t="s">
        <v>127</v>
      </c>
      <c r="D199" s="258">
        <f>D200</f>
        <v>380</v>
      </c>
    </row>
    <row r="200" spans="1:4" ht="17.25" customHeight="1">
      <c r="A200" s="250" t="s">
        <v>180</v>
      </c>
      <c r="B200" s="250" t="s">
        <v>4</v>
      </c>
      <c r="C200" s="252" t="s">
        <v>5</v>
      </c>
      <c r="D200" s="251">
        <v>380</v>
      </c>
    </row>
    <row r="201" spans="1:4" ht="17.25" customHeight="1">
      <c r="A201" s="259" t="s">
        <v>52</v>
      </c>
      <c r="B201" s="259" t="s">
        <v>180</v>
      </c>
      <c r="C201" s="264" t="s">
        <v>53</v>
      </c>
      <c r="D201" s="260">
        <f>D202</f>
        <v>3137000</v>
      </c>
    </row>
    <row r="202" spans="1:4" s="261" customFormat="1" ht="17.25" customHeight="1">
      <c r="A202" s="257">
        <v>85509</v>
      </c>
      <c r="B202" s="257" t="s">
        <v>180</v>
      </c>
      <c r="C202" s="262" t="s">
        <v>54</v>
      </c>
      <c r="D202" s="258">
        <f>D203</f>
        <v>3137000</v>
      </c>
    </row>
    <row r="203" spans="1:4" ht="45">
      <c r="A203" s="250" t="s">
        <v>180</v>
      </c>
      <c r="B203" s="250">
        <v>2210</v>
      </c>
      <c r="C203" s="252" t="s">
        <v>186</v>
      </c>
      <c r="D203" s="251">
        <v>3137000</v>
      </c>
    </row>
    <row r="204" spans="1:4">
      <c r="A204" s="259" t="s">
        <v>38</v>
      </c>
      <c r="B204" s="259" t="s">
        <v>180</v>
      </c>
      <c r="C204" s="264" t="s">
        <v>39</v>
      </c>
      <c r="D204" s="260">
        <f>D205+D207+D209+D211+D213+D215+D217+D219</f>
        <v>2092133</v>
      </c>
    </row>
    <row r="205" spans="1:4" s="261" customFormat="1">
      <c r="A205" s="257">
        <v>90002</v>
      </c>
      <c r="B205" s="257" t="s">
        <v>180</v>
      </c>
      <c r="C205" s="262" t="s">
        <v>144</v>
      </c>
      <c r="D205" s="258">
        <f>D206</f>
        <v>2000</v>
      </c>
    </row>
    <row r="206" spans="1:4" ht="45">
      <c r="A206" s="250" t="s">
        <v>180</v>
      </c>
      <c r="B206" s="250">
        <v>2210</v>
      </c>
      <c r="C206" s="252" t="s">
        <v>186</v>
      </c>
      <c r="D206" s="251">
        <v>2000</v>
      </c>
    </row>
    <row r="207" spans="1:4" s="261" customFormat="1">
      <c r="A207" s="257">
        <v>90005</v>
      </c>
      <c r="B207" s="257" t="s">
        <v>180</v>
      </c>
      <c r="C207" s="262" t="s">
        <v>44</v>
      </c>
      <c r="D207" s="258">
        <f>D208</f>
        <v>137000</v>
      </c>
    </row>
    <row r="208" spans="1:4" ht="45">
      <c r="A208" s="250" t="s">
        <v>180</v>
      </c>
      <c r="B208" s="250">
        <v>2210</v>
      </c>
      <c r="C208" s="252" t="s">
        <v>186</v>
      </c>
      <c r="D208" s="251">
        <v>137000</v>
      </c>
    </row>
    <row r="209" spans="1:4" s="261" customFormat="1">
      <c r="A209" s="257">
        <v>90007</v>
      </c>
      <c r="B209" s="257" t="s">
        <v>180</v>
      </c>
      <c r="C209" s="262" t="s">
        <v>45</v>
      </c>
      <c r="D209" s="258">
        <f>D210</f>
        <v>59000</v>
      </c>
    </row>
    <row r="210" spans="1:4" ht="46.5" customHeight="1">
      <c r="A210" s="250" t="s">
        <v>180</v>
      </c>
      <c r="B210" s="250">
        <v>2210</v>
      </c>
      <c r="C210" s="252" t="s">
        <v>186</v>
      </c>
      <c r="D210" s="251">
        <v>59000</v>
      </c>
    </row>
    <row r="211" spans="1:4" s="261" customFormat="1" ht="30">
      <c r="A211" s="257">
        <v>90019</v>
      </c>
      <c r="B211" s="257" t="s">
        <v>180</v>
      </c>
      <c r="C211" s="262" t="s">
        <v>131</v>
      </c>
      <c r="D211" s="258">
        <f>D212</f>
        <v>910000</v>
      </c>
    </row>
    <row r="212" spans="1:4" ht="17.25" customHeight="1">
      <c r="A212" s="250" t="s">
        <v>180</v>
      </c>
      <c r="B212" s="250" t="s">
        <v>47</v>
      </c>
      <c r="C212" s="252" t="s">
        <v>48</v>
      </c>
      <c r="D212" s="251">
        <v>910000</v>
      </c>
    </row>
    <row r="213" spans="1:4" s="261" customFormat="1" ht="17.25" customHeight="1">
      <c r="A213" s="257">
        <v>90020</v>
      </c>
      <c r="B213" s="257" t="s">
        <v>180</v>
      </c>
      <c r="C213" s="262" t="s">
        <v>132</v>
      </c>
      <c r="D213" s="258">
        <f>D214</f>
        <v>24248</v>
      </c>
    </row>
    <row r="214" spans="1:4" ht="17.25" customHeight="1">
      <c r="A214" s="250" t="s">
        <v>180</v>
      </c>
      <c r="B214" s="250" t="s">
        <v>244</v>
      </c>
      <c r="C214" s="252" t="s">
        <v>245</v>
      </c>
      <c r="D214" s="251">
        <v>24248</v>
      </c>
    </row>
    <row r="215" spans="1:4" s="261" customFormat="1" ht="17.25" customHeight="1">
      <c r="A215" s="257">
        <v>90024</v>
      </c>
      <c r="B215" s="257" t="s">
        <v>180</v>
      </c>
      <c r="C215" s="262" t="s">
        <v>246</v>
      </c>
      <c r="D215" s="258">
        <f>D216</f>
        <v>3510</v>
      </c>
    </row>
    <row r="216" spans="1:4" ht="17.25" customHeight="1">
      <c r="A216" s="250" t="s">
        <v>180</v>
      </c>
      <c r="B216" s="250" t="s">
        <v>47</v>
      </c>
      <c r="C216" s="252" t="s">
        <v>48</v>
      </c>
      <c r="D216" s="251">
        <v>3510</v>
      </c>
    </row>
    <row r="217" spans="1:4" s="261" customFormat="1" ht="17.25" customHeight="1">
      <c r="A217" s="257">
        <v>90026</v>
      </c>
      <c r="B217" s="257" t="s">
        <v>180</v>
      </c>
      <c r="C217" s="262" t="s">
        <v>133</v>
      </c>
      <c r="D217" s="258">
        <f>D218</f>
        <v>120300</v>
      </c>
    </row>
    <row r="218" spans="1:4" ht="17.25" customHeight="1">
      <c r="A218" s="253" t="s">
        <v>180</v>
      </c>
      <c r="B218" s="253" t="s">
        <v>247</v>
      </c>
      <c r="C218" s="266" t="s">
        <v>248</v>
      </c>
      <c r="D218" s="254">
        <v>120300</v>
      </c>
    </row>
    <row r="219" spans="1:4" s="261" customFormat="1" ht="17.25" customHeight="1">
      <c r="A219" s="273">
        <v>90095</v>
      </c>
      <c r="B219" s="273" t="s">
        <v>180</v>
      </c>
      <c r="C219" s="274" t="s">
        <v>46</v>
      </c>
      <c r="D219" s="275">
        <f>D220+D221</f>
        <v>836075</v>
      </c>
    </row>
    <row r="220" spans="1:4" ht="17.25" customHeight="1">
      <c r="A220" s="250" t="s">
        <v>180</v>
      </c>
      <c r="B220" s="250" t="s">
        <v>47</v>
      </c>
      <c r="C220" s="252" t="s">
        <v>48</v>
      </c>
      <c r="D220" s="251">
        <v>232075</v>
      </c>
    </row>
    <row r="221" spans="1:4" ht="45">
      <c r="A221" s="250" t="s">
        <v>180</v>
      </c>
      <c r="B221" s="250">
        <v>2210</v>
      </c>
      <c r="C221" s="252" t="s">
        <v>186</v>
      </c>
      <c r="D221" s="251">
        <v>604000</v>
      </c>
    </row>
    <row r="222" spans="1:4" ht="16.5" customHeight="1">
      <c r="A222" s="259" t="s">
        <v>40</v>
      </c>
      <c r="B222" s="259" t="s">
        <v>180</v>
      </c>
      <c r="C222" s="264" t="s">
        <v>41</v>
      </c>
      <c r="D222" s="260">
        <f>D223+D225+D227</f>
        <v>17170489</v>
      </c>
    </row>
    <row r="223" spans="1:4" s="261" customFormat="1" ht="16.5" customHeight="1">
      <c r="A223" s="257">
        <v>92106</v>
      </c>
      <c r="B223" s="257" t="s">
        <v>180</v>
      </c>
      <c r="C223" s="262" t="s">
        <v>314</v>
      </c>
      <c r="D223" s="258">
        <f>D224</f>
        <v>13397376</v>
      </c>
    </row>
    <row r="224" spans="1:4" ht="45">
      <c r="A224" s="250" t="s">
        <v>180</v>
      </c>
      <c r="B224" s="250">
        <v>6300</v>
      </c>
      <c r="C224" s="252" t="s">
        <v>200</v>
      </c>
      <c r="D224" s="251">
        <v>13397376</v>
      </c>
    </row>
    <row r="225" spans="1:4" s="261" customFormat="1">
      <c r="A225" s="257">
        <v>92109</v>
      </c>
      <c r="B225" s="257" t="s">
        <v>180</v>
      </c>
      <c r="C225" s="262" t="s">
        <v>135</v>
      </c>
      <c r="D225" s="258">
        <f>D226</f>
        <v>73113</v>
      </c>
    </row>
    <row r="226" spans="1:4" ht="31.5" customHeight="1">
      <c r="A226" s="250" t="s">
        <v>180</v>
      </c>
      <c r="B226" s="250">
        <v>2310</v>
      </c>
      <c r="C226" s="252" t="s">
        <v>213</v>
      </c>
      <c r="D226" s="251">
        <v>73113</v>
      </c>
    </row>
    <row r="227" spans="1:4" s="261" customFormat="1">
      <c r="A227" s="257">
        <v>92116</v>
      </c>
      <c r="B227" s="257" t="s">
        <v>180</v>
      </c>
      <c r="C227" s="262" t="s">
        <v>138</v>
      </c>
      <c r="D227" s="258">
        <f>D228</f>
        <v>3700000</v>
      </c>
    </row>
    <row r="228" spans="1:4" ht="33" customHeight="1">
      <c r="A228" s="250" t="s">
        <v>180</v>
      </c>
      <c r="B228" s="250">
        <v>2310</v>
      </c>
      <c r="C228" s="252" t="s">
        <v>213</v>
      </c>
      <c r="D228" s="251">
        <v>3700000</v>
      </c>
    </row>
    <row r="229" spans="1:4" ht="30">
      <c r="A229" s="259">
        <v>925</v>
      </c>
      <c r="B229" s="259" t="s">
        <v>180</v>
      </c>
      <c r="C229" s="264" t="s">
        <v>141</v>
      </c>
      <c r="D229" s="260">
        <f>D230</f>
        <v>2286000</v>
      </c>
    </row>
    <row r="230" spans="1:4" s="261" customFormat="1" ht="17.25" customHeight="1">
      <c r="A230" s="257">
        <v>92502</v>
      </c>
      <c r="B230" s="257" t="s">
        <v>180</v>
      </c>
      <c r="C230" s="262" t="s">
        <v>142</v>
      </c>
      <c r="D230" s="258">
        <f>D231+D232</f>
        <v>2286000</v>
      </c>
    </row>
    <row r="231" spans="1:4" ht="17.25" customHeight="1">
      <c r="A231" s="250" t="s">
        <v>180</v>
      </c>
      <c r="B231" s="250" t="s">
        <v>4</v>
      </c>
      <c r="C231" s="252" t="s">
        <v>5</v>
      </c>
      <c r="D231" s="251">
        <v>106000</v>
      </c>
    </row>
    <row r="232" spans="1:4" ht="33.75" customHeight="1">
      <c r="A232" s="253" t="s">
        <v>180</v>
      </c>
      <c r="B232" s="253">
        <v>2230</v>
      </c>
      <c r="C232" s="266" t="s">
        <v>218</v>
      </c>
      <c r="D232" s="254">
        <v>2180000</v>
      </c>
    </row>
  </sheetData>
  <sheetProtection algorithmName="SHA-512" hashValue="wWftiZM2CpiE6s+VAVmvg+cQQjA7WYtXsrji7UBYnCykyjPe0DUsN7Sp10jozaI/2R5u2+/ZAvXvftThi0AP4g==" saltValue="Aaqah6Au8sHV8e0XqrfqnA==" spinCount="100000" sheet="1" objects="1" scenarios="1"/>
  <mergeCells count="5">
    <mergeCell ref="C1:D1"/>
    <mergeCell ref="C2:D2"/>
    <mergeCell ref="C3:D3"/>
    <mergeCell ref="A5:D5"/>
    <mergeCell ref="A6:D6"/>
  </mergeCells>
  <printOptions horizontalCentered="1"/>
  <pageMargins left="0.98425196850393704" right="0.98425196850393704" top="0.98425196850393704" bottom="0.7480314960629921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4"/>
  <sheetViews>
    <sheetView view="pageBreakPreview" topLeftCell="A130" zoomScaleNormal="100" zoomScaleSheetLayoutView="100" workbookViewId="0">
      <selection activeCell="B157" sqref="B157"/>
    </sheetView>
  </sheetViews>
  <sheetFormatPr defaultRowHeight="12.75"/>
  <cols>
    <col min="1" max="1" width="7" style="289" customWidth="1"/>
    <col min="2" max="2" width="33.875" style="290" customWidth="1"/>
    <col min="3" max="3" width="14.5" style="357" customWidth="1"/>
    <col min="4" max="4" width="12.75" style="291" customWidth="1"/>
    <col min="5" max="6" width="13.25" style="291" customWidth="1"/>
    <col min="7" max="7" width="12.75" style="291" customWidth="1"/>
    <col min="8" max="8" width="11.875" style="291" customWidth="1"/>
    <col min="9" max="9" width="11.25" style="291" customWidth="1"/>
    <col min="10" max="10" width="14.25" style="291" customWidth="1"/>
    <col min="11" max="11" width="13.25" style="291" customWidth="1"/>
    <col min="12" max="12" width="12.375" style="291" customWidth="1"/>
    <col min="13" max="13" width="13.25" style="291" customWidth="1"/>
    <col min="14" max="14" width="14.5" style="291" customWidth="1"/>
    <col min="15" max="15" width="12.75" style="291" customWidth="1"/>
    <col min="16" max="256" width="9" style="290"/>
    <col min="257" max="257" width="7" style="290" customWidth="1"/>
    <col min="258" max="258" width="33.875" style="290" customWidth="1"/>
    <col min="259" max="259" width="14.5" style="290" customWidth="1"/>
    <col min="260" max="260" width="12.75" style="290" customWidth="1"/>
    <col min="261" max="262" width="13.25" style="290" customWidth="1"/>
    <col min="263" max="263" width="12.75" style="290" customWidth="1"/>
    <col min="264" max="264" width="11.875" style="290" customWidth="1"/>
    <col min="265" max="265" width="11.25" style="290" customWidth="1"/>
    <col min="266" max="266" width="14.25" style="290" customWidth="1"/>
    <col min="267" max="267" width="13.25" style="290" customWidth="1"/>
    <col min="268" max="268" width="12.375" style="290" customWidth="1"/>
    <col min="269" max="269" width="13.25" style="290" customWidth="1"/>
    <col min="270" max="270" width="14.5" style="290" customWidth="1"/>
    <col min="271" max="271" width="12.75" style="290" customWidth="1"/>
    <col min="272" max="512" width="9" style="290"/>
    <col min="513" max="513" width="7" style="290" customWidth="1"/>
    <col min="514" max="514" width="33.875" style="290" customWidth="1"/>
    <col min="515" max="515" width="14.5" style="290" customWidth="1"/>
    <col min="516" max="516" width="12.75" style="290" customWidth="1"/>
    <col min="517" max="518" width="13.25" style="290" customWidth="1"/>
    <col min="519" max="519" width="12.75" style="290" customWidth="1"/>
    <col min="520" max="520" width="11.875" style="290" customWidth="1"/>
    <col min="521" max="521" width="11.25" style="290" customWidth="1"/>
    <col min="522" max="522" width="14.25" style="290" customWidth="1"/>
    <col min="523" max="523" width="13.25" style="290" customWidth="1"/>
    <col min="524" max="524" width="12.375" style="290" customWidth="1"/>
    <col min="525" max="525" width="13.25" style="290" customWidth="1"/>
    <col min="526" max="526" width="14.5" style="290" customWidth="1"/>
    <col min="527" max="527" width="12.75" style="290" customWidth="1"/>
    <col min="528" max="768" width="9" style="290"/>
    <col min="769" max="769" width="7" style="290" customWidth="1"/>
    <col min="770" max="770" width="33.875" style="290" customWidth="1"/>
    <col min="771" max="771" width="14.5" style="290" customWidth="1"/>
    <col min="772" max="772" width="12.75" style="290" customWidth="1"/>
    <col min="773" max="774" width="13.25" style="290" customWidth="1"/>
    <col min="775" max="775" width="12.75" style="290" customWidth="1"/>
    <col min="776" max="776" width="11.875" style="290" customWidth="1"/>
    <col min="777" max="777" width="11.25" style="290" customWidth="1"/>
    <col min="778" max="778" width="14.25" style="290" customWidth="1"/>
    <col min="779" max="779" width="13.25" style="290" customWidth="1"/>
    <col min="780" max="780" width="12.375" style="290" customWidth="1"/>
    <col min="781" max="781" width="13.25" style="290" customWidth="1"/>
    <col min="782" max="782" width="14.5" style="290" customWidth="1"/>
    <col min="783" max="783" width="12.75" style="290" customWidth="1"/>
    <col min="784" max="1024" width="9" style="290"/>
    <col min="1025" max="1025" width="7" style="290" customWidth="1"/>
    <col min="1026" max="1026" width="33.875" style="290" customWidth="1"/>
    <col min="1027" max="1027" width="14.5" style="290" customWidth="1"/>
    <col min="1028" max="1028" width="12.75" style="290" customWidth="1"/>
    <col min="1029" max="1030" width="13.25" style="290" customWidth="1"/>
    <col min="1031" max="1031" width="12.75" style="290" customWidth="1"/>
    <col min="1032" max="1032" width="11.875" style="290" customWidth="1"/>
    <col min="1033" max="1033" width="11.25" style="290" customWidth="1"/>
    <col min="1034" max="1034" width="14.25" style="290" customWidth="1"/>
    <col min="1035" max="1035" width="13.25" style="290" customWidth="1"/>
    <col min="1036" max="1036" width="12.375" style="290" customWidth="1"/>
    <col min="1037" max="1037" width="13.25" style="290" customWidth="1"/>
    <col min="1038" max="1038" width="14.5" style="290" customWidth="1"/>
    <col min="1039" max="1039" width="12.75" style="290" customWidth="1"/>
    <col min="1040" max="1280" width="9" style="290"/>
    <col min="1281" max="1281" width="7" style="290" customWidth="1"/>
    <col min="1282" max="1282" width="33.875" style="290" customWidth="1"/>
    <col min="1283" max="1283" width="14.5" style="290" customWidth="1"/>
    <col min="1284" max="1284" width="12.75" style="290" customWidth="1"/>
    <col min="1285" max="1286" width="13.25" style="290" customWidth="1"/>
    <col min="1287" max="1287" width="12.75" style="290" customWidth="1"/>
    <col min="1288" max="1288" width="11.875" style="290" customWidth="1"/>
    <col min="1289" max="1289" width="11.25" style="290" customWidth="1"/>
    <col min="1290" max="1290" width="14.25" style="290" customWidth="1"/>
    <col min="1291" max="1291" width="13.25" style="290" customWidth="1"/>
    <col min="1292" max="1292" width="12.375" style="290" customWidth="1"/>
    <col min="1293" max="1293" width="13.25" style="290" customWidth="1"/>
    <col min="1294" max="1294" width="14.5" style="290" customWidth="1"/>
    <col min="1295" max="1295" width="12.75" style="290" customWidth="1"/>
    <col min="1296" max="1536" width="9" style="290"/>
    <col min="1537" max="1537" width="7" style="290" customWidth="1"/>
    <col min="1538" max="1538" width="33.875" style="290" customWidth="1"/>
    <col min="1539" max="1539" width="14.5" style="290" customWidth="1"/>
    <col min="1540" max="1540" width="12.75" style="290" customWidth="1"/>
    <col min="1541" max="1542" width="13.25" style="290" customWidth="1"/>
    <col min="1543" max="1543" width="12.75" style="290" customWidth="1"/>
    <col min="1544" max="1544" width="11.875" style="290" customWidth="1"/>
    <col min="1545" max="1545" width="11.25" style="290" customWidth="1"/>
    <col min="1546" max="1546" width="14.25" style="290" customWidth="1"/>
    <col min="1547" max="1547" width="13.25" style="290" customWidth="1"/>
    <col min="1548" max="1548" width="12.375" style="290" customWidth="1"/>
    <col min="1549" max="1549" width="13.25" style="290" customWidth="1"/>
    <col min="1550" max="1550" width="14.5" style="290" customWidth="1"/>
    <col min="1551" max="1551" width="12.75" style="290" customWidth="1"/>
    <col min="1552" max="1792" width="9" style="290"/>
    <col min="1793" max="1793" width="7" style="290" customWidth="1"/>
    <col min="1794" max="1794" width="33.875" style="290" customWidth="1"/>
    <col min="1795" max="1795" width="14.5" style="290" customWidth="1"/>
    <col min="1796" max="1796" width="12.75" style="290" customWidth="1"/>
    <col min="1797" max="1798" width="13.25" style="290" customWidth="1"/>
    <col min="1799" max="1799" width="12.75" style="290" customWidth="1"/>
    <col min="1800" max="1800" width="11.875" style="290" customWidth="1"/>
    <col min="1801" max="1801" width="11.25" style="290" customWidth="1"/>
    <col min="1802" max="1802" width="14.25" style="290" customWidth="1"/>
    <col min="1803" max="1803" width="13.25" style="290" customWidth="1"/>
    <col min="1804" max="1804" width="12.375" style="290" customWidth="1"/>
    <col min="1805" max="1805" width="13.25" style="290" customWidth="1"/>
    <col min="1806" max="1806" width="14.5" style="290" customWidth="1"/>
    <col min="1807" max="1807" width="12.75" style="290" customWidth="1"/>
    <col min="1808" max="2048" width="9" style="290"/>
    <col min="2049" max="2049" width="7" style="290" customWidth="1"/>
    <col min="2050" max="2050" width="33.875" style="290" customWidth="1"/>
    <col min="2051" max="2051" width="14.5" style="290" customWidth="1"/>
    <col min="2052" max="2052" width="12.75" style="290" customWidth="1"/>
    <col min="2053" max="2054" width="13.25" style="290" customWidth="1"/>
    <col min="2055" max="2055" width="12.75" style="290" customWidth="1"/>
    <col min="2056" max="2056" width="11.875" style="290" customWidth="1"/>
    <col min="2057" max="2057" width="11.25" style="290" customWidth="1"/>
    <col min="2058" max="2058" width="14.25" style="290" customWidth="1"/>
    <col min="2059" max="2059" width="13.25" style="290" customWidth="1"/>
    <col min="2060" max="2060" width="12.375" style="290" customWidth="1"/>
    <col min="2061" max="2061" width="13.25" style="290" customWidth="1"/>
    <col min="2062" max="2062" width="14.5" style="290" customWidth="1"/>
    <col min="2063" max="2063" width="12.75" style="290" customWidth="1"/>
    <col min="2064" max="2304" width="9" style="290"/>
    <col min="2305" max="2305" width="7" style="290" customWidth="1"/>
    <col min="2306" max="2306" width="33.875" style="290" customWidth="1"/>
    <col min="2307" max="2307" width="14.5" style="290" customWidth="1"/>
    <col min="2308" max="2308" width="12.75" style="290" customWidth="1"/>
    <col min="2309" max="2310" width="13.25" style="290" customWidth="1"/>
    <col min="2311" max="2311" width="12.75" style="290" customWidth="1"/>
    <col min="2312" max="2312" width="11.875" style="290" customWidth="1"/>
    <col min="2313" max="2313" width="11.25" style="290" customWidth="1"/>
    <col min="2314" max="2314" width="14.25" style="290" customWidth="1"/>
    <col min="2315" max="2315" width="13.25" style="290" customWidth="1"/>
    <col min="2316" max="2316" width="12.375" style="290" customWidth="1"/>
    <col min="2317" max="2317" width="13.25" style="290" customWidth="1"/>
    <col min="2318" max="2318" width="14.5" style="290" customWidth="1"/>
    <col min="2319" max="2319" width="12.75" style="290" customWidth="1"/>
    <col min="2320" max="2560" width="9" style="290"/>
    <col min="2561" max="2561" width="7" style="290" customWidth="1"/>
    <col min="2562" max="2562" width="33.875" style="290" customWidth="1"/>
    <col min="2563" max="2563" width="14.5" style="290" customWidth="1"/>
    <col min="2564" max="2564" width="12.75" style="290" customWidth="1"/>
    <col min="2565" max="2566" width="13.25" style="290" customWidth="1"/>
    <col min="2567" max="2567" width="12.75" style="290" customWidth="1"/>
    <col min="2568" max="2568" width="11.875" style="290" customWidth="1"/>
    <col min="2569" max="2569" width="11.25" style="290" customWidth="1"/>
    <col min="2570" max="2570" width="14.25" style="290" customWidth="1"/>
    <col min="2571" max="2571" width="13.25" style="290" customWidth="1"/>
    <col min="2572" max="2572" width="12.375" style="290" customWidth="1"/>
    <col min="2573" max="2573" width="13.25" style="290" customWidth="1"/>
    <col min="2574" max="2574" width="14.5" style="290" customWidth="1"/>
    <col min="2575" max="2575" width="12.75" style="290" customWidth="1"/>
    <col min="2576" max="2816" width="9" style="290"/>
    <col min="2817" max="2817" width="7" style="290" customWidth="1"/>
    <col min="2818" max="2818" width="33.875" style="290" customWidth="1"/>
    <col min="2819" max="2819" width="14.5" style="290" customWidth="1"/>
    <col min="2820" max="2820" width="12.75" style="290" customWidth="1"/>
    <col min="2821" max="2822" width="13.25" style="290" customWidth="1"/>
    <col min="2823" max="2823" width="12.75" style="290" customWidth="1"/>
    <col min="2824" max="2824" width="11.875" style="290" customWidth="1"/>
    <col min="2825" max="2825" width="11.25" style="290" customWidth="1"/>
    <col min="2826" max="2826" width="14.25" style="290" customWidth="1"/>
    <col min="2827" max="2827" width="13.25" style="290" customWidth="1"/>
    <col min="2828" max="2828" width="12.375" style="290" customWidth="1"/>
    <col min="2829" max="2829" width="13.25" style="290" customWidth="1"/>
    <col min="2830" max="2830" width="14.5" style="290" customWidth="1"/>
    <col min="2831" max="2831" width="12.75" style="290" customWidth="1"/>
    <col min="2832" max="3072" width="9" style="290"/>
    <col min="3073" max="3073" width="7" style="290" customWidth="1"/>
    <col min="3074" max="3074" width="33.875" style="290" customWidth="1"/>
    <col min="3075" max="3075" width="14.5" style="290" customWidth="1"/>
    <col min="3076" max="3076" width="12.75" style="290" customWidth="1"/>
    <col min="3077" max="3078" width="13.25" style="290" customWidth="1"/>
    <col min="3079" max="3079" width="12.75" style="290" customWidth="1"/>
    <col min="3080" max="3080" width="11.875" style="290" customWidth="1"/>
    <col min="3081" max="3081" width="11.25" style="290" customWidth="1"/>
    <col min="3082" max="3082" width="14.25" style="290" customWidth="1"/>
    <col min="3083" max="3083" width="13.25" style="290" customWidth="1"/>
    <col min="3084" max="3084" width="12.375" style="290" customWidth="1"/>
    <col min="3085" max="3085" width="13.25" style="290" customWidth="1"/>
    <col min="3086" max="3086" width="14.5" style="290" customWidth="1"/>
    <col min="3087" max="3087" width="12.75" style="290" customWidth="1"/>
    <col min="3088" max="3328" width="9" style="290"/>
    <col min="3329" max="3329" width="7" style="290" customWidth="1"/>
    <col min="3330" max="3330" width="33.875" style="290" customWidth="1"/>
    <col min="3331" max="3331" width="14.5" style="290" customWidth="1"/>
    <col min="3332" max="3332" width="12.75" style="290" customWidth="1"/>
    <col min="3333" max="3334" width="13.25" style="290" customWidth="1"/>
    <col min="3335" max="3335" width="12.75" style="290" customWidth="1"/>
    <col min="3336" max="3336" width="11.875" style="290" customWidth="1"/>
    <col min="3337" max="3337" width="11.25" style="290" customWidth="1"/>
    <col min="3338" max="3338" width="14.25" style="290" customWidth="1"/>
    <col min="3339" max="3339" width="13.25" style="290" customWidth="1"/>
    <col min="3340" max="3340" width="12.375" style="290" customWidth="1"/>
    <col min="3341" max="3341" width="13.25" style="290" customWidth="1"/>
    <col min="3342" max="3342" width="14.5" style="290" customWidth="1"/>
    <col min="3343" max="3343" width="12.75" style="290" customWidth="1"/>
    <col min="3344" max="3584" width="9" style="290"/>
    <col min="3585" max="3585" width="7" style="290" customWidth="1"/>
    <col min="3586" max="3586" width="33.875" style="290" customWidth="1"/>
    <col min="3587" max="3587" width="14.5" style="290" customWidth="1"/>
    <col min="3588" max="3588" width="12.75" style="290" customWidth="1"/>
    <col min="3589" max="3590" width="13.25" style="290" customWidth="1"/>
    <col min="3591" max="3591" width="12.75" style="290" customWidth="1"/>
    <col min="3592" max="3592" width="11.875" style="290" customWidth="1"/>
    <col min="3593" max="3593" width="11.25" style="290" customWidth="1"/>
    <col min="3594" max="3594" width="14.25" style="290" customWidth="1"/>
    <col min="3595" max="3595" width="13.25" style="290" customWidth="1"/>
    <col min="3596" max="3596" width="12.375" style="290" customWidth="1"/>
    <col min="3597" max="3597" width="13.25" style="290" customWidth="1"/>
    <col min="3598" max="3598" width="14.5" style="290" customWidth="1"/>
    <col min="3599" max="3599" width="12.75" style="290" customWidth="1"/>
    <col min="3600" max="3840" width="9" style="290"/>
    <col min="3841" max="3841" width="7" style="290" customWidth="1"/>
    <col min="3842" max="3842" width="33.875" style="290" customWidth="1"/>
    <col min="3843" max="3843" width="14.5" style="290" customWidth="1"/>
    <col min="3844" max="3844" width="12.75" style="290" customWidth="1"/>
    <col min="3845" max="3846" width="13.25" style="290" customWidth="1"/>
    <col min="3847" max="3847" width="12.75" style="290" customWidth="1"/>
    <col min="3848" max="3848" width="11.875" style="290" customWidth="1"/>
    <col min="3849" max="3849" width="11.25" style="290" customWidth="1"/>
    <col min="3850" max="3850" width="14.25" style="290" customWidth="1"/>
    <col min="3851" max="3851" width="13.25" style="290" customWidth="1"/>
    <col min="3852" max="3852" width="12.375" style="290" customWidth="1"/>
    <col min="3853" max="3853" width="13.25" style="290" customWidth="1"/>
    <col min="3854" max="3854" width="14.5" style="290" customWidth="1"/>
    <col min="3855" max="3855" width="12.75" style="290" customWidth="1"/>
    <col min="3856" max="4096" width="9" style="290"/>
    <col min="4097" max="4097" width="7" style="290" customWidth="1"/>
    <col min="4098" max="4098" width="33.875" style="290" customWidth="1"/>
    <col min="4099" max="4099" width="14.5" style="290" customWidth="1"/>
    <col min="4100" max="4100" width="12.75" style="290" customWidth="1"/>
    <col min="4101" max="4102" width="13.25" style="290" customWidth="1"/>
    <col min="4103" max="4103" width="12.75" style="290" customWidth="1"/>
    <col min="4104" max="4104" width="11.875" style="290" customWidth="1"/>
    <col min="4105" max="4105" width="11.25" style="290" customWidth="1"/>
    <col min="4106" max="4106" width="14.25" style="290" customWidth="1"/>
    <col min="4107" max="4107" width="13.25" style="290" customWidth="1"/>
    <col min="4108" max="4108" width="12.375" style="290" customWidth="1"/>
    <col min="4109" max="4109" width="13.25" style="290" customWidth="1"/>
    <col min="4110" max="4110" width="14.5" style="290" customWidth="1"/>
    <col min="4111" max="4111" width="12.75" style="290" customWidth="1"/>
    <col min="4112" max="4352" width="9" style="290"/>
    <col min="4353" max="4353" width="7" style="290" customWidth="1"/>
    <col min="4354" max="4354" width="33.875" style="290" customWidth="1"/>
    <col min="4355" max="4355" width="14.5" style="290" customWidth="1"/>
    <col min="4356" max="4356" width="12.75" style="290" customWidth="1"/>
    <col min="4357" max="4358" width="13.25" style="290" customWidth="1"/>
    <col min="4359" max="4359" width="12.75" style="290" customWidth="1"/>
    <col min="4360" max="4360" width="11.875" style="290" customWidth="1"/>
    <col min="4361" max="4361" width="11.25" style="290" customWidth="1"/>
    <col min="4362" max="4362" width="14.25" style="290" customWidth="1"/>
    <col min="4363" max="4363" width="13.25" style="290" customWidth="1"/>
    <col min="4364" max="4364" width="12.375" style="290" customWidth="1"/>
    <col min="4365" max="4365" width="13.25" style="290" customWidth="1"/>
    <col min="4366" max="4366" width="14.5" style="290" customWidth="1"/>
    <col min="4367" max="4367" width="12.75" style="290" customWidth="1"/>
    <col min="4368" max="4608" width="9" style="290"/>
    <col min="4609" max="4609" width="7" style="290" customWidth="1"/>
    <col min="4610" max="4610" width="33.875" style="290" customWidth="1"/>
    <col min="4611" max="4611" width="14.5" style="290" customWidth="1"/>
    <col min="4612" max="4612" width="12.75" style="290" customWidth="1"/>
    <col min="4613" max="4614" width="13.25" style="290" customWidth="1"/>
    <col min="4615" max="4615" width="12.75" style="290" customWidth="1"/>
    <col min="4616" max="4616" width="11.875" style="290" customWidth="1"/>
    <col min="4617" max="4617" width="11.25" style="290" customWidth="1"/>
    <col min="4618" max="4618" width="14.25" style="290" customWidth="1"/>
    <col min="4619" max="4619" width="13.25" style="290" customWidth="1"/>
    <col min="4620" max="4620" width="12.375" style="290" customWidth="1"/>
    <col min="4621" max="4621" width="13.25" style="290" customWidth="1"/>
    <col min="4622" max="4622" width="14.5" style="290" customWidth="1"/>
    <col min="4623" max="4623" width="12.75" style="290" customWidth="1"/>
    <col min="4624" max="4864" width="9" style="290"/>
    <col min="4865" max="4865" width="7" style="290" customWidth="1"/>
    <col min="4866" max="4866" width="33.875" style="290" customWidth="1"/>
    <col min="4867" max="4867" width="14.5" style="290" customWidth="1"/>
    <col min="4868" max="4868" width="12.75" style="290" customWidth="1"/>
    <col min="4869" max="4870" width="13.25" style="290" customWidth="1"/>
    <col min="4871" max="4871" width="12.75" style="290" customWidth="1"/>
    <col min="4872" max="4872" width="11.875" style="290" customWidth="1"/>
    <col min="4873" max="4873" width="11.25" style="290" customWidth="1"/>
    <col min="4874" max="4874" width="14.25" style="290" customWidth="1"/>
    <col min="4875" max="4875" width="13.25" style="290" customWidth="1"/>
    <col min="4876" max="4876" width="12.375" style="290" customWidth="1"/>
    <col min="4877" max="4877" width="13.25" style="290" customWidth="1"/>
    <col min="4878" max="4878" width="14.5" style="290" customWidth="1"/>
    <col min="4879" max="4879" width="12.75" style="290" customWidth="1"/>
    <col min="4880" max="5120" width="9" style="290"/>
    <col min="5121" max="5121" width="7" style="290" customWidth="1"/>
    <col min="5122" max="5122" width="33.875" style="290" customWidth="1"/>
    <col min="5123" max="5123" width="14.5" style="290" customWidth="1"/>
    <col min="5124" max="5124" width="12.75" style="290" customWidth="1"/>
    <col min="5125" max="5126" width="13.25" style="290" customWidth="1"/>
    <col min="5127" max="5127" width="12.75" style="290" customWidth="1"/>
    <col min="5128" max="5128" width="11.875" style="290" customWidth="1"/>
    <col min="5129" max="5129" width="11.25" style="290" customWidth="1"/>
    <col min="5130" max="5130" width="14.25" style="290" customWidth="1"/>
    <col min="5131" max="5131" width="13.25" style="290" customWidth="1"/>
    <col min="5132" max="5132" width="12.375" style="290" customWidth="1"/>
    <col min="5133" max="5133" width="13.25" style="290" customWidth="1"/>
    <col min="5134" max="5134" width="14.5" style="290" customWidth="1"/>
    <col min="5135" max="5135" width="12.75" style="290" customWidth="1"/>
    <col min="5136" max="5376" width="9" style="290"/>
    <col min="5377" max="5377" width="7" style="290" customWidth="1"/>
    <col min="5378" max="5378" width="33.875" style="290" customWidth="1"/>
    <col min="5379" max="5379" width="14.5" style="290" customWidth="1"/>
    <col min="5380" max="5380" width="12.75" style="290" customWidth="1"/>
    <col min="5381" max="5382" width="13.25" style="290" customWidth="1"/>
    <col min="5383" max="5383" width="12.75" style="290" customWidth="1"/>
    <col min="5384" max="5384" width="11.875" style="290" customWidth="1"/>
    <col min="5385" max="5385" width="11.25" style="290" customWidth="1"/>
    <col min="5386" max="5386" width="14.25" style="290" customWidth="1"/>
    <col min="5387" max="5387" width="13.25" style="290" customWidth="1"/>
    <col min="5388" max="5388" width="12.375" style="290" customWidth="1"/>
    <col min="5389" max="5389" width="13.25" style="290" customWidth="1"/>
    <col min="5390" max="5390" width="14.5" style="290" customWidth="1"/>
    <col min="5391" max="5391" width="12.75" style="290" customWidth="1"/>
    <col min="5392" max="5632" width="9" style="290"/>
    <col min="5633" max="5633" width="7" style="290" customWidth="1"/>
    <col min="5634" max="5634" width="33.875" style="290" customWidth="1"/>
    <col min="5635" max="5635" width="14.5" style="290" customWidth="1"/>
    <col min="5636" max="5636" width="12.75" style="290" customWidth="1"/>
    <col min="5637" max="5638" width="13.25" style="290" customWidth="1"/>
    <col min="5639" max="5639" width="12.75" style="290" customWidth="1"/>
    <col min="5640" max="5640" width="11.875" style="290" customWidth="1"/>
    <col min="5641" max="5641" width="11.25" style="290" customWidth="1"/>
    <col min="5642" max="5642" width="14.25" style="290" customWidth="1"/>
    <col min="5643" max="5643" width="13.25" style="290" customWidth="1"/>
    <col min="5644" max="5644" width="12.375" style="290" customWidth="1"/>
    <col min="5645" max="5645" width="13.25" style="290" customWidth="1"/>
    <col min="5646" max="5646" width="14.5" style="290" customWidth="1"/>
    <col min="5647" max="5647" width="12.75" style="290" customWidth="1"/>
    <col min="5648" max="5888" width="9" style="290"/>
    <col min="5889" max="5889" width="7" style="290" customWidth="1"/>
    <col min="5890" max="5890" width="33.875" style="290" customWidth="1"/>
    <col min="5891" max="5891" width="14.5" style="290" customWidth="1"/>
    <col min="5892" max="5892" width="12.75" style="290" customWidth="1"/>
    <col min="5893" max="5894" width="13.25" style="290" customWidth="1"/>
    <col min="5895" max="5895" width="12.75" style="290" customWidth="1"/>
    <col min="5896" max="5896" width="11.875" style="290" customWidth="1"/>
    <col min="5897" max="5897" width="11.25" style="290" customWidth="1"/>
    <col min="5898" max="5898" width="14.25" style="290" customWidth="1"/>
    <col min="5899" max="5899" width="13.25" style="290" customWidth="1"/>
    <col min="5900" max="5900" width="12.375" style="290" customWidth="1"/>
    <col min="5901" max="5901" width="13.25" style="290" customWidth="1"/>
    <col min="5902" max="5902" width="14.5" style="290" customWidth="1"/>
    <col min="5903" max="5903" width="12.75" style="290" customWidth="1"/>
    <col min="5904" max="6144" width="9" style="290"/>
    <col min="6145" max="6145" width="7" style="290" customWidth="1"/>
    <col min="6146" max="6146" width="33.875" style="290" customWidth="1"/>
    <col min="6147" max="6147" width="14.5" style="290" customWidth="1"/>
    <col min="6148" max="6148" width="12.75" style="290" customWidth="1"/>
    <col min="6149" max="6150" width="13.25" style="290" customWidth="1"/>
    <col min="6151" max="6151" width="12.75" style="290" customWidth="1"/>
    <col min="6152" max="6152" width="11.875" style="290" customWidth="1"/>
    <col min="6153" max="6153" width="11.25" style="290" customWidth="1"/>
    <col min="6154" max="6154" width="14.25" style="290" customWidth="1"/>
    <col min="6155" max="6155" width="13.25" style="290" customWidth="1"/>
    <col min="6156" max="6156" width="12.375" style="290" customWidth="1"/>
    <col min="6157" max="6157" width="13.25" style="290" customWidth="1"/>
    <col min="6158" max="6158" width="14.5" style="290" customWidth="1"/>
    <col min="6159" max="6159" width="12.75" style="290" customWidth="1"/>
    <col min="6160" max="6400" width="9" style="290"/>
    <col min="6401" max="6401" width="7" style="290" customWidth="1"/>
    <col min="6402" max="6402" width="33.875" style="290" customWidth="1"/>
    <col min="6403" max="6403" width="14.5" style="290" customWidth="1"/>
    <col min="6404" max="6404" width="12.75" style="290" customWidth="1"/>
    <col min="6405" max="6406" width="13.25" style="290" customWidth="1"/>
    <col min="6407" max="6407" width="12.75" style="290" customWidth="1"/>
    <col min="6408" max="6408" width="11.875" style="290" customWidth="1"/>
    <col min="6409" max="6409" width="11.25" style="290" customWidth="1"/>
    <col min="6410" max="6410" width="14.25" style="290" customWidth="1"/>
    <col min="6411" max="6411" width="13.25" style="290" customWidth="1"/>
    <col min="6412" max="6412" width="12.375" style="290" customWidth="1"/>
    <col min="6413" max="6413" width="13.25" style="290" customWidth="1"/>
    <col min="6414" max="6414" width="14.5" style="290" customWidth="1"/>
    <col min="6415" max="6415" width="12.75" style="290" customWidth="1"/>
    <col min="6416" max="6656" width="9" style="290"/>
    <col min="6657" max="6657" width="7" style="290" customWidth="1"/>
    <col min="6658" max="6658" width="33.875" style="290" customWidth="1"/>
    <col min="6659" max="6659" width="14.5" style="290" customWidth="1"/>
    <col min="6660" max="6660" width="12.75" style="290" customWidth="1"/>
    <col min="6661" max="6662" width="13.25" style="290" customWidth="1"/>
    <col min="6663" max="6663" width="12.75" style="290" customWidth="1"/>
    <col min="6664" max="6664" width="11.875" style="290" customWidth="1"/>
    <col min="6665" max="6665" width="11.25" style="290" customWidth="1"/>
    <col min="6666" max="6666" width="14.25" style="290" customWidth="1"/>
    <col min="6667" max="6667" width="13.25" style="290" customWidth="1"/>
    <col min="6668" max="6668" width="12.375" style="290" customWidth="1"/>
    <col min="6669" max="6669" width="13.25" style="290" customWidth="1"/>
    <col min="6670" max="6670" width="14.5" style="290" customWidth="1"/>
    <col min="6671" max="6671" width="12.75" style="290" customWidth="1"/>
    <col min="6672" max="6912" width="9" style="290"/>
    <col min="6913" max="6913" width="7" style="290" customWidth="1"/>
    <col min="6914" max="6914" width="33.875" style="290" customWidth="1"/>
    <col min="6915" max="6915" width="14.5" style="290" customWidth="1"/>
    <col min="6916" max="6916" width="12.75" style="290" customWidth="1"/>
    <col min="6917" max="6918" width="13.25" style="290" customWidth="1"/>
    <col min="6919" max="6919" width="12.75" style="290" customWidth="1"/>
    <col min="6920" max="6920" width="11.875" style="290" customWidth="1"/>
    <col min="6921" max="6921" width="11.25" style="290" customWidth="1"/>
    <col min="6922" max="6922" width="14.25" style="290" customWidth="1"/>
    <col min="6923" max="6923" width="13.25" style="290" customWidth="1"/>
    <col min="6924" max="6924" width="12.375" style="290" customWidth="1"/>
    <col min="6925" max="6925" width="13.25" style="290" customWidth="1"/>
    <col min="6926" max="6926" width="14.5" style="290" customWidth="1"/>
    <col min="6927" max="6927" width="12.75" style="290" customWidth="1"/>
    <col min="6928" max="7168" width="9" style="290"/>
    <col min="7169" max="7169" width="7" style="290" customWidth="1"/>
    <col min="7170" max="7170" width="33.875" style="290" customWidth="1"/>
    <col min="7171" max="7171" width="14.5" style="290" customWidth="1"/>
    <col min="7172" max="7172" width="12.75" style="290" customWidth="1"/>
    <col min="7173" max="7174" width="13.25" style="290" customWidth="1"/>
    <col min="7175" max="7175" width="12.75" style="290" customWidth="1"/>
    <col min="7176" max="7176" width="11.875" style="290" customWidth="1"/>
    <col min="7177" max="7177" width="11.25" style="290" customWidth="1"/>
    <col min="7178" max="7178" width="14.25" style="290" customWidth="1"/>
    <col min="7179" max="7179" width="13.25" style="290" customWidth="1"/>
    <col min="7180" max="7180" width="12.375" style="290" customWidth="1"/>
    <col min="7181" max="7181" width="13.25" style="290" customWidth="1"/>
    <col min="7182" max="7182" width="14.5" style="290" customWidth="1"/>
    <col min="7183" max="7183" width="12.75" style="290" customWidth="1"/>
    <col min="7184" max="7424" width="9" style="290"/>
    <col min="7425" max="7425" width="7" style="290" customWidth="1"/>
    <col min="7426" max="7426" width="33.875" style="290" customWidth="1"/>
    <col min="7427" max="7427" width="14.5" style="290" customWidth="1"/>
    <col min="7428" max="7428" width="12.75" style="290" customWidth="1"/>
    <col min="7429" max="7430" width="13.25" style="290" customWidth="1"/>
    <col min="7431" max="7431" width="12.75" style="290" customWidth="1"/>
    <col min="7432" max="7432" width="11.875" style="290" customWidth="1"/>
    <col min="7433" max="7433" width="11.25" style="290" customWidth="1"/>
    <col min="7434" max="7434" width="14.25" style="290" customWidth="1"/>
    <col min="7435" max="7435" width="13.25" style="290" customWidth="1"/>
    <col min="7436" max="7436" width="12.375" style="290" customWidth="1"/>
    <col min="7437" max="7437" width="13.25" style="290" customWidth="1"/>
    <col min="7438" max="7438" width="14.5" style="290" customWidth="1"/>
    <col min="7439" max="7439" width="12.75" style="290" customWidth="1"/>
    <col min="7440" max="7680" width="9" style="290"/>
    <col min="7681" max="7681" width="7" style="290" customWidth="1"/>
    <col min="7682" max="7682" width="33.875" style="290" customWidth="1"/>
    <col min="7683" max="7683" width="14.5" style="290" customWidth="1"/>
    <col min="7684" max="7684" width="12.75" style="290" customWidth="1"/>
    <col min="7685" max="7686" width="13.25" style="290" customWidth="1"/>
    <col min="7687" max="7687" width="12.75" style="290" customWidth="1"/>
    <col min="7688" max="7688" width="11.875" style="290" customWidth="1"/>
    <col min="7689" max="7689" width="11.25" style="290" customWidth="1"/>
    <col min="7690" max="7690" width="14.25" style="290" customWidth="1"/>
    <col min="7691" max="7691" width="13.25" style="290" customWidth="1"/>
    <col min="7692" max="7692" width="12.375" style="290" customWidth="1"/>
    <col min="7693" max="7693" width="13.25" style="290" customWidth="1"/>
    <col min="7694" max="7694" width="14.5" style="290" customWidth="1"/>
    <col min="7695" max="7695" width="12.75" style="290" customWidth="1"/>
    <col min="7696" max="7936" width="9" style="290"/>
    <col min="7937" max="7937" width="7" style="290" customWidth="1"/>
    <col min="7938" max="7938" width="33.875" style="290" customWidth="1"/>
    <col min="7939" max="7939" width="14.5" style="290" customWidth="1"/>
    <col min="7940" max="7940" width="12.75" style="290" customWidth="1"/>
    <col min="7941" max="7942" width="13.25" style="290" customWidth="1"/>
    <col min="7943" max="7943" width="12.75" style="290" customWidth="1"/>
    <col min="7944" max="7944" width="11.875" style="290" customWidth="1"/>
    <col min="7945" max="7945" width="11.25" style="290" customWidth="1"/>
    <col min="7946" max="7946" width="14.25" style="290" customWidth="1"/>
    <col min="7947" max="7947" width="13.25" style="290" customWidth="1"/>
    <col min="7948" max="7948" width="12.375" style="290" customWidth="1"/>
    <col min="7949" max="7949" width="13.25" style="290" customWidth="1"/>
    <col min="7950" max="7950" width="14.5" style="290" customWidth="1"/>
    <col min="7951" max="7951" width="12.75" style="290" customWidth="1"/>
    <col min="7952" max="8192" width="9" style="290"/>
    <col min="8193" max="8193" width="7" style="290" customWidth="1"/>
    <col min="8194" max="8194" width="33.875" style="290" customWidth="1"/>
    <col min="8195" max="8195" width="14.5" style="290" customWidth="1"/>
    <col min="8196" max="8196" width="12.75" style="290" customWidth="1"/>
    <col min="8197" max="8198" width="13.25" style="290" customWidth="1"/>
    <col min="8199" max="8199" width="12.75" style="290" customWidth="1"/>
    <col min="8200" max="8200" width="11.875" style="290" customWidth="1"/>
    <col min="8201" max="8201" width="11.25" style="290" customWidth="1"/>
    <col min="8202" max="8202" width="14.25" style="290" customWidth="1"/>
    <col min="8203" max="8203" width="13.25" style="290" customWidth="1"/>
    <col min="8204" max="8204" width="12.375" style="290" customWidth="1"/>
    <col min="8205" max="8205" width="13.25" style="290" customWidth="1"/>
    <col min="8206" max="8206" width="14.5" style="290" customWidth="1"/>
    <col min="8207" max="8207" width="12.75" style="290" customWidth="1"/>
    <col min="8208" max="8448" width="9" style="290"/>
    <col min="8449" max="8449" width="7" style="290" customWidth="1"/>
    <col min="8450" max="8450" width="33.875" style="290" customWidth="1"/>
    <col min="8451" max="8451" width="14.5" style="290" customWidth="1"/>
    <col min="8452" max="8452" width="12.75" style="290" customWidth="1"/>
    <col min="8453" max="8454" width="13.25" style="290" customWidth="1"/>
    <col min="8455" max="8455" width="12.75" style="290" customWidth="1"/>
    <col min="8456" max="8456" width="11.875" style="290" customWidth="1"/>
    <col min="8457" max="8457" width="11.25" style="290" customWidth="1"/>
    <col min="8458" max="8458" width="14.25" style="290" customWidth="1"/>
    <col min="8459" max="8459" width="13.25" style="290" customWidth="1"/>
    <col min="8460" max="8460" width="12.375" style="290" customWidth="1"/>
    <col min="8461" max="8461" width="13.25" style="290" customWidth="1"/>
    <col min="8462" max="8462" width="14.5" style="290" customWidth="1"/>
    <col min="8463" max="8463" width="12.75" style="290" customWidth="1"/>
    <col min="8464" max="8704" width="9" style="290"/>
    <col min="8705" max="8705" width="7" style="290" customWidth="1"/>
    <col min="8706" max="8706" width="33.875" style="290" customWidth="1"/>
    <col min="8707" max="8707" width="14.5" style="290" customWidth="1"/>
    <col min="8708" max="8708" width="12.75" style="290" customWidth="1"/>
    <col min="8709" max="8710" width="13.25" style="290" customWidth="1"/>
    <col min="8711" max="8711" width="12.75" style="290" customWidth="1"/>
    <col min="8712" max="8712" width="11.875" style="290" customWidth="1"/>
    <col min="8713" max="8713" width="11.25" style="290" customWidth="1"/>
    <col min="8714" max="8714" width="14.25" style="290" customWidth="1"/>
    <col min="8715" max="8715" width="13.25" style="290" customWidth="1"/>
    <col min="8716" max="8716" width="12.375" style="290" customWidth="1"/>
    <col min="8717" max="8717" width="13.25" style="290" customWidth="1"/>
    <col min="8718" max="8718" width="14.5" style="290" customWidth="1"/>
    <col min="8719" max="8719" width="12.75" style="290" customWidth="1"/>
    <col min="8720" max="8960" width="9" style="290"/>
    <col min="8961" max="8961" width="7" style="290" customWidth="1"/>
    <col min="8962" max="8962" width="33.875" style="290" customWidth="1"/>
    <col min="8963" max="8963" width="14.5" style="290" customWidth="1"/>
    <col min="8964" max="8964" width="12.75" style="290" customWidth="1"/>
    <col min="8965" max="8966" width="13.25" style="290" customWidth="1"/>
    <col min="8967" max="8967" width="12.75" style="290" customWidth="1"/>
    <col min="8968" max="8968" width="11.875" style="290" customWidth="1"/>
    <col min="8969" max="8969" width="11.25" style="290" customWidth="1"/>
    <col min="8970" max="8970" width="14.25" style="290" customWidth="1"/>
    <col min="8971" max="8971" width="13.25" style="290" customWidth="1"/>
    <col min="8972" max="8972" width="12.375" style="290" customWidth="1"/>
    <col min="8973" max="8973" width="13.25" style="290" customWidth="1"/>
    <col min="8974" max="8974" width="14.5" style="290" customWidth="1"/>
    <col min="8975" max="8975" width="12.75" style="290" customWidth="1"/>
    <col min="8976" max="9216" width="9" style="290"/>
    <col min="9217" max="9217" width="7" style="290" customWidth="1"/>
    <col min="9218" max="9218" width="33.875" style="290" customWidth="1"/>
    <col min="9219" max="9219" width="14.5" style="290" customWidth="1"/>
    <col min="9220" max="9220" width="12.75" style="290" customWidth="1"/>
    <col min="9221" max="9222" width="13.25" style="290" customWidth="1"/>
    <col min="9223" max="9223" width="12.75" style="290" customWidth="1"/>
    <col min="9224" max="9224" width="11.875" style="290" customWidth="1"/>
    <col min="9225" max="9225" width="11.25" style="290" customWidth="1"/>
    <col min="9226" max="9226" width="14.25" style="290" customWidth="1"/>
    <col min="9227" max="9227" width="13.25" style="290" customWidth="1"/>
    <col min="9228" max="9228" width="12.375" style="290" customWidth="1"/>
    <col min="9229" max="9229" width="13.25" style="290" customWidth="1"/>
    <col min="9230" max="9230" width="14.5" style="290" customWidth="1"/>
    <col min="9231" max="9231" width="12.75" style="290" customWidth="1"/>
    <col min="9232" max="9472" width="9" style="290"/>
    <col min="9473" max="9473" width="7" style="290" customWidth="1"/>
    <col min="9474" max="9474" width="33.875" style="290" customWidth="1"/>
    <col min="9475" max="9475" width="14.5" style="290" customWidth="1"/>
    <col min="9476" max="9476" width="12.75" style="290" customWidth="1"/>
    <col min="9477" max="9478" width="13.25" style="290" customWidth="1"/>
    <col min="9479" max="9479" width="12.75" style="290" customWidth="1"/>
    <col min="9480" max="9480" width="11.875" style="290" customWidth="1"/>
    <col min="9481" max="9481" width="11.25" style="290" customWidth="1"/>
    <col min="9482" max="9482" width="14.25" style="290" customWidth="1"/>
    <col min="9483" max="9483" width="13.25" style="290" customWidth="1"/>
    <col min="9484" max="9484" width="12.375" style="290" customWidth="1"/>
    <col min="9485" max="9485" width="13.25" style="290" customWidth="1"/>
    <col min="9486" max="9486" width="14.5" style="290" customWidth="1"/>
    <col min="9487" max="9487" width="12.75" style="290" customWidth="1"/>
    <col min="9488" max="9728" width="9" style="290"/>
    <col min="9729" max="9729" width="7" style="290" customWidth="1"/>
    <col min="9730" max="9730" width="33.875" style="290" customWidth="1"/>
    <col min="9731" max="9731" width="14.5" style="290" customWidth="1"/>
    <col min="9732" max="9732" width="12.75" style="290" customWidth="1"/>
    <col min="9733" max="9734" width="13.25" style="290" customWidth="1"/>
    <col min="9735" max="9735" width="12.75" style="290" customWidth="1"/>
    <col min="9736" max="9736" width="11.875" style="290" customWidth="1"/>
    <col min="9737" max="9737" width="11.25" style="290" customWidth="1"/>
    <col min="9738" max="9738" width="14.25" style="290" customWidth="1"/>
    <col min="9739" max="9739" width="13.25" style="290" customWidth="1"/>
    <col min="9740" max="9740" width="12.375" style="290" customWidth="1"/>
    <col min="9741" max="9741" width="13.25" style="290" customWidth="1"/>
    <col min="9742" max="9742" width="14.5" style="290" customWidth="1"/>
    <col min="9743" max="9743" width="12.75" style="290" customWidth="1"/>
    <col min="9744" max="9984" width="9" style="290"/>
    <col min="9985" max="9985" width="7" style="290" customWidth="1"/>
    <col min="9986" max="9986" width="33.875" style="290" customWidth="1"/>
    <col min="9987" max="9987" width="14.5" style="290" customWidth="1"/>
    <col min="9988" max="9988" width="12.75" style="290" customWidth="1"/>
    <col min="9989" max="9990" width="13.25" style="290" customWidth="1"/>
    <col min="9991" max="9991" width="12.75" style="290" customWidth="1"/>
    <col min="9992" max="9992" width="11.875" style="290" customWidth="1"/>
    <col min="9993" max="9993" width="11.25" style="290" customWidth="1"/>
    <col min="9994" max="9994" width="14.25" style="290" customWidth="1"/>
    <col min="9995" max="9995" width="13.25" style="290" customWidth="1"/>
    <col min="9996" max="9996" width="12.375" style="290" customWidth="1"/>
    <col min="9997" max="9997" width="13.25" style="290" customWidth="1"/>
    <col min="9998" max="9998" width="14.5" style="290" customWidth="1"/>
    <col min="9999" max="9999" width="12.75" style="290" customWidth="1"/>
    <col min="10000" max="10240" width="9" style="290"/>
    <col min="10241" max="10241" width="7" style="290" customWidth="1"/>
    <col min="10242" max="10242" width="33.875" style="290" customWidth="1"/>
    <col min="10243" max="10243" width="14.5" style="290" customWidth="1"/>
    <col min="10244" max="10244" width="12.75" style="290" customWidth="1"/>
    <col min="10245" max="10246" width="13.25" style="290" customWidth="1"/>
    <col min="10247" max="10247" width="12.75" style="290" customWidth="1"/>
    <col min="10248" max="10248" width="11.875" style="290" customWidth="1"/>
    <col min="10249" max="10249" width="11.25" style="290" customWidth="1"/>
    <col min="10250" max="10250" width="14.25" style="290" customWidth="1"/>
    <col min="10251" max="10251" width="13.25" style="290" customWidth="1"/>
    <col min="10252" max="10252" width="12.375" style="290" customWidth="1"/>
    <col min="10253" max="10253" width="13.25" style="290" customWidth="1"/>
    <col min="10254" max="10254" width="14.5" style="290" customWidth="1"/>
    <col min="10255" max="10255" width="12.75" style="290" customWidth="1"/>
    <col min="10256" max="10496" width="9" style="290"/>
    <col min="10497" max="10497" width="7" style="290" customWidth="1"/>
    <col min="10498" max="10498" width="33.875" style="290" customWidth="1"/>
    <col min="10499" max="10499" width="14.5" style="290" customWidth="1"/>
    <col min="10500" max="10500" width="12.75" style="290" customWidth="1"/>
    <col min="10501" max="10502" width="13.25" style="290" customWidth="1"/>
    <col min="10503" max="10503" width="12.75" style="290" customWidth="1"/>
    <col min="10504" max="10504" width="11.875" style="290" customWidth="1"/>
    <col min="10505" max="10505" width="11.25" style="290" customWidth="1"/>
    <col min="10506" max="10506" width="14.25" style="290" customWidth="1"/>
    <col min="10507" max="10507" width="13.25" style="290" customWidth="1"/>
    <col min="10508" max="10508" width="12.375" style="290" customWidth="1"/>
    <col min="10509" max="10509" width="13.25" style="290" customWidth="1"/>
    <col min="10510" max="10510" width="14.5" style="290" customWidth="1"/>
    <col min="10511" max="10511" width="12.75" style="290" customWidth="1"/>
    <col min="10512" max="10752" width="9" style="290"/>
    <col min="10753" max="10753" width="7" style="290" customWidth="1"/>
    <col min="10754" max="10754" width="33.875" style="290" customWidth="1"/>
    <col min="10755" max="10755" width="14.5" style="290" customWidth="1"/>
    <col min="10756" max="10756" width="12.75" style="290" customWidth="1"/>
    <col min="10757" max="10758" width="13.25" style="290" customWidth="1"/>
    <col min="10759" max="10759" width="12.75" style="290" customWidth="1"/>
    <col min="10760" max="10760" width="11.875" style="290" customWidth="1"/>
    <col min="10761" max="10761" width="11.25" style="290" customWidth="1"/>
    <col min="10762" max="10762" width="14.25" style="290" customWidth="1"/>
    <col min="10763" max="10763" width="13.25" style="290" customWidth="1"/>
    <col min="10764" max="10764" width="12.375" style="290" customWidth="1"/>
    <col min="10765" max="10765" width="13.25" style="290" customWidth="1"/>
    <col min="10766" max="10766" width="14.5" style="290" customWidth="1"/>
    <col min="10767" max="10767" width="12.75" style="290" customWidth="1"/>
    <col min="10768" max="11008" width="9" style="290"/>
    <col min="11009" max="11009" width="7" style="290" customWidth="1"/>
    <col min="11010" max="11010" width="33.875" style="290" customWidth="1"/>
    <col min="11011" max="11011" width="14.5" style="290" customWidth="1"/>
    <col min="11012" max="11012" width="12.75" style="290" customWidth="1"/>
    <col min="11013" max="11014" width="13.25" style="290" customWidth="1"/>
    <col min="11015" max="11015" width="12.75" style="290" customWidth="1"/>
    <col min="11016" max="11016" width="11.875" style="290" customWidth="1"/>
    <col min="11017" max="11017" width="11.25" style="290" customWidth="1"/>
    <col min="11018" max="11018" width="14.25" style="290" customWidth="1"/>
    <col min="11019" max="11019" width="13.25" style="290" customWidth="1"/>
    <col min="11020" max="11020" width="12.375" style="290" customWidth="1"/>
    <col min="11021" max="11021" width="13.25" style="290" customWidth="1"/>
    <col min="11022" max="11022" width="14.5" style="290" customWidth="1"/>
    <col min="11023" max="11023" width="12.75" style="290" customWidth="1"/>
    <col min="11024" max="11264" width="9" style="290"/>
    <col min="11265" max="11265" width="7" style="290" customWidth="1"/>
    <col min="11266" max="11266" width="33.875" style="290" customWidth="1"/>
    <col min="11267" max="11267" width="14.5" style="290" customWidth="1"/>
    <col min="11268" max="11268" width="12.75" style="290" customWidth="1"/>
    <col min="11269" max="11270" width="13.25" style="290" customWidth="1"/>
    <col min="11271" max="11271" width="12.75" style="290" customWidth="1"/>
    <col min="11272" max="11272" width="11.875" style="290" customWidth="1"/>
    <col min="11273" max="11273" width="11.25" style="290" customWidth="1"/>
    <col min="11274" max="11274" width="14.25" style="290" customWidth="1"/>
    <col min="11275" max="11275" width="13.25" style="290" customWidth="1"/>
    <col min="11276" max="11276" width="12.375" style="290" customWidth="1"/>
    <col min="11277" max="11277" width="13.25" style="290" customWidth="1"/>
    <col min="11278" max="11278" width="14.5" style="290" customWidth="1"/>
    <col min="11279" max="11279" width="12.75" style="290" customWidth="1"/>
    <col min="11280" max="11520" width="9" style="290"/>
    <col min="11521" max="11521" width="7" style="290" customWidth="1"/>
    <col min="11522" max="11522" width="33.875" style="290" customWidth="1"/>
    <col min="11523" max="11523" width="14.5" style="290" customWidth="1"/>
    <col min="11524" max="11524" width="12.75" style="290" customWidth="1"/>
    <col min="11525" max="11526" width="13.25" style="290" customWidth="1"/>
    <col min="11527" max="11527" width="12.75" style="290" customWidth="1"/>
    <col min="11528" max="11528" width="11.875" style="290" customWidth="1"/>
    <col min="11529" max="11529" width="11.25" style="290" customWidth="1"/>
    <col min="11530" max="11530" width="14.25" style="290" customWidth="1"/>
    <col min="11531" max="11531" width="13.25" style="290" customWidth="1"/>
    <col min="11532" max="11532" width="12.375" style="290" customWidth="1"/>
    <col min="11533" max="11533" width="13.25" style="290" customWidth="1"/>
    <col min="11534" max="11534" width="14.5" style="290" customWidth="1"/>
    <col min="11535" max="11535" width="12.75" style="290" customWidth="1"/>
    <col min="11536" max="11776" width="9" style="290"/>
    <col min="11777" max="11777" width="7" style="290" customWidth="1"/>
    <col min="11778" max="11778" width="33.875" style="290" customWidth="1"/>
    <col min="11779" max="11779" width="14.5" style="290" customWidth="1"/>
    <col min="11780" max="11780" width="12.75" style="290" customWidth="1"/>
    <col min="11781" max="11782" width="13.25" style="290" customWidth="1"/>
    <col min="11783" max="11783" width="12.75" style="290" customWidth="1"/>
    <col min="11784" max="11784" width="11.875" style="290" customWidth="1"/>
    <col min="11785" max="11785" width="11.25" style="290" customWidth="1"/>
    <col min="11786" max="11786" width="14.25" style="290" customWidth="1"/>
    <col min="11787" max="11787" width="13.25" style="290" customWidth="1"/>
    <col min="11788" max="11788" width="12.375" style="290" customWidth="1"/>
    <col min="11789" max="11789" width="13.25" style="290" customWidth="1"/>
    <col min="11790" max="11790" width="14.5" style="290" customWidth="1"/>
    <col min="11791" max="11791" width="12.75" style="290" customWidth="1"/>
    <col min="11792" max="12032" width="9" style="290"/>
    <col min="12033" max="12033" width="7" style="290" customWidth="1"/>
    <col min="12034" max="12034" width="33.875" style="290" customWidth="1"/>
    <col min="12035" max="12035" width="14.5" style="290" customWidth="1"/>
    <col min="12036" max="12036" width="12.75" style="290" customWidth="1"/>
    <col min="12037" max="12038" width="13.25" style="290" customWidth="1"/>
    <col min="12039" max="12039" width="12.75" style="290" customWidth="1"/>
    <col min="12040" max="12040" width="11.875" style="290" customWidth="1"/>
    <col min="12041" max="12041" width="11.25" style="290" customWidth="1"/>
    <col min="12042" max="12042" width="14.25" style="290" customWidth="1"/>
    <col min="12043" max="12043" width="13.25" style="290" customWidth="1"/>
    <col min="12044" max="12044" width="12.375" style="290" customWidth="1"/>
    <col min="12045" max="12045" width="13.25" style="290" customWidth="1"/>
    <col min="12046" max="12046" width="14.5" style="290" customWidth="1"/>
    <col min="12047" max="12047" width="12.75" style="290" customWidth="1"/>
    <col min="12048" max="12288" width="9" style="290"/>
    <col min="12289" max="12289" width="7" style="290" customWidth="1"/>
    <col min="12290" max="12290" width="33.875" style="290" customWidth="1"/>
    <col min="12291" max="12291" width="14.5" style="290" customWidth="1"/>
    <col min="12292" max="12292" width="12.75" style="290" customWidth="1"/>
    <col min="12293" max="12294" width="13.25" style="290" customWidth="1"/>
    <col min="12295" max="12295" width="12.75" style="290" customWidth="1"/>
    <col min="12296" max="12296" width="11.875" style="290" customWidth="1"/>
    <col min="12297" max="12297" width="11.25" style="290" customWidth="1"/>
    <col min="12298" max="12298" width="14.25" style="290" customWidth="1"/>
    <col min="12299" max="12299" width="13.25" style="290" customWidth="1"/>
    <col min="12300" max="12300" width="12.375" style="290" customWidth="1"/>
    <col min="12301" max="12301" width="13.25" style="290" customWidth="1"/>
    <col min="12302" max="12302" width="14.5" style="290" customWidth="1"/>
    <col min="12303" max="12303" width="12.75" style="290" customWidth="1"/>
    <col min="12304" max="12544" width="9" style="290"/>
    <col min="12545" max="12545" width="7" style="290" customWidth="1"/>
    <col min="12546" max="12546" width="33.875" style="290" customWidth="1"/>
    <col min="12547" max="12547" width="14.5" style="290" customWidth="1"/>
    <col min="12548" max="12548" width="12.75" style="290" customWidth="1"/>
    <col min="12549" max="12550" width="13.25" style="290" customWidth="1"/>
    <col min="12551" max="12551" width="12.75" style="290" customWidth="1"/>
    <col min="12552" max="12552" width="11.875" style="290" customWidth="1"/>
    <col min="12553" max="12553" width="11.25" style="290" customWidth="1"/>
    <col min="12554" max="12554" width="14.25" style="290" customWidth="1"/>
    <col min="12555" max="12555" width="13.25" style="290" customWidth="1"/>
    <col min="12556" max="12556" width="12.375" style="290" customWidth="1"/>
    <col min="12557" max="12557" width="13.25" style="290" customWidth="1"/>
    <col min="12558" max="12558" width="14.5" style="290" customWidth="1"/>
    <col min="12559" max="12559" width="12.75" style="290" customWidth="1"/>
    <col min="12560" max="12800" width="9" style="290"/>
    <col min="12801" max="12801" width="7" style="290" customWidth="1"/>
    <col min="12802" max="12802" width="33.875" style="290" customWidth="1"/>
    <col min="12803" max="12803" width="14.5" style="290" customWidth="1"/>
    <col min="12804" max="12804" width="12.75" style="290" customWidth="1"/>
    <col min="12805" max="12806" width="13.25" style="290" customWidth="1"/>
    <col min="12807" max="12807" width="12.75" style="290" customWidth="1"/>
    <col min="12808" max="12808" width="11.875" style="290" customWidth="1"/>
    <col min="12809" max="12809" width="11.25" style="290" customWidth="1"/>
    <col min="12810" max="12810" width="14.25" style="290" customWidth="1"/>
    <col min="12811" max="12811" width="13.25" style="290" customWidth="1"/>
    <col min="12812" max="12812" width="12.375" style="290" customWidth="1"/>
    <col min="12813" max="12813" width="13.25" style="290" customWidth="1"/>
    <col min="12814" max="12814" width="14.5" style="290" customWidth="1"/>
    <col min="12815" max="12815" width="12.75" style="290" customWidth="1"/>
    <col min="12816" max="13056" width="9" style="290"/>
    <col min="13057" max="13057" width="7" style="290" customWidth="1"/>
    <col min="13058" max="13058" width="33.875" style="290" customWidth="1"/>
    <col min="13059" max="13059" width="14.5" style="290" customWidth="1"/>
    <col min="13060" max="13060" width="12.75" style="290" customWidth="1"/>
    <col min="13061" max="13062" width="13.25" style="290" customWidth="1"/>
    <col min="13063" max="13063" width="12.75" style="290" customWidth="1"/>
    <col min="13064" max="13064" width="11.875" style="290" customWidth="1"/>
    <col min="13065" max="13065" width="11.25" style="290" customWidth="1"/>
    <col min="13066" max="13066" width="14.25" style="290" customWidth="1"/>
    <col min="13067" max="13067" width="13.25" style="290" customWidth="1"/>
    <col min="13068" max="13068" width="12.375" style="290" customWidth="1"/>
    <col min="13069" max="13069" width="13.25" style="290" customWidth="1"/>
    <col min="13070" max="13070" width="14.5" style="290" customWidth="1"/>
    <col min="13071" max="13071" width="12.75" style="290" customWidth="1"/>
    <col min="13072" max="13312" width="9" style="290"/>
    <col min="13313" max="13313" width="7" style="290" customWidth="1"/>
    <col min="13314" max="13314" width="33.875" style="290" customWidth="1"/>
    <col min="13315" max="13315" width="14.5" style="290" customWidth="1"/>
    <col min="13316" max="13316" width="12.75" style="290" customWidth="1"/>
    <col min="13317" max="13318" width="13.25" style="290" customWidth="1"/>
    <col min="13319" max="13319" width="12.75" style="290" customWidth="1"/>
    <col min="13320" max="13320" width="11.875" style="290" customWidth="1"/>
    <col min="13321" max="13321" width="11.25" style="290" customWidth="1"/>
    <col min="13322" max="13322" width="14.25" style="290" customWidth="1"/>
    <col min="13323" max="13323" width="13.25" style="290" customWidth="1"/>
    <col min="13324" max="13324" width="12.375" style="290" customWidth="1"/>
    <col min="13325" max="13325" width="13.25" style="290" customWidth="1"/>
    <col min="13326" max="13326" width="14.5" style="290" customWidth="1"/>
    <col min="13327" max="13327" width="12.75" style="290" customWidth="1"/>
    <col min="13328" max="13568" width="9" style="290"/>
    <col min="13569" max="13569" width="7" style="290" customWidth="1"/>
    <col min="13570" max="13570" width="33.875" style="290" customWidth="1"/>
    <col min="13571" max="13571" width="14.5" style="290" customWidth="1"/>
    <col min="13572" max="13572" width="12.75" style="290" customWidth="1"/>
    <col min="13573" max="13574" width="13.25" style="290" customWidth="1"/>
    <col min="13575" max="13575" width="12.75" style="290" customWidth="1"/>
    <col min="13576" max="13576" width="11.875" style="290" customWidth="1"/>
    <col min="13577" max="13577" width="11.25" style="290" customWidth="1"/>
    <col min="13578" max="13578" width="14.25" style="290" customWidth="1"/>
    <col min="13579" max="13579" width="13.25" style="290" customWidth="1"/>
    <col min="13580" max="13580" width="12.375" style="290" customWidth="1"/>
    <col min="13581" max="13581" width="13.25" style="290" customWidth="1"/>
    <col min="13582" max="13582" width="14.5" style="290" customWidth="1"/>
    <col min="13583" max="13583" width="12.75" style="290" customWidth="1"/>
    <col min="13584" max="13824" width="9" style="290"/>
    <col min="13825" max="13825" width="7" style="290" customWidth="1"/>
    <col min="13826" max="13826" width="33.875" style="290" customWidth="1"/>
    <col min="13827" max="13827" width="14.5" style="290" customWidth="1"/>
    <col min="13828" max="13828" width="12.75" style="290" customWidth="1"/>
    <col min="13829" max="13830" width="13.25" style="290" customWidth="1"/>
    <col min="13831" max="13831" width="12.75" style="290" customWidth="1"/>
    <col min="13832" max="13832" width="11.875" style="290" customWidth="1"/>
    <col min="13833" max="13833" width="11.25" style="290" customWidth="1"/>
    <col min="13834" max="13834" width="14.25" style="290" customWidth="1"/>
    <col min="13835" max="13835" width="13.25" style="290" customWidth="1"/>
    <col min="13836" max="13836" width="12.375" style="290" customWidth="1"/>
    <col min="13837" max="13837" width="13.25" style="290" customWidth="1"/>
    <col min="13838" max="13838" width="14.5" style="290" customWidth="1"/>
    <col min="13839" max="13839" width="12.75" style="290" customWidth="1"/>
    <col min="13840" max="14080" width="9" style="290"/>
    <col min="14081" max="14081" width="7" style="290" customWidth="1"/>
    <col min="14082" max="14082" width="33.875" style="290" customWidth="1"/>
    <col min="14083" max="14083" width="14.5" style="290" customWidth="1"/>
    <col min="14084" max="14084" width="12.75" style="290" customWidth="1"/>
    <col min="14085" max="14086" width="13.25" style="290" customWidth="1"/>
    <col min="14087" max="14087" width="12.75" style="290" customWidth="1"/>
    <col min="14088" max="14088" width="11.875" style="290" customWidth="1"/>
    <col min="14089" max="14089" width="11.25" style="290" customWidth="1"/>
    <col min="14090" max="14090" width="14.25" style="290" customWidth="1"/>
    <col min="14091" max="14091" width="13.25" style="290" customWidth="1"/>
    <col min="14092" max="14092" width="12.375" style="290" customWidth="1"/>
    <col min="14093" max="14093" width="13.25" style="290" customWidth="1"/>
    <col min="14094" max="14094" width="14.5" style="290" customWidth="1"/>
    <col min="14095" max="14095" width="12.75" style="290" customWidth="1"/>
    <col min="14096" max="14336" width="9" style="290"/>
    <col min="14337" max="14337" width="7" style="290" customWidth="1"/>
    <col min="14338" max="14338" width="33.875" style="290" customWidth="1"/>
    <col min="14339" max="14339" width="14.5" style="290" customWidth="1"/>
    <col min="14340" max="14340" width="12.75" style="290" customWidth="1"/>
    <col min="14341" max="14342" width="13.25" style="290" customWidth="1"/>
    <col min="14343" max="14343" width="12.75" style="290" customWidth="1"/>
    <col min="14344" max="14344" width="11.875" style="290" customWidth="1"/>
    <col min="14345" max="14345" width="11.25" style="290" customWidth="1"/>
    <col min="14346" max="14346" width="14.25" style="290" customWidth="1"/>
    <col min="14347" max="14347" width="13.25" style="290" customWidth="1"/>
    <col min="14348" max="14348" width="12.375" style="290" customWidth="1"/>
    <col min="14349" max="14349" width="13.25" style="290" customWidth="1"/>
    <col min="14350" max="14350" width="14.5" style="290" customWidth="1"/>
    <col min="14351" max="14351" width="12.75" style="290" customWidth="1"/>
    <col min="14352" max="14592" width="9" style="290"/>
    <col min="14593" max="14593" width="7" style="290" customWidth="1"/>
    <col min="14594" max="14594" width="33.875" style="290" customWidth="1"/>
    <col min="14595" max="14595" width="14.5" style="290" customWidth="1"/>
    <col min="14596" max="14596" width="12.75" style="290" customWidth="1"/>
    <col min="14597" max="14598" width="13.25" style="290" customWidth="1"/>
    <col min="14599" max="14599" width="12.75" style="290" customWidth="1"/>
    <col min="14600" max="14600" width="11.875" style="290" customWidth="1"/>
    <col min="14601" max="14601" width="11.25" style="290" customWidth="1"/>
    <col min="14602" max="14602" width="14.25" style="290" customWidth="1"/>
    <col min="14603" max="14603" width="13.25" style="290" customWidth="1"/>
    <col min="14604" max="14604" width="12.375" style="290" customWidth="1"/>
    <col min="14605" max="14605" width="13.25" style="290" customWidth="1"/>
    <col min="14606" max="14606" width="14.5" style="290" customWidth="1"/>
    <col min="14607" max="14607" width="12.75" style="290" customWidth="1"/>
    <col min="14608" max="14848" width="9" style="290"/>
    <col min="14849" max="14849" width="7" style="290" customWidth="1"/>
    <col min="14850" max="14850" width="33.875" style="290" customWidth="1"/>
    <col min="14851" max="14851" width="14.5" style="290" customWidth="1"/>
    <col min="14852" max="14852" width="12.75" style="290" customWidth="1"/>
    <col min="14853" max="14854" width="13.25" style="290" customWidth="1"/>
    <col min="14855" max="14855" width="12.75" style="290" customWidth="1"/>
    <col min="14856" max="14856" width="11.875" style="290" customWidth="1"/>
    <col min="14857" max="14857" width="11.25" style="290" customWidth="1"/>
    <col min="14858" max="14858" width="14.25" style="290" customWidth="1"/>
    <col min="14859" max="14859" width="13.25" style="290" customWidth="1"/>
    <col min="14860" max="14860" width="12.375" style="290" customWidth="1"/>
    <col min="14861" max="14861" width="13.25" style="290" customWidth="1"/>
    <col min="14862" max="14862" width="14.5" style="290" customWidth="1"/>
    <col min="14863" max="14863" width="12.75" style="290" customWidth="1"/>
    <col min="14864" max="15104" width="9" style="290"/>
    <col min="15105" max="15105" width="7" style="290" customWidth="1"/>
    <col min="15106" max="15106" width="33.875" style="290" customWidth="1"/>
    <col min="15107" max="15107" width="14.5" style="290" customWidth="1"/>
    <col min="15108" max="15108" width="12.75" style="290" customWidth="1"/>
    <col min="15109" max="15110" width="13.25" style="290" customWidth="1"/>
    <col min="15111" max="15111" width="12.75" style="290" customWidth="1"/>
    <col min="15112" max="15112" width="11.875" style="290" customWidth="1"/>
    <col min="15113" max="15113" width="11.25" style="290" customWidth="1"/>
    <col min="15114" max="15114" width="14.25" style="290" customWidth="1"/>
    <col min="15115" max="15115" width="13.25" style="290" customWidth="1"/>
    <col min="15116" max="15116" width="12.375" style="290" customWidth="1"/>
    <col min="15117" max="15117" width="13.25" style="290" customWidth="1"/>
    <col min="15118" max="15118" width="14.5" style="290" customWidth="1"/>
    <col min="15119" max="15119" width="12.75" style="290" customWidth="1"/>
    <col min="15120" max="15360" width="9" style="290"/>
    <col min="15361" max="15361" width="7" style="290" customWidth="1"/>
    <col min="15362" max="15362" width="33.875" style="290" customWidth="1"/>
    <col min="15363" max="15363" width="14.5" style="290" customWidth="1"/>
    <col min="15364" max="15364" width="12.75" style="290" customWidth="1"/>
    <col min="15365" max="15366" width="13.25" style="290" customWidth="1"/>
    <col min="15367" max="15367" width="12.75" style="290" customWidth="1"/>
    <col min="15368" max="15368" width="11.875" style="290" customWidth="1"/>
    <col min="15369" max="15369" width="11.25" style="290" customWidth="1"/>
    <col min="15370" max="15370" width="14.25" style="290" customWidth="1"/>
    <col min="15371" max="15371" width="13.25" style="290" customWidth="1"/>
    <col min="15372" max="15372" width="12.375" style="290" customWidth="1"/>
    <col min="15373" max="15373" width="13.25" style="290" customWidth="1"/>
    <col min="15374" max="15374" width="14.5" style="290" customWidth="1"/>
    <col min="15375" max="15375" width="12.75" style="290" customWidth="1"/>
    <col min="15376" max="15616" width="9" style="290"/>
    <col min="15617" max="15617" width="7" style="290" customWidth="1"/>
    <col min="15618" max="15618" width="33.875" style="290" customWidth="1"/>
    <col min="15619" max="15619" width="14.5" style="290" customWidth="1"/>
    <col min="15620" max="15620" width="12.75" style="290" customWidth="1"/>
    <col min="15621" max="15622" width="13.25" style="290" customWidth="1"/>
    <col min="15623" max="15623" width="12.75" style="290" customWidth="1"/>
    <col min="15624" max="15624" width="11.875" style="290" customWidth="1"/>
    <col min="15625" max="15625" width="11.25" style="290" customWidth="1"/>
    <col min="15626" max="15626" width="14.25" style="290" customWidth="1"/>
    <col min="15627" max="15627" width="13.25" style="290" customWidth="1"/>
    <col min="15628" max="15628" width="12.375" style="290" customWidth="1"/>
    <col min="15629" max="15629" width="13.25" style="290" customWidth="1"/>
    <col min="15630" max="15630" width="14.5" style="290" customWidth="1"/>
    <col min="15631" max="15631" width="12.75" style="290" customWidth="1"/>
    <col min="15632" max="15872" width="9" style="290"/>
    <col min="15873" max="15873" width="7" style="290" customWidth="1"/>
    <col min="15874" max="15874" width="33.875" style="290" customWidth="1"/>
    <col min="15875" max="15875" width="14.5" style="290" customWidth="1"/>
    <col min="15876" max="15876" width="12.75" style="290" customWidth="1"/>
    <col min="15877" max="15878" width="13.25" style="290" customWidth="1"/>
    <col min="15879" max="15879" width="12.75" style="290" customWidth="1"/>
    <col min="15880" max="15880" width="11.875" style="290" customWidth="1"/>
    <col min="15881" max="15881" width="11.25" style="290" customWidth="1"/>
    <col min="15882" max="15882" width="14.25" style="290" customWidth="1"/>
    <col min="15883" max="15883" width="13.25" style="290" customWidth="1"/>
    <col min="15884" max="15884" width="12.375" style="290" customWidth="1"/>
    <col min="15885" max="15885" width="13.25" style="290" customWidth="1"/>
    <col min="15886" max="15886" width="14.5" style="290" customWidth="1"/>
    <col min="15887" max="15887" width="12.75" style="290" customWidth="1"/>
    <col min="15888" max="16128" width="9" style="290"/>
    <col min="16129" max="16129" width="7" style="290" customWidth="1"/>
    <col min="16130" max="16130" width="33.875" style="290" customWidth="1"/>
    <col min="16131" max="16131" width="14.5" style="290" customWidth="1"/>
    <col min="16132" max="16132" width="12.75" style="290" customWidth="1"/>
    <col min="16133" max="16134" width="13.25" style="290" customWidth="1"/>
    <col min="16135" max="16135" width="12.75" style="290" customWidth="1"/>
    <col min="16136" max="16136" width="11.875" style="290" customWidth="1"/>
    <col min="16137" max="16137" width="11.25" style="290" customWidth="1"/>
    <col min="16138" max="16138" width="14.25" style="290" customWidth="1"/>
    <col min="16139" max="16139" width="13.25" style="290" customWidth="1"/>
    <col min="16140" max="16140" width="12.375" style="290" customWidth="1"/>
    <col min="16141" max="16141" width="13.25" style="290" customWidth="1"/>
    <col min="16142" max="16142" width="14.5" style="290" customWidth="1"/>
    <col min="16143" max="16143" width="12.75" style="290" customWidth="1"/>
    <col min="16144" max="16384" width="9" style="290"/>
  </cols>
  <sheetData>
    <row r="1" spans="1:20" s="42" customFormat="1">
      <c r="A1" s="38"/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N1" s="41" t="s">
        <v>400</v>
      </c>
      <c r="O1" s="41"/>
      <c r="P1" s="41"/>
    </row>
    <row r="2" spans="1:20" s="42" customFormat="1">
      <c r="A2" s="38"/>
      <c r="B2" s="39"/>
      <c r="C2" s="40"/>
      <c r="D2" s="41"/>
      <c r="E2" s="41"/>
      <c r="F2" s="41"/>
      <c r="G2" s="41"/>
      <c r="H2" s="41"/>
      <c r="I2" s="41"/>
      <c r="J2" s="41"/>
      <c r="K2" s="41"/>
      <c r="L2" s="41"/>
      <c r="N2" s="41" t="s">
        <v>364</v>
      </c>
      <c r="O2" s="41"/>
      <c r="P2" s="41"/>
    </row>
    <row r="3" spans="1:20" s="42" customFormat="1">
      <c r="A3" s="38"/>
      <c r="B3" s="39"/>
      <c r="C3" s="40"/>
      <c r="D3" s="41"/>
      <c r="E3" s="41"/>
      <c r="F3" s="41"/>
      <c r="G3" s="41"/>
      <c r="H3" s="41"/>
      <c r="I3" s="41"/>
      <c r="J3" s="41"/>
      <c r="K3" s="41"/>
      <c r="L3" s="41"/>
      <c r="N3" s="41" t="s">
        <v>365</v>
      </c>
      <c r="O3" s="41"/>
      <c r="P3" s="41"/>
    </row>
    <row r="4" spans="1:20" ht="9" customHeight="1">
      <c r="C4" s="291"/>
    </row>
    <row r="5" spans="1:20" s="292" customFormat="1" ht="18.75">
      <c r="A5" s="927" t="s">
        <v>401</v>
      </c>
      <c r="B5" s="927"/>
      <c r="C5" s="927"/>
      <c r="D5" s="927"/>
      <c r="E5" s="927"/>
      <c r="F5" s="927"/>
      <c r="G5" s="927"/>
      <c r="H5" s="927"/>
      <c r="I5" s="927"/>
      <c r="J5" s="927"/>
      <c r="K5" s="927"/>
      <c r="L5" s="927"/>
      <c r="M5" s="927"/>
      <c r="N5" s="927"/>
      <c r="O5" s="927"/>
    </row>
    <row r="6" spans="1:20" s="292" customFormat="1" ht="18.75">
      <c r="A6" s="927" t="s">
        <v>362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  <c r="L6" s="927"/>
      <c r="M6" s="927"/>
      <c r="N6" s="927"/>
      <c r="O6" s="927"/>
    </row>
    <row r="7" spans="1:20">
      <c r="C7" s="291"/>
    </row>
    <row r="8" spans="1:20">
      <c r="C8" s="291"/>
      <c r="M8" s="290"/>
      <c r="O8" s="361" t="s">
        <v>15</v>
      </c>
    </row>
    <row r="9" spans="1:20" s="293" customFormat="1" ht="16.5" customHeight="1">
      <c r="A9" s="928" t="s">
        <v>402</v>
      </c>
      <c r="B9" s="928" t="s">
        <v>16</v>
      </c>
      <c r="C9" s="929" t="s">
        <v>17</v>
      </c>
      <c r="D9" s="930" t="s">
        <v>403</v>
      </c>
      <c r="E9" s="931"/>
      <c r="F9" s="931"/>
      <c r="G9" s="931"/>
      <c r="H9" s="931"/>
      <c r="I9" s="931"/>
      <c r="J9" s="931"/>
      <c r="K9" s="931"/>
      <c r="L9" s="931"/>
      <c r="M9" s="931"/>
      <c r="N9" s="931"/>
      <c r="O9" s="932"/>
    </row>
    <row r="10" spans="1:20" s="293" customFormat="1" ht="14.25" customHeight="1">
      <c r="A10" s="928"/>
      <c r="B10" s="928"/>
      <c r="C10" s="929"/>
      <c r="D10" s="926" t="s">
        <v>404</v>
      </c>
      <c r="E10" s="933" t="s">
        <v>405</v>
      </c>
      <c r="F10" s="933"/>
      <c r="G10" s="933"/>
      <c r="H10" s="933"/>
      <c r="I10" s="933"/>
      <c r="J10" s="933"/>
      <c r="K10" s="933"/>
      <c r="L10" s="926" t="s">
        <v>406</v>
      </c>
      <c r="M10" s="933" t="s">
        <v>405</v>
      </c>
      <c r="N10" s="933"/>
      <c r="O10" s="933"/>
    </row>
    <row r="11" spans="1:20" s="293" customFormat="1" ht="14.25" customHeight="1">
      <c r="A11" s="928"/>
      <c r="B11" s="928"/>
      <c r="C11" s="929"/>
      <c r="D11" s="926"/>
      <c r="E11" s="926" t="s">
        <v>407</v>
      </c>
      <c r="F11" s="933" t="s">
        <v>405</v>
      </c>
      <c r="G11" s="933"/>
      <c r="H11" s="926" t="s">
        <v>408</v>
      </c>
      <c r="I11" s="926" t="s">
        <v>409</v>
      </c>
      <c r="J11" s="926" t="s">
        <v>410</v>
      </c>
      <c r="K11" s="926" t="s">
        <v>411</v>
      </c>
      <c r="L11" s="926"/>
      <c r="M11" s="926" t="s">
        <v>412</v>
      </c>
      <c r="N11" s="294" t="s">
        <v>405</v>
      </c>
      <c r="O11" s="926" t="s">
        <v>413</v>
      </c>
    </row>
    <row r="12" spans="1:20" s="293" customFormat="1" ht="69" customHeight="1">
      <c r="A12" s="928"/>
      <c r="B12" s="928"/>
      <c r="C12" s="929"/>
      <c r="D12" s="926"/>
      <c r="E12" s="926"/>
      <c r="F12" s="294" t="s">
        <v>414</v>
      </c>
      <c r="G12" s="294" t="s">
        <v>415</v>
      </c>
      <c r="H12" s="926"/>
      <c r="I12" s="926"/>
      <c r="J12" s="926"/>
      <c r="K12" s="926"/>
      <c r="L12" s="926"/>
      <c r="M12" s="926"/>
      <c r="N12" s="294" t="s">
        <v>410</v>
      </c>
      <c r="O12" s="926"/>
    </row>
    <row r="13" spans="1:20" s="298" customFormat="1">
      <c r="A13" s="295">
        <v>1</v>
      </c>
      <c r="B13" s="295">
        <v>2</v>
      </c>
      <c r="C13" s="296">
        <v>3</v>
      </c>
      <c r="D13" s="297">
        <v>4</v>
      </c>
      <c r="E13" s="297">
        <v>5</v>
      </c>
      <c r="F13" s="297">
        <v>6</v>
      </c>
      <c r="G13" s="297">
        <v>7</v>
      </c>
      <c r="H13" s="297">
        <v>8</v>
      </c>
      <c r="I13" s="297">
        <v>9</v>
      </c>
      <c r="J13" s="297">
        <v>10</v>
      </c>
      <c r="K13" s="297">
        <v>11</v>
      </c>
      <c r="L13" s="297">
        <v>12</v>
      </c>
      <c r="M13" s="297">
        <v>13</v>
      </c>
      <c r="N13" s="297">
        <v>14</v>
      </c>
      <c r="O13" s="297">
        <v>15</v>
      </c>
    </row>
    <row r="14" spans="1:20" s="303" customFormat="1" ht="4.1500000000000004" customHeight="1">
      <c r="A14" s="299"/>
      <c r="B14" s="300"/>
      <c r="C14" s="301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</row>
    <row r="15" spans="1:20" s="308" customFormat="1" ht="15.75">
      <c r="A15" s="304"/>
      <c r="B15" s="305" t="s">
        <v>416</v>
      </c>
      <c r="C15" s="306">
        <f t="shared" ref="C15:O15" si="0">C17+C22+C25+C28+C30+C41+C43+C46+C52+C57+C64+C66+C69+C72+C74+C88+C99+C105+C111+C120+C123+C134+C144+C146+C54</f>
        <v>1568229829</v>
      </c>
      <c r="D15" s="306">
        <f t="shared" si="0"/>
        <v>859127010</v>
      </c>
      <c r="E15" s="306">
        <f t="shared" si="0"/>
        <v>335068371</v>
      </c>
      <c r="F15" s="306">
        <f t="shared" si="0"/>
        <v>166768902</v>
      </c>
      <c r="G15" s="306">
        <f t="shared" si="0"/>
        <v>168299469</v>
      </c>
      <c r="H15" s="306">
        <f t="shared" si="0"/>
        <v>290152900</v>
      </c>
      <c r="I15" s="306">
        <f t="shared" si="0"/>
        <v>3083955</v>
      </c>
      <c r="J15" s="306">
        <f t="shared" si="0"/>
        <v>177333183</v>
      </c>
      <c r="K15" s="306">
        <f t="shared" si="0"/>
        <v>53488601</v>
      </c>
      <c r="L15" s="306">
        <f t="shared" si="0"/>
        <v>709102819</v>
      </c>
      <c r="M15" s="306">
        <f t="shared" si="0"/>
        <v>676557708</v>
      </c>
      <c r="N15" s="306">
        <f t="shared" si="0"/>
        <v>396912914</v>
      </c>
      <c r="O15" s="306">
        <f t="shared" si="0"/>
        <v>32545111</v>
      </c>
      <c r="P15" s="307"/>
      <c r="Q15" s="307"/>
      <c r="R15" s="307"/>
      <c r="S15" s="307"/>
      <c r="T15" s="307"/>
    </row>
    <row r="16" spans="1:20" s="303" customFormat="1" ht="3.6" customHeight="1">
      <c r="A16" s="309"/>
      <c r="B16" s="310"/>
      <c r="C16" s="30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2"/>
      <c r="Q16" s="312"/>
      <c r="R16" s="312"/>
      <c r="S16" s="312"/>
      <c r="T16" s="312"/>
    </row>
    <row r="17" spans="1:20" s="319" customFormat="1" ht="15">
      <c r="A17" s="313" t="s">
        <v>61</v>
      </c>
      <c r="B17" s="314" t="s">
        <v>62</v>
      </c>
      <c r="C17" s="315">
        <f>C18+C19+C20+C21</f>
        <v>16850600</v>
      </c>
      <c r="D17" s="316">
        <f>D18+D19+D20+D21</f>
        <v>9022100</v>
      </c>
      <c r="E17" s="316">
        <f t="shared" ref="E17:O17" si="1">E18+E19+E20+E21</f>
        <v>914600</v>
      </c>
      <c r="F17" s="316">
        <f t="shared" si="1"/>
        <v>279000</v>
      </c>
      <c r="G17" s="316">
        <f t="shared" si="1"/>
        <v>635600</v>
      </c>
      <c r="H17" s="316">
        <f t="shared" si="1"/>
        <v>1447500</v>
      </c>
      <c r="I17" s="316">
        <f t="shared" si="1"/>
        <v>0</v>
      </c>
      <c r="J17" s="316">
        <f t="shared" si="1"/>
        <v>6660000</v>
      </c>
      <c r="K17" s="316">
        <f t="shared" si="1"/>
        <v>0</v>
      </c>
      <c r="L17" s="316">
        <f t="shared" si="1"/>
        <v>7828500</v>
      </c>
      <c r="M17" s="316">
        <f t="shared" si="1"/>
        <v>7828500</v>
      </c>
      <c r="N17" s="316">
        <f t="shared" si="1"/>
        <v>50000</v>
      </c>
      <c r="O17" s="316">
        <f t="shared" si="1"/>
        <v>0</v>
      </c>
      <c r="P17" s="317"/>
      <c r="Q17" s="317"/>
      <c r="R17" s="318"/>
      <c r="S17" s="318"/>
      <c r="T17" s="318"/>
    </row>
    <row r="18" spans="1:20" s="303" customFormat="1">
      <c r="A18" s="320" t="s">
        <v>63</v>
      </c>
      <c r="B18" s="321" t="s">
        <v>64</v>
      </c>
      <c r="C18" s="301">
        <f>D18+L18</f>
        <v>1300000</v>
      </c>
      <c r="D18" s="311">
        <f>E18+H18+I18+J18+K18</f>
        <v>1300000</v>
      </c>
      <c r="E18" s="311">
        <f>F18+G18</f>
        <v>0</v>
      </c>
      <c r="F18" s="311">
        <v>0</v>
      </c>
      <c r="G18" s="311">
        <v>0</v>
      </c>
      <c r="H18" s="311">
        <v>1300000</v>
      </c>
      <c r="I18" s="311">
        <v>0</v>
      </c>
      <c r="J18" s="311">
        <v>0</v>
      </c>
      <c r="K18" s="311">
        <v>0</v>
      </c>
      <c r="L18" s="311">
        <f>M18+O18</f>
        <v>0</v>
      </c>
      <c r="M18" s="311">
        <v>0</v>
      </c>
      <c r="N18" s="311">
        <v>0</v>
      </c>
      <c r="O18" s="311">
        <v>0</v>
      </c>
      <c r="P18" s="322"/>
      <c r="Q18" s="322"/>
      <c r="R18" s="312"/>
      <c r="S18" s="312"/>
      <c r="T18" s="312"/>
    </row>
    <row r="19" spans="1:20" s="303" customFormat="1">
      <c r="A19" s="320" t="s">
        <v>65</v>
      </c>
      <c r="B19" s="321" t="s">
        <v>417</v>
      </c>
      <c r="C19" s="301">
        <f>D19+L19</f>
        <v>6725000</v>
      </c>
      <c r="D19" s="311">
        <f>E19+H19+I19+J19+K19</f>
        <v>6672500</v>
      </c>
      <c r="E19" s="311">
        <f>F19+G19</f>
        <v>0</v>
      </c>
      <c r="F19" s="311">
        <v>0</v>
      </c>
      <c r="G19" s="311">
        <v>0</v>
      </c>
      <c r="H19" s="311">
        <v>12500</v>
      </c>
      <c r="I19" s="311">
        <v>0</v>
      </c>
      <c r="J19" s="311">
        <f>4270000-32000+2440000-18000</f>
        <v>6660000</v>
      </c>
      <c r="K19" s="311">
        <v>0</v>
      </c>
      <c r="L19" s="311">
        <f>M19+O19</f>
        <v>52500</v>
      </c>
      <c r="M19" s="311">
        <v>52500</v>
      </c>
      <c r="N19" s="311">
        <f>32000+18000</f>
        <v>50000</v>
      </c>
      <c r="O19" s="311">
        <v>0</v>
      </c>
      <c r="P19" s="322"/>
      <c r="Q19" s="322"/>
      <c r="R19" s="312"/>
      <c r="S19" s="312"/>
      <c r="T19" s="312"/>
    </row>
    <row r="20" spans="1:20" s="303" customFormat="1">
      <c r="A20" s="320" t="s">
        <v>66</v>
      </c>
      <c r="B20" s="321" t="s">
        <v>67</v>
      </c>
      <c r="C20" s="301">
        <f>D20+L20</f>
        <v>8080000</v>
      </c>
      <c r="D20" s="311">
        <f>E20+H20+I20+J20+K20</f>
        <v>304000</v>
      </c>
      <c r="E20" s="311">
        <f>F20+G20</f>
        <v>304000</v>
      </c>
      <c r="F20" s="311">
        <v>279000</v>
      </c>
      <c r="G20" s="311">
        <f>15000+500+6500+3000</f>
        <v>25000</v>
      </c>
      <c r="H20" s="311">
        <v>0</v>
      </c>
      <c r="I20" s="311">
        <v>0</v>
      </c>
      <c r="J20" s="311">
        <v>0</v>
      </c>
      <c r="K20" s="311">
        <v>0</v>
      </c>
      <c r="L20" s="311">
        <f>M20+O20</f>
        <v>7776000</v>
      </c>
      <c r="M20" s="311">
        <v>7776000</v>
      </c>
      <c r="N20" s="311">
        <v>0</v>
      </c>
      <c r="O20" s="311">
        <v>0</v>
      </c>
      <c r="P20" s="322"/>
      <c r="Q20" s="322"/>
      <c r="R20" s="312"/>
      <c r="S20" s="312"/>
      <c r="T20" s="312"/>
    </row>
    <row r="21" spans="1:20" s="303" customFormat="1">
      <c r="A21" s="320" t="s">
        <v>68</v>
      </c>
      <c r="B21" s="321" t="s">
        <v>46</v>
      </c>
      <c r="C21" s="301">
        <f>D21+L21</f>
        <v>745600</v>
      </c>
      <c r="D21" s="311">
        <f>E21+H21+I21+J21+K21</f>
        <v>745600</v>
      </c>
      <c r="E21" s="311">
        <f>F21+G21</f>
        <v>610600</v>
      </c>
      <c r="F21" s="311">
        <v>0</v>
      </c>
      <c r="G21" s="311">
        <f>177000+3000+2000+305600+2000+9000+112000</f>
        <v>610600</v>
      </c>
      <c r="H21" s="311">
        <v>135000</v>
      </c>
      <c r="I21" s="311">
        <v>0</v>
      </c>
      <c r="J21" s="311">
        <v>0</v>
      </c>
      <c r="K21" s="311">
        <v>0</v>
      </c>
      <c r="L21" s="311">
        <f>M21+O21</f>
        <v>0</v>
      </c>
      <c r="M21" s="311">
        <v>0</v>
      </c>
      <c r="N21" s="311">
        <v>0</v>
      </c>
      <c r="O21" s="311">
        <v>0</v>
      </c>
      <c r="P21" s="322"/>
      <c r="Q21" s="322"/>
      <c r="R21" s="312"/>
      <c r="S21" s="312"/>
      <c r="T21" s="312"/>
    </row>
    <row r="22" spans="1:20" s="327" customFormat="1" ht="15">
      <c r="A22" s="313" t="s">
        <v>21</v>
      </c>
      <c r="B22" s="314" t="s">
        <v>22</v>
      </c>
      <c r="C22" s="323">
        <f>C23+C24</f>
        <v>356000</v>
      </c>
      <c r="D22" s="324">
        <f>D23+D24</f>
        <v>356000</v>
      </c>
      <c r="E22" s="324">
        <f t="shared" ref="E22:O22" si="2">E23+E24</f>
        <v>68000</v>
      </c>
      <c r="F22" s="324">
        <f t="shared" si="2"/>
        <v>68000</v>
      </c>
      <c r="G22" s="324">
        <f t="shared" si="2"/>
        <v>0</v>
      </c>
      <c r="H22" s="324">
        <f t="shared" si="2"/>
        <v>8000</v>
      </c>
      <c r="I22" s="324">
        <f t="shared" si="2"/>
        <v>0</v>
      </c>
      <c r="J22" s="324">
        <f t="shared" si="2"/>
        <v>280000</v>
      </c>
      <c r="K22" s="324">
        <f t="shared" si="2"/>
        <v>0</v>
      </c>
      <c r="L22" s="324">
        <f t="shared" si="2"/>
        <v>0</v>
      </c>
      <c r="M22" s="324">
        <f t="shared" si="2"/>
        <v>0</v>
      </c>
      <c r="N22" s="324">
        <f t="shared" si="2"/>
        <v>0</v>
      </c>
      <c r="O22" s="324">
        <f t="shared" si="2"/>
        <v>0</v>
      </c>
      <c r="P22" s="325"/>
      <c r="Q22" s="325"/>
      <c r="R22" s="326"/>
      <c r="S22" s="326"/>
      <c r="T22" s="326"/>
    </row>
    <row r="23" spans="1:20" s="303" customFormat="1" ht="57.75" customHeight="1">
      <c r="A23" s="320" t="s">
        <v>69</v>
      </c>
      <c r="B23" s="328" t="s">
        <v>70</v>
      </c>
      <c r="C23" s="301">
        <f>D23+L23</f>
        <v>288000</v>
      </c>
      <c r="D23" s="311">
        <f>E23+H23+I23+J23+K23</f>
        <v>288000</v>
      </c>
      <c r="E23" s="311">
        <f>F23+G23</f>
        <v>0</v>
      </c>
      <c r="F23" s="311">
        <v>0</v>
      </c>
      <c r="G23" s="311">
        <v>0</v>
      </c>
      <c r="H23" s="311">
        <v>8000</v>
      </c>
      <c r="I23" s="311">
        <v>0</v>
      </c>
      <c r="J23" s="311">
        <v>280000</v>
      </c>
      <c r="K23" s="311">
        <v>0</v>
      </c>
      <c r="L23" s="311">
        <f>M23+O23</f>
        <v>0</v>
      </c>
      <c r="M23" s="311">
        <v>0</v>
      </c>
      <c r="N23" s="311">
        <v>0</v>
      </c>
      <c r="O23" s="311">
        <v>0</v>
      </c>
      <c r="P23" s="322"/>
      <c r="Q23" s="322"/>
      <c r="R23" s="312"/>
      <c r="S23" s="312"/>
      <c r="T23" s="312"/>
    </row>
    <row r="24" spans="1:20" s="303" customFormat="1">
      <c r="A24" s="329" t="s">
        <v>60</v>
      </c>
      <c r="B24" s="328" t="s">
        <v>46</v>
      </c>
      <c r="C24" s="301">
        <f>D24+L24</f>
        <v>68000</v>
      </c>
      <c r="D24" s="311">
        <f>E24+H24+I24+J24+K24</f>
        <v>68000</v>
      </c>
      <c r="E24" s="311">
        <f>F24+G24</f>
        <v>68000</v>
      </c>
      <c r="F24" s="311">
        <v>68000</v>
      </c>
      <c r="G24" s="311">
        <v>0</v>
      </c>
      <c r="H24" s="311">
        <v>0</v>
      </c>
      <c r="I24" s="311">
        <v>0</v>
      </c>
      <c r="J24" s="311">
        <v>0</v>
      </c>
      <c r="K24" s="311">
        <v>0</v>
      </c>
      <c r="L24" s="311">
        <f>M24+O24</f>
        <v>0</v>
      </c>
      <c r="M24" s="311">
        <v>0</v>
      </c>
      <c r="N24" s="311">
        <v>0</v>
      </c>
      <c r="O24" s="311">
        <v>0</v>
      </c>
      <c r="P24" s="322"/>
      <c r="Q24" s="322"/>
      <c r="R24" s="312"/>
      <c r="S24" s="312"/>
      <c r="T24" s="312"/>
    </row>
    <row r="25" spans="1:20" s="332" customFormat="1" ht="15">
      <c r="A25" s="313" t="s">
        <v>71</v>
      </c>
      <c r="B25" s="314" t="s">
        <v>72</v>
      </c>
      <c r="C25" s="315">
        <f>C26+C27</f>
        <v>8821988</v>
      </c>
      <c r="D25" s="316">
        <f t="shared" ref="D25:O25" si="3">D26+D27</f>
        <v>8821988</v>
      </c>
      <c r="E25" s="316">
        <f t="shared" si="3"/>
        <v>20000</v>
      </c>
      <c r="F25" s="316">
        <f t="shared" si="3"/>
        <v>5000</v>
      </c>
      <c r="G25" s="316">
        <f t="shared" si="3"/>
        <v>15000</v>
      </c>
      <c r="H25" s="316">
        <f t="shared" si="3"/>
        <v>0</v>
      </c>
      <c r="I25" s="316">
        <f t="shared" si="3"/>
        <v>0</v>
      </c>
      <c r="J25" s="316">
        <f t="shared" si="3"/>
        <v>8801988</v>
      </c>
      <c r="K25" s="316">
        <f t="shared" si="3"/>
        <v>0</v>
      </c>
      <c r="L25" s="316">
        <f t="shared" si="3"/>
        <v>0</v>
      </c>
      <c r="M25" s="316">
        <f t="shared" si="3"/>
        <v>0</v>
      </c>
      <c r="N25" s="316">
        <f t="shared" si="3"/>
        <v>0</v>
      </c>
      <c r="O25" s="316">
        <f t="shared" si="3"/>
        <v>0</v>
      </c>
      <c r="P25" s="330"/>
      <c r="Q25" s="330"/>
      <c r="R25" s="331"/>
      <c r="S25" s="331"/>
      <c r="T25" s="331"/>
    </row>
    <row r="26" spans="1:20" s="303" customFormat="1" ht="28.5" customHeight="1">
      <c r="A26" s="320" t="s">
        <v>418</v>
      </c>
      <c r="B26" s="328" t="s">
        <v>73</v>
      </c>
      <c r="C26" s="301">
        <f>D26+L26</f>
        <v>8755500</v>
      </c>
      <c r="D26" s="311">
        <f>E26+H26+I26+J26+K26</f>
        <v>8755500</v>
      </c>
      <c r="E26" s="311">
        <f>F26+G26</f>
        <v>20000</v>
      </c>
      <c r="F26" s="311">
        <v>5000</v>
      </c>
      <c r="G26" s="311">
        <v>15000</v>
      </c>
      <c r="H26" s="311">
        <v>0</v>
      </c>
      <c r="I26" s="311">
        <v>0</v>
      </c>
      <c r="J26" s="311">
        <f>5795994+2939506</f>
        <v>8735500</v>
      </c>
      <c r="K26" s="311">
        <v>0</v>
      </c>
      <c r="L26" s="311">
        <f>M26+O26</f>
        <v>0</v>
      </c>
      <c r="M26" s="311">
        <v>0</v>
      </c>
      <c r="N26" s="311">
        <v>0</v>
      </c>
      <c r="O26" s="311">
        <v>0</v>
      </c>
      <c r="P26" s="322"/>
      <c r="Q26" s="322"/>
      <c r="R26" s="312"/>
      <c r="S26" s="312"/>
      <c r="T26" s="312"/>
    </row>
    <row r="27" spans="1:20" s="303" customFormat="1">
      <c r="A27" s="320" t="s">
        <v>419</v>
      </c>
      <c r="B27" s="328" t="s">
        <v>46</v>
      </c>
      <c r="C27" s="301">
        <f>D27+L27</f>
        <v>66488</v>
      </c>
      <c r="D27" s="311">
        <f>E27+H27+I27+J27+K27</f>
        <v>66488</v>
      </c>
      <c r="E27" s="311">
        <f>F27+G27</f>
        <v>0</v>
      </c>
      <c r="F27" s="311">
        <v>0</v>
      </c>
      <c r="G27" s="311">
        <v>0</v>
      </c>
      <c r="H27" s="311">
        <v>0</v>
      </c>
      <c r="I27" s="311">
        <v>0</v>
      </c>
      <c r="J27" s="311">
        <f>56515+9973</f>
        <v>66488</v>
      </c>
      <c r="K27" s="311">
        <v>0</v>
      </c>
      <c r="L27" s="311">
        <f>M27+O27</f>
        <v>0</v>
      </c>
      <c r="M27" s="311">
        <v>0</v>
      </c>
      <c r="N27" s="311">
        <v>0</v>
      </c>
      <c r="O27" s="311">
        <v>0</v>
      </c>
      <c r="P27" s="322"/>
      <c r="Q27" s="322"/>
      <c r="R27" s="312"/>
      <c r="S27" s="312"/>
      <c r="T27" s="312"/>
    </row>
    <row r="28" spans="1:20" s="335" customFormat="1" ht="15">
      <c r="A28" s="313" t="s">
        <v>74</v>
      </c>
      <c r="B28" s="314" t="s">
        <v>75</v>
      </c>
      <c r="C28" s="315">
        <f t="shared" ref="C28:O28" si="4">C29</f>
        <v>10382416</v>
      </c>
      <c r="D28" s="316">
        <f t="shared" si="4"/>
        <v>8698363</v>
      </c>
      <c r="E28" s="316">
        <f t="shared" si="4"/>
        <v>0</v>
      </c>
      <c r="F28" s="316">
        <f t="shared" si="4"/>
        <v>0</v>
      </c>
      <c r="G28" s="316">
        <f t="shared" si="4"/>
        <v>0</v>
      </c>
      <c r="H28" s="316">
        <f t="shared" si="4"/>
        <v>0</v>
      </c>
      <c r="I28" s="316">
        <f t="shared" si="4"/>
        <v>0</v>
      </c>
      <c r="J28" s="316">
        <f t="shared" si="4"/>
        <v>8698363</v>
      </c>
      <c r="K28" s="316">
        <f t="shared" si="4"/>
        <v>0</v>
      </c>
      <c r="L28" s="316">
        <f t="shared" si="4"/>
        <v>1684053</v>
      </c>
      <c r="M28" s="316">
        <f t="shared" si="4"/>
        <v>1684053</v>
      </c>
      <c r="N28" s="316">
        <f>N29</f>
        <v>830000</v>
      </c>
      <c r="O28" s="316">
        <f t="shared" si="4"/>
        <v>0</v>
      </c>
      <c r="P28" s="333"/>
      <c r="Q28" s="333"/>
      <c r="R28" s="334"/>
      <c r="S28" s="334"/>
      <c r="T28" s="334"/>
    </row>
    <row r="29" spans="1:20" s="338" customFormat="1">
      <c r="A29" s="320" t="s">
        <v>420</v>
      </c>
      <c r="B29" s="321" t="s">
        <v>76</v>
      </c>
      <c r="C29" s="301">
        <f>D29+L29</f>
        <v>10382416</v>
      </c>
      <c r="D29" s="311">
        <f>E29+H29+I29+J29+K29</f>
        <v>8698363</v>
      </c>
      <c r="E29" s="311">
        <f>F29+G29</f>
        <v>0</v>
      </c>
      <c r="F29" s="311">
        <v>0</v>
      </c>
      <c r="G29" s="311">
        <v>0</v>
      </c>
      <c r="H29" s="311">
        <v>0</v>
      </c>
      <c r="I29" s="311">
        <v>0</v>
      </c>
      <c r="J29" s="311">
        <f>8575527-747000+952836-83000</f>
        <v>8698363</v>
      </c>
      <c r="K29" s="311">
        <v>0</v>
      </c>
      <c r="L29" s="311">
        <f>M29+O29</f>
        <v>1684053</v>
      </c>
      <c r="M29" s="311">
        <v>1684053</v>
      </c>
      <c r="N29" s="311">
        <f>747000+83000</f>
        <v>830000</v>
      </c>
      <c r="O29" s="311">
        <v>0</v>
      </c>
      <c r="P29" s="336"/>
      <c r="Q29" s="336"/>
      <c r="R29" s="337"/>
      <c r="S29" s="337"/>
      <c r="T29" s="337"/>
    </row>
    <row r="30" spans="1:20" s="332" customFormat="1" ht="15">
      <c r="A30" s="313" t="s">
        <v>23</v>
      </c>
      <c r="B30" s="314" t="s">
        <v>24</v>
      </c>
      <c r="C30" s="339">
        <f t="shared" ref="C30:N30" si="5">C31+C32+C33+C35+C40+C36+C34+C39+C37+C38</f>
        <v>682215266</v>
      </c>
      <c r="D30" s="316">
        <f t="shared" si="5"/>
        <v>237141094</v>
      </c>
      <c r="E30" s="316">
        <f t="shared" si="5"/>
        <v>60074309</v>
      </c>
      <c r="F30" s="316">
        <f t="shared" si="5"/>
        <v>224200</v>
      </c>
      <c r="G30" s="316">
        <f t="shared" si="5"/>
        <v>59850109</v>
      </c>
      <c r="H30" s="316">
        <f t="shared" si="5"/>
        <v>176090361</v>
      </c>
      <c r="I30" s="316">
        <f t="shared" si="5"/>
        <v>0</v>
      </c>
      <c r="J30" s="316">
        <f t="shared" si="5"/>
        <v>976424</v>
      </c>
      <c r="K30" s="316">
        <f t="shared" si="5"/>
        <v>0</v>
      </c>
      <c r="L30" s="316">
        <f t="shared" si="5"/>
        <v>445074172</v>
      </c>
      <c r="M30" s="316">
        <f t="shared" si="5"/>
        <v>435074172</v>
      </c>
      <c r="N30" s="316">
        <f t="shared" si="5"/>
        <v>247271260</v>
      </c>
      <c r="O30" s="316">
        <f>O31+O32+O33+O35+O40+O36+O34+O39+O37+O38</f>
        <v>10000000</v>
      </c>
      <c r="P30" s="330"/>
      <c r="Q30" s="330"/>
      <c r="R30" s="331"/>
      <c r="S30" s="331"/>
      <c r="T30" s="331"/>
    </row>
    <row r="31" spans="1:20" s="303" customFormat="1">
      <c r="A31" s="320" t="s">
        <v>421</v>
      </c>
      <c r="B31" s="321" t="s">
        <v>77</v>
      </c>
      <c r="C31" s="301">
        <f t="shared" ref="C31:C40" si="6">D31+L31</f>
        <v>170981000</v>
      </c>
      <c r="D31" s="311">
        <f t="shared" ref="D31:D40" si="7">E31+H31+I31+J31+K31</f>
        <v>160011000</v>
      </c>
      <c r="E31" s="311">
        <f t="shared" ref="E31:E40" si="8">F31+G31</f>
        <v>24250000</v>
      </c>
      <c r="F31" s="311">
        <v>50000</v>
      </c>
      <c r="G31" s="311">
        <f>24000000+200000</f>
        <v>24200000</v>
      </c>
      <c r="H31" s="311">
        <v>135761000</v>
      </c>
      <c r="I31" s="311">
        <v>0</v>
      </c>
      <c r="J31" s="311">
        <v>0</v>
      </c>
      <c r="K31" s="311">
        <v>0</v>
      </c>
      <c r="L31" s="311">
        <f>M31+O31</f>
        <v>10970000</v>
      </c>
      <c r="M31" s="311">
        <v>10970000</v>
      </c>
      <c r="N31" s="311">
        <v>0</v>
      </c>
      <c r="O31" s="311">
        <v>0</v>
      </c>
      <c r="P31" s="322"/>
      <c r="Q31" s="322"/>
      <c r="R31" s="312"/>
      <c r="S31" s="312"/>
      <c r="T31" s="312"/>
    </row>
    <row r="32" spans="1:20" s="303" customFormat="1">
      <c r="A32" s="320" t="s">
        <v>422</v>
      </c>
      <c r="B32" s="321" t="s">
        <v>78</v>
      </c>
      <c r="C32" s="301">
        <f t="shared" si="6"/>
        <v>5199912</v>
      </c>
      <c r="D32" s="311">
        <f t="shared" si="7"/>
        <v>100198</v>
      </c>
      <c r="E32" s="311">
        <f t="shared" si="8"/>
        <v>0</v>
      </c>
      <c r="F32" s="311">
        <v>0</v>
      </c>
      <c r="G32" s="311">
        <v>0</v>
      </c>
      <c r="H32" s="311">
        <v>0</v>
      </c>
      <c r="I32" s="311">
        <v>0</v>
      </c>
      <c r="J32" s="311">
        <f>4249925-4164757+749987-734957</f>
        <v>100198</v>
      </c>
      <c r="K32" s="311">
        <v>0</v>
      </c>
      <c r="L32" s="311">
        <f t="shared" ref="L32:L40" si="9">M32+O32</f>
        <v>5099714</v>
      </c>
      <c r="M32" s="311">
        <v>5099714</v>
      </c>
      <c r="N32" s="311">
        <f>4164757+734957</f>
        <v>4899714</v>
      </c>
      <c r="O32" s="311">
        <v>0</v>
      </c>
      <c r="P32" s="322"/>
      <c r="Q32" s="322"/>
      <c r="R32" s="312"/>
      <c r="S32" s="312"/>
      <c r="T32" s="312"/>
    </row>
    <row r="33" spans="1:20" s="303" customFormat="1">
      <c r="A33" s="320" t="s">
        <v>423</v>
      </c>
      <c r="B33" s="321" t="s">
        <v>49</v>
      </c>
      <c r="C33" s="301">
        <f t="shared" si="6"/>
        <v>36443000</v>
      </c>
      <c r="D33" s="311">
        <f t="shared" si="7"/>
        <v>36443000</v>
      </c>
      <c r="E33" s="311">
        <f t="shared" si="8"/>
        <v>0</v>
      </c>
      <c r="F33" s="311">
        <v>0</v>
      </c>
      <c r="G33" s="311">
        <v>0</v>
      </c>
      <c r="H33" s="311">
        <v>36443000</v>
      </c>
      <c r="I33" s="311">
        <v>0</v>
      </c>
      <c r="J33" s="311">
        <v>0</v>
      </c>
      <c r="K33" s="311">
        <v>0</v>
      </c>
      <c r="L33" s="311">
        <f t="shared" si="9"/>
        <v>0</v>
      </c>
      <c r="M33" s="311">
        <v>0</v>
      </c>
      <c r="N33" s="311">
        <v>0</v>
      </c>
      <c r="O33" s="311">
        <v>0</v>
      </c>
      <c r="P33" s="322"/>
      <c r="Q33" s="322"/>
      <c r="R33" s="312"/>
      <c r="S33" s="312"/>
      <c r="T33" s="312"/>
    </row>
    <row r="34" spans="1:20" s="303" customFormat="1">
      <c r="A34" s="329">
        <v>60004</v>
      </c>
      <c r="B34" s="321" t="s">
        <v>79</v>
      </c>
      <c r="C34" s="301">
        <f t="shared" si="6"/>
        <v>3836361</v>
      </c>
      <c r="D34" s="311">
        <f t="shared" si="7"/>
        <v>3836361</v>
      </c>
      <c r="E34" s="311">
        <f t="shared" si="8"/>
        <v>0</v>
      </c>
      <c r="F34" s="311">
        <v>0</v>
      </c>
      <c r="G34" s="311">
        <v>0</v>
      </c>
      <c r="H34" s="311">
        <v>3836361</v>
      </c>
      <c r="I34" s="311">
        <v>0</v>
      </c>
      <c r="J34" s="311">
        <v>0</v>
      </c>
      <c r="K34" s="311">
        <v>0</v>
      </c>
      <c r="L34" s="311">
        <f t="shared" si="9"/>
        <v>0</v>
      </c>
      <c r="M34" s="311">
        <v>0</v>
      </c>
      <c r="N34" s="311">
        <v>0</v>
      </c>
      <c r="O34" s="311">
        <v>0</v>
      </c>
      <c r="P34" s="322"/>
      <c r="Q34" s="322"/>
      <c r="R34" s="312"/>
      <c r="S34" s="312"/>
      <c r="T34" s="312"/>
    </row>
    <row r="35" spans="1:20" s="303" customFormat="1">
      <c r="A35" s="320" t="s">
        <v>369</v>
      </c>
      <c r="B35" s="321" t="s">
        <v>80</v>
      </c>
      <c r="C35" s="301">
        <f t="shared" si="6"/>
        <v>446203248</v>
      </c>
      <c r="D35" s="311">
        <f t="shared" si="7"/>
        <v>35876226</v>
      </c>
      <c r="E35" s="311">
        <f t="shared" si="8"/>
        <v>35000000</v>
      </c>
      <c r="F35" s="311">
        <v>0</v>
      </c>
      <c r="G35" s="311">
        <f>203993329-162317785-5180000-1495544</f>
        <v>35000000</v>
      </c>
      <c r="H35" s="311">
        <v>0</v>
      </c>
      <c r="I35" s="311">
        <v>0</v>
      </c>
      <c r="J35" s="311">
        <f>194956730-194252009+47253189-45419140-885588-776956</f>
        <v>876226</v>
      </c>
      <c r="K35" s="311">
        <v>0</v>
      </c>
      <c r="L35" s="311">
        <f t="shared" si="9"/>
        <v>410327022</v>
      </c>
      <c r="M35" s="311">
        <v>410327022</v>
      </c>
      <c r="N35" s="311">
        <f>194252009+45419140+885588+776956</f>
        <v>241333693</v>
      </c>
      <c r="O35" s="311">
        <v>0</v>
      </c>
      <c r="P35" s="322"/>
      <c r="Q35" s="322"/>
      <c r="R35" s="312"/>
      <c r="S35" s="312"/>
      <c r="T35" s="312"/>
    </row>
    <row r="36" spans="1:20" s="303" customFormat="1">
      <c r="A36" s="320" t="s">
        <v>424</v>
      </c>
      <c r="B36" s="321" t="s">
        <v>81</v>
      </c>
      <c r="C36" s="301">
        <f t="shared" si="6"/>
        <v>3823853</v>
      </c>
      <c r="D36" s="311">
        <f t="shared" si="7"/>
        <v>0</v>
      </c>
      <c r="E36" s="311">
        <f t="shared" si="8"/>
        <v>0</v>
      </c>
      <c r="F36" s="311">
        <v>0</v>
      </c>
      <c r="G36" s="311">
        <v>0</v>
      </c>
      <c r="H36" s="311">
        <v>0</v>
      </c>
      <c r="I36" s="311">
        <v>0</v>
      </c>
      <c r="J36" s="311">
        <v>0</v>
      </c>
      <c r="K36" s="311">
        <v>0</v>
      </c>
      <c r="L36" s="311">
        <f>M36+O36</f>
        <v>3823853</v>
      </c>
      <c r="M36" s="311">
        <v>3823853</v>
      </c>
      <c r="N36" s="311">
        <f>223853</f>
        <v>223853</v>
      </c>
      <c r="O36" s="311">
        <v>0</v>
      </c>
      <c r="P36" s="322"/>
      <c r="Q36" s="322"/>
      <c r="R36" s="312"/>
      <c r="S36" s="312"/>
      <c r="T36" s="312"/>
    </row>
    <row r="37" spans="1:20" s="303" customFormat="1">
      <c r="A37" s="329">
        <v>60016</v>
      </c>
      <c r="B37" s="321" t="s">
        <v>384</v>
      </c>
      <c r="C37" s="301">
        <f>D37+L37</f>
        <v>1103984</v>
      </c>
      <c r="D37" s="311">
        <f>E37+H37+I37+J37+K37</f>
        <v>0</v>
      </c>
      <c r="E37" s="311">
        <f>F37+G37</f>
        <v>0</v>
      </c>
      <c r="F37" s="311">
        <v>0</v>
      </c>
      <c r="G37" s="311">
        <v>0</v>
      </c>
      <c r="H37" s="311">
        <v>0</v>
      </c>
      <c r="I37" s="311">
        <v>0</v>
      </c>
      <c r="J37" s="311">
        <v>0</v>
      </c>
      <c r="K37" s="311">
        <v>0</v>
      </c>
      <c r="L37" s="311">
        <f>M37+O37</f>
        <v>1103984</v>
      </c>
      <c r="M37" s="311">
        <v>1103984</v>
      </c>
      <c r="N37" s="311">
        <f>814000</f>
        <v>814000</v>
      </c>
      <c r="O37" s="311">
        <v>0</v>
      </c>
      <c r="P37" s="322"/>
      <c r="Q37" s="322"/>
      <c r="R37" s="312"/>
      <c r="S37" s="312"/>
      <c r="T37" s="312"/>
    </row>
    <row r="38" spans="1:20" s="303" customFormat="1">
      <c r="A38" s="329" t="s">
        <v>425</v>
      </c>
      <c r="B38" s="321" t="s">
        <v>426</v>
      </c>
      <c r="C38" s="301">
        <f>D38+L38</f>
        <v>3749599</v>
      </c>
      <c r="D38" s="311">
        <f>E38+H38+I38+J38+K38</f>
        <v>0</v>
      </c>
      <c r="E38" s="311">
        <f>F38+G38</f>
        <v>0</v>
      </c>
      <c r="F38" s="311">
        <v>0</v>
      </c>
      <c r="G38" s="311">
        <v>0</v>
      </c>
      <c r="H38" s="311">
        <v>0</v>
      </c>
      <c r="I38" s="311">
        <v>0</v>
      </c>
      <c r="J38" s="311">
        <v>0</v>
      </c>
      <c r="K38" s="311">
        <v>0</v>
      </c>
      <c r="L38" s="311">
        <f>M38+O38</f>
        <v>3749599</v>
      </c>
      <c r="M38" s="311">
        <v>3749599</v>
      </c>
      <c r="N38" s="311">
        <v>0</v>
      </c>
      <c r="O38" s="311">
        <v>0</v>
      </c>
      <c r="P38" s="322"/>
      <c r="Q38" s="322"/>
      <c r="R38" s="312"/>
      <c r="S38" s="312"/>
      <c r="T38" s="312"/>
    </row>
    <row r="39" spans="1:20" s="303" customFormat="1">
      <c r="A39" s="329">
        <v>60041</v>
      </c>
      <c r="B39" s="321" t="s">
        <v>386</v>
      </c>
      <c r="C39" s="301">
        <f>D39+L39</f>
        <v>10000000</v>
      </c>
      <c r="D39" s="311">
        <f>E39+H39+I39+J39+K39</f>
        <v>0</v>
      </c>
      <c r="E39" s="311">
        <f>F39+G39</f>
        <v>0</v>
      </c>
      <c r="F39" s="311">
        <v>0</v>
      </c>
      <c r="G39" s="311">
        <v>0</v>
      </c>
      <c r="H39" s="311">
        <v>0</v>
      </c>
      <c r="I39" s="311">
        <v>0</v>
      </c>
      <c r="J39" s="311">
        <v>0</v>
      </c>
      <c r="K39" s="311">
        <v>0</v>
      </c>
      <c r="L39" s="311">
        <f>M39+O39</f>
        <v>10000000</v>
      </c>
      <c r="M39" s="311">
        <v>0</v>
      </c>
      <c r="N39" s="311">
        <v>0</v>
      </c>
      <c r="O39" s="311">
        <v>10000000</v>
      </c>
      <c r="P39" s="322"/>
      <c r="Q39" s="322"/>
      <c r="R39" s="312"/>
      <c r="S39" s="312"/>
      <c r="T39" s="312"/>
    </row>
    <row r="40" spans="1:20" s="303" customFormat="1">
      <c r="A40" s="320" t="s">
        <v>427</v>
      </c>
      <c r="B40" s="321" t="s">
        <v>46</v>
      </c>
      <c r="C40" s="301">
        <f t="shared" si="6"/>
        <v>874309</v>
      </c>
      <c r="D40" s="311">
        <f t="shared" si="7"/>
        <v>874309</v>
      </c>
      <c r="E40" s="311">
        <f t="shared" si="8"/>
        <v>824309</v>
      </c>
      <c r="F40" s="311">
        <v>174200</v>
      </c>
      <c r="G40" s="311">
        <f>1000+617800+1000+30309</f>
        <v>650109</v>
      </c>
      <c r="H40" s="311">
        <v>50000</v>
      </c>
      <c r="I40" s="311">
        <v>0</v>
      </c>
      <c r="J40" s="311">
        <v>0</v>
      </c>
      <c r="K40" s="311">
        <v>0</v>
      </c>
      <c r="L40" s="311">
        <f t="shared" si="9"/>
        <v>0</v>
      </c>
      <c r="M40" s="311">
        <v>0</v>
      </c>
      <c r="N40" s="311">
        <v>0</v>
      </c>
      <c r="O40" s="311">
        <v>0</v>
      </c>
      <c r="P40" s="322"/>
      <c r="Q40" s="322"/>
      <c r="R40" s="312"/>
      <c r="S40" s="312"/>
      <c r="T40" s="312"/>
    </row>
    <row r="41" spans="1:20" s="332" customFormat="1" ht="15">
      <c r="A41" s="313" t="s">
        <v>55</v>
      </c>
      <c r="B41" s="314" t="s">
        <v>56</v>
      </c>
      <c r="C41" s="315">
        <f>C42</f>
        <v>1412023</v>
      </c>
      <c r="D41" s="316">
        <f>D42</f>
        <v>1412023</v>
      </c>
      <c r="E41" s="316">
        <f t="shared" ref="E41:O41" si="10">E42</f>
        <v>942819</v>
      </c>
      <c r="F41" s="316">
        <f t="shared" si="10"/>
        <v>190000</v>
      </c>
      <c r="G41" s="316">
        <f t="shared" si="10"/>
        <v>752819</v>
      </c>
      <c r="H41" s="316">
        <f t="shared" si="10"/>
        <v>150000</v>
      </c>
      <c r="I41" s="316">
        <f t="shared" si="10"/>
        <v>0</v>
      </c>
      <c r="J41" s="316">
        <f t="shared" si="10"/>
        <v>319204</v>
      </c>
      <c r="K41" s="316">
        <f t="shared" si="10"/>
        <v>0</v>
      </c>
      <c r="L41" s="316">
        <f t="shared" si="10"/>
        <v>0</v>
      </c>
      <c r="M41" s="316">
        <f t="shared" si="10"/>
        <v>0</v>
      </c>
      <c r="N41" s="316">
        <f t="shared" si="10"/>
        <v>0</v>
      </c>
      <c r="O41" s="316">
        <f t="shared" si="10"/>
        <v>0</v>
      </c>
      <c r="P41" s="330"/>
      <c r="Q41" s="330"/>
      <c r="R41" s="331"/>
      <c r="S41" s="331"/>
      <c r="T41" s="331"/>
    </row>
    <row r="42" spans="1:20" s="303" customFormat="1">
      <c r="A42" s="320" t="s">
        <v>428</v>
      </c>
      <c r="B42" s="321" t="s">
        <v>46</v>
      </c>
      <c r="C42" s="301">
        <f>D42+L42</f>
        <v>1412023</v>
      </c>
      <c r="D42" s="311">
        <f>E42+H42+I42+J42+K42</f>
        <v>1412023</v>
      </c>
      <c r="E42" s="311">
        <f>F42+G42</f>
        <v>942819</v>
      </c>
      <c r="F42" s="311">
        <v>190000</v>
      </c>
      <c r="G42" s="311">
        <f>5000+16000+273250+20000+414903+23666</f>
        <v>752819</v>
      </c>
      <c r="H42" s="311">
        <v>150000</v>
      </c>
      <c r="I42" s="311">
        <v>0</v>
      </c>
      <c r="J42" s="311">
        <f>271324+47880</f>
        <v>319204</v>
      </c>
      <c r="K42" s="311">
        <v>0</v>
      </c>
      <c r="L42" s="311">
        <f>M42+O42</f>
        <v>0</v>
      </c>
      <c r="M42" s="311">
        <v>0</v>
      </c>
      <c r="N42" s="311">
        <v>0</v>
      </c>
      <c r="O42" s="311">
        <v>0</v>
      </c>
      <c r="P42" s="322"/>
      <c r="Q42" s="322"/>
      <c r="R42" s="312"/>
      <c r="S42" s="312"/>
      <c r="T42" s="312"/>
    </row>
    <row r="43" spans="1:20" s="332" customFormat="1" ht="15">
      <c r="A43" s="313" t="s">
        <v>25</v>
      </c>
      <c r="B43" s="314" t="s">
        <v>26</v>
      </c>
      <c r="C43" s="339">
        <f t="shared" ref="C43:N43" si="11">C44+C45</f>
        <v>1512272</v>
      </c>
      <c r="D43" s="316">
        <f t="shared" si="11"/>
        <v>625933</v>
      </c>
      <c r="E43" s="316">
        <f t="shared" si="11"/>
        <v>602500</v>
      </c>
      <c r="F43" s="316">
        <f t="shared" si="11"/>
        <v>0</v>
      </c>
      <c r="G43" s="316">
        <f t="shared" si="11"/>
        <v>602500</v>
      </c>
      <c r="H43" s="316">
        <f t="shared" si="11"/>
        <v>0</v>
      </c>
      <c r="I43" s="316">
        <f t="shared" si="11"/>
        <v>0</v>
      </c>
      <c r="J43" s="316">
        <f t="shared" si="11"/>
        <v>23433</v>
      </c>
      <c r="K43" s="316">
        <f t="shared" si="11"/>
        <v>0</v>
      </c>
      <c r="L43" s="316">
        <f t="shared" si="11"/>
        <v>886339</v>
      </c>
      <c r="M43" s="316">
        <f t="shared" si="11"/>
        <v>886339</v>
      </c>
      <c r="N43" s="316">
        <f t="shared" si="11"/>
        <v>679944</v>
      </c>
      <c r="O43" s="316">
        <f>O44+O45</f>
        <v>0</v>
      </c>
      <c r="P43" s="330"/>
      <c r="Q43" s="330"/>
      <c r="R43" s="331"/>
      <c r="S43" s="331"/>
      <c r="T43" s="331"/>
    </row>
    <row r="44" spans="1:20" s="303" customFormat="1">
      <c r="A44" s="320" t="s">
        <v>429</v>
      </c>
      <c r="B44" s="321" t="s">
        <v>82</v>
      </c>
      <c r="C44" s="301">
        <f>D44+L44</f>
        <v>1362272</v>
      </c>
      <c r="D44" s="311">
        <f>E44+H44+I44+J44+K44</f>
        <v>625933</v>
      </c>
      <c r="E44" s="311">
        <f>F44+G44</f>
        <v>602500</v>
      </c>
      <c r="F44" s="311">
        <v>0</v>
      </c>
      <c r="G44" s="311">
        <f>658895-56395</f>
        <v>602500</v>
      </c>
      <c r="H44" s="311">
        <v>0</v>
      </c>
      <c r="I44" s="311">
        <v>0</v>
      </c>
      <c r="J44" s="311">
        <f>668207-645946+35170-33998</f>
        <v>23433</v>
      </c>
      <c r="K44" s="311">
        <v>0</v>
      </c>
      <c r="L44" s="311">
        <f>M44+O44</f>
        <v>736339</v>
      </c>
      <c r="M44" s="311">
        <v>736339</v>
      </c>
      <c r="N44" s="311">
        <f>645946+33998</f>
        <v>679944</v>
      </c>
      <c r="O44" s="311">
        <v>0</v>
      </c>
      <c r="P44" s="322"/>
      <c r="Q44" s="322"/>
      <c r="R44" s="312"/>
      <c r="S44" s="312"/>
      <c r="T44" s="312"/>
    </row>
    <row r="45" spans="1:20" s="303" customFormat="1" ht="15" customHeight="1">
      <c r="A45" s="329">
        <v>70007</v>
      </c>
      <c r="B45" s="321" t="s">
        <v>387</v>
      </c>
      <c r="C45" s="301">
        <f>D45+L45</f>
        <v>150000</v>
      </c>
      <c r="D45" s="311">
        <f>E45+H45+I45+J45+K45</f>
        <v>0</v>
      </c>
      <c r="E45" s="311">
        <f>F45+G45</f>
        <v>0</v>
      </c>
      <c r="F45" s="311">
        <v>0</v>
      </c>
      <c r="G45" s="311">
        <v>0</v>
      </c>
      <c r="H45" s="311">
        <v>0</v>
      </c>
      <c r="I45" s="311">
        <v>0</v>
      </c>
      <c r="J45" s="311">
        <v>0</v>
      </c>
      <c r="K45" s="311">
        <v>0</v>
      </c>
      <c r="L45" s="311">
        <f>M45+O45</f>
        <v>150000</v>
      </c>
      <c r="M45" s="311">
        <v>150000</v>
      </c>
      <c r="N45" s="311">
        <v>0</v>
      </c>
      <c r="O45" s="311">
        <v>0</v>
      </c>
      <c r="P45" s="322"/>
      <c r="Q45" s="322"/>
      <c r="R45" s="312"/>
      <c r="S45" s="312"/>
      <c r="T45" s="312"/>
    </row>
    <row r="46" spans="1:20" s="332" customFormat="1" ht="15">
      <c r="A46" s="313" t="s">
        <v>27</v>
      </c>
      <c r="B46" s="314" t="s">
        <v>28</v>
      </c>
      <c r="C46" s="339">
        <f t="shared" ref="C46:N46" si="12">C47+C48+C49+C50+C51</f>
        <v>5581255</v>
      </c>
      <c r="D46" s="316">
        <f t="shared" si="12"/>
        <v>5451355</v>
      </c>
      <c r="E46" s="316">
        <f t="shared" si="12"/>
        <v>5446855</v>
      </c>
      <c r="F46" s="316">
        <f t="shared" si="12"/>
        <v>4644086</v>
      </c>
      <c r="G46" s="316">
        <f t="shared" si="12"/>
        <v>802769</v>
      </c>
      <c r="H46" s="316">
        <f t="shared" si="12"/>
        <v>0</v>
      </c>
      <c r="I46" s="316">
        <f t="shared" si="12"/>
        <v>4500</v>
      </c>
      <c r="J46" s="316">
        <f t="shared" si="12"/>
        <v>0</v>
      </c>
      <c r="K46" s="316">
        <f t="shared" si="12"/>
        <v>0</v>
      </c>
      <c r="L46" s="316">
        <f t="shared" si="12"/>
        <v>129900</v>
      </c>
      <c r="M46" s="316">
        <f t="shared" si="12"/>
        <v>29000</v>
      </c>
      <c r="N46" s="316">
        <f t="shared" si="12"/>
        <v>0</v>
      </c>
      <c r="O46" s="316">
        <f>O47+O48+O49+O50+O51</f>
        <v>100900</v>
      </c>
      <c r="P46" s="330"/>
      <c r="Q46" s="330"/>
      <c r="R46" s="331"/>
      <c r="S46" s="331"/>
      <c r="T46" s="331"/>
    </row>
    <row r="47" spans="1:20" s="344" customFormat="1">
      <c r="A47" s="320" t="s">
        <v>430</v>
      </c>
      <c r="B47" s="321" t="s">
        <v>83</v>
      </c>
      <c r="C47" s="340">
        <f>D47+L47</f>
        <v>5018355</v>
      </c>
      <c r="D47" s="341">
        <f>E47+H47+I47+J47+K47</f>
        <v>4989355</v>
      </c>
      <c r="E47" s="341">
        <f>F47+G47</f>
        <v>4984855</v>
      </c>
      <c r="F47" s="341">
        <v>4374586</v>
      </c>
      <c r="G47" s="341">
        <f>5018355-4500-3396416-276862-612575-72233-6000-10500-29000</f>
        <v>610269</v>
      </c>
      <c r="H47" s="341">
        <v>0</v>
      </c>
      <c r="I47" s="341">
        <v>4500</v>
      </c>
      <c r="J47" s="341">
        <v>0</v>
      </c>
      <c r="K47" s="341">
        <v>0</v>
      </c>
      <c r="L47" s="341">
        <f>M47+O47</f>
        <v>29000</v>
      </c>
      <c r="M47" s="341">
        <v>29000</v>
      </c>
      <c r="N47" s="341">
        <v>0</v>
      </c>
      <c r="O47" s="341">
        <v>0</v>
      </c>
      <c r="P47" s="342"/>
      <c r="Q47" s="342"/>
      <c r="R47" s="343"/>
      <c r="S47" s="343"/>
      <c r="T47" s="343"/>
    </row>
    <row r="48" spans="1:20" s="303" customFormat="1">
      <c r="A48" s="320" t="s">
        <v>431</v>
      </c>
      <c r="B48" s="321" t="s">
        <v>84</v>
      </c>
      <c r="C48" s="301">
        <f>D48+L48</f>
        <v>20000</v>
      </c>
      <c r="D48" s="311">
        <f>E48+H48+I48+J48+K48</f>
        <v>20000</v>
      </c>
      <c r="E48" s="311">
        <f>F48+G48</f>
        <v>20000</v>
      </c>
      <c r="F48" s="311">
        <v>500</v>
      </c>
      <c r="G48" s="311">
        <f>3000+16500</f>
        <v>19500</v>
      </c>
      <c r="H48" s="311">
        <v>0</v>
      </c>
      <c r="I48" s="311">
        <v>0</v>
      </c>
      <c r="J48" s="311">
        <v>0</v>
      </c>
      <c r="K48" s="311">
        <v>0</v>
      </c>
      <c r="L48" s="311">
        <f>M48+O48</f>
        <v>0</v>
      </c>
      <c r="M48" s="341">
        <v>0</v>
      </c>
      <c r="N48" s="341">
        <v>0</v>
      </c>
      <c r="O48" s="341">
        <v>0</v>
      </c>
      <c r="P48" s="322"/>
      <c r="Q48" s="322"/>
      <c r="R48" s="312"/>
      <c r="S48" s="312"/>
      <c r="T48" s="312"/>
    </row>
    <row r="49" spans="1:20" s="303" customFormat="1">
      <c r="A49" s="320" t="s">
        <v>432</v>
      </c>
      <c r="B49" s="321" t="s">
        <v>50</v>
      </c>
      <c r="C49" s="301">
        <f>D49+L49</f>
        <v>269000</v>
      </c>
      <c r="D49" s="311">
        <f>E49+H49+I49+J49+K49</f>
        <v>269000</v>
      </c>
      <c r="E49" s="311">
        <f>F49+G49</f>
        <v>269000</v>
      </c>
      <c r="F49" s="311">
        <v>269000</v>
      </c>
      <c r="G49" s="311">
        <v>0</v>
      </c>
      <c r="H49" s="311">
        <v>0</v>
      </c>
      <c r="I49" s="311">
        <v>0</v>
      </c>
      <c r="J49" s="311">
        <v>0</v>
      </c>
      <c r="K49" s="311">
        <v>0</v>
      </c>
      <c r="L49" s="311">
        <f>M49+O49</f>
        <v>0</v>
      </c>
      <c r="M49" s="341">
        <v>0</v>
      </c>
      <c r="N49" s="341">
        <v>0</v>
      </c>
      <c r="O49" s="341">
        <v>0</v>
      </c>
      <c r="P49" s="322"/>
      <c r="Q49" s="322"/>
      <c r="R49" s="312"/>
      <c r="S49" s="312"/>
      <c r="T49" s="312"/>
    </row>
    <row r="50" spans="1:20" s="303" customFormat="1">
      <c r="A50" s="320" t="s">
        <v>433</v>
      </c>
      <c r="B50" s="321" t="s">
        <v>51</v>
      </c>
      <c r="C50" s="301">
        <f>D50+L50</f>
        <v>170000</v>
      </c>
      <c r="D50" s="311">
        <f>E50+H50+I50+J50+K50</f>
        <v>170000</v>
      </c>
      <c r="E50" s="311">
        <f>F50+G50</f>
        <v>170000</v>
      </c>
      <c r="F50" s="311">
        <v>0</v>
      </c>
      <c r="G50" s="311">
        <f>170000</f>
        <v>170000</v>
      </c>
      <c r="H50" s="311">
        <v>0</v>
      </c>
      <c r="I50" s="311">
        <v>0</v>
      </c>
      <c r="J50" s="311">
        <v>0</v>
      </c>
      <c r="K50" s="311">
        <v>0</v>
      </c>
      <c r="L50" s="311">
        <f>M50+O50</f>
        <v>0</v>
      </c>
      <c r="M50" s="341">
        <v>0</v>
      </c>
      <c r="N50" s="341">
        <v>0</v>
      </c>
      <c r="O50" s="341">
        <v>0</v>
      </c>
      <c r="P50" s="322"/>
      <c r="Q50" s="322"/>
      <c r="R50" s="312"/>
      <c r="S50" s="312"/>
      <c r="T50" s="312"/>
    </row>
    <row r="51" spans="1:20" s="303" customFormat="1">
      <c r="A51" s="329">
        <v>71095</v>
      </c>
      <c r="B51" s="321" t="s">
        <v>46</v>
      </c>
      <c r="C51" s="301">
        <f>D51+L51</f>
        <v>103900</v>
      </c>
      <c r="D51" s="311">
        <f>E51+H51+I51+J51+K51</f>
        <v>3000</v>
      </c>
      <c r="E51" s="311">
        <f>F51+G51</f>
        <v>3000</v>
      </c>
      <c r="F51" s="311">
        <v>0</v>
      </c>
      <c r="G51" s="311">
        <v>3000</v>
      </c>
      <c r="H51" s="311">
        <v>0</v>
      </c>
      <c r="I51" s="311">
        <v>0</v>
      </c>
      <c r="J51" s="311">
        <v>0</v>
      </c>
      <c r="K51" s="311">
        <v>0</v>
      </c>
      <c r="L51" s="311">
        <f>M51+O51</f>
        <v>100900</v>
      </c>
      <c r="M51" s="311">
        <v>0</v>
      </c>
      <c r="N51" s="311">
        <v>0</v>
      </c>
      <c r="O51" s="341">
        <v>100900</v>
      </c>
      <c r="P51" s="322"/>
      <c r="Q51" s="322"/>
      <c r="R51" s="312"/>
      <c r="S51" s="312"/>
      <c r="T51" s="312"/>
    </row>
    <row r="52" spans="1:20" s="332" customFormat="1" ht="15">
      <c r="A52" s="313" t="s">
        <v>85</v>
      </c>
      <c r="B52" s="314" t="s">
        <v>86</v>
      </c>
      <c r="C52" s="345">
        <f t="shared" ref="C52:O52" si="13">C53</f>
        <v>73782108</v>
      </c>
      <c r="D52" s="346">
        <f t="shared" si="13"/>
        <v>6758152</v>
      </c>
      <c r="E52" s="346">
        <f t="shared" si="13"/>
        <v>1677760</v>
      </c>
      <c r="F52" s="346">
        <f t="shared" si="13"/>
        <v>0</v>
      </c>
      <c r="G52" s="346">
        <f t="shared" si="13"/>
        <v>1677760</v>
      </c>
      <c r="H52" s="346">
        <f t="shared" si="13"/>
        <v>0</v>
      </c>
      <c r="I52" s="346">
        <f t="shared" si="13"/>
        <v>0</v>
      </c>
      <c r="J52" s="346">
        <f t="shared" si="13"/>
        <v>5080392</v>
      </c>
      <c r="K52" s="346">
        <f t="shared" si="13"/>
        <v>0</v>
      </c>
      <c r="L52" s="346">
        <f t="shared" si="13"/>
        <v>67023956</v>
      </c>
      <c r="M52" s="346">
        <f t="shared" si="13"/>
        <v>65079745</v>
      </c>
      <c r="N52" s="346">
        <f>N53</f>
        <v>64820303</v>
      </c>
      <c r="O52" s="346">
        <f t="shared" si="13"/>
        <v>1944211</v>
      </c>
      <c r="P52" s="330"/>
      <c r="Q52" s="330"/>
      <c r="R52" s="331"/>
      <c r="S52" s="331"/>
      <c r="T52" s="331"/>
    </row>
    <row r="53" spans="1:20" s="344" customFormat="1">
      <c r="A53" s="320" t="s">
        <v>434</v>
      </c>
      <c r="B53" s="321" t="s">
        <v>46</v>
      </c>
      <c r="C53" s="301">
        <f>D53+L53</f>
        <v>73782108</v>
      </c>
      <c r="D53" s="311">
        <f>E53+H53+I53+J53+K53</f>
        <v>6758152</v>
      </c>
      <c r="E53" s="311">
        <f>F53+G53</f>
        <v>1677760</v>
      </c>
      <c r="F53" s="311">
        <v>0</v>
      </c>
      <c r="G53" s="311">
        <f>3881413-1944211-259442</f>
        <v>1677760</v>
      </c>
      <c r="H53" s="311">
        <v>0</v>
      </c>
      <c r="I53" s="311">
        <v>0</v>
      </c>
      <c r="J53" s="311">
        <f>65500010-17273480-3111000-28939446-11857115+4400685-3090262-549000</f>
        <v>5080392</v>
      </c>
      <c r="K53" s="311">
        <v>0</v>
      </c>
      <c r="L53" s="311">
        <f>M53+O53</f>
        <v>67023956</v>
      </c>
      <c r="M53" s="311">
        <f>67023956-1944211</f>
        <v>65079745</v>
      </c>
      <c r="N53" s="311">
        <f>17273480+3090262+3111000+549000+28939446+11857115</f>
        <v>64820303</v>
      </c>
      <c r="O53" s="311">
        <v>1944211</v>
      </c>
      <c r="P53" s="342"/>
      <c r="Q53" s="342"/>
      <c r="R53" s="343"/>
      <c r="S53" s="343"/>
      <c r="T53" s="343"/>
    </row>
    <row r="54" spans="1:20" s="332" customFormat="1" ht="15">
      <c r="A54" s="313" t="s">
        <v>87</v>
      </c>
      <c r="B54" s="314" t="s">
        <v>88</v>
      </c>
      <c r="C54" s="345">
        <f t="shared" ref="C54:O54" si="14">C56+C55</f>
        <v>4954277</v>
      </c>
      <c r="D54" s="346">
        <f t="shared" si="14"/>
        <v>300000</v>
      </c>
      <c r="E54" s="346">
        <f t="shared" si="14"/>
        <v>0</v>
      </c>
      <c r="F54" s="346">
        <f t="shared" si="14"/>
        <v>0</v>
      </c>
      <c r="G54" s="346">
        <f t="shared" si="14"/>
        <v>0</v>
      </c>
      <c r="H54" s="346">
        <f t="shared" si="14"/>
        <v>300000</v>
      </c>
      <c r="I54" s="346">
        <f t="shared" si="14"/>
        <v>0</v>
      </c>
      <c r="J54" s="346">
        <f t="shared" si="14"/>
        <v>0</v>
      </c>
      <c r="K54" s="346">
        <f t="shared" si="14"/>
        <v>0</v>
      </c>
      <c r="L54" s="346">
        <f t="shared" si="14"/>
        <v>4654277</v>
      </c>
      <c r="M54" s="346">
        <f t="shared" si="14"/>
        <v>4654277</v>
      </c>
      <c r="N54" s="346">
        <f t="shared" si="14"/>
        <v>0</v>
      </c>
      <c r="O54" s="346">
        <f t="shared" si="14"/>
        <v>0</v>
      </c>
      <c r="P54" s="330"/>
      <c r="Q54" s="330"/>
      <c r="R54" s="331"/>
      <c r="S54" s="331"/>
      <c r="T54" s="331"/>
    </row>
    <row r="55" spans="1:20" s="344" customFormat="1">
      <c r="A55" s="320" t="s">
        <v>435</v>
      </c>
      <c r="B55" s="321" t="s">
        <v>89</v>
      </c>
      <c r="C55" s="301">
        <f>D55+L55</f>
        <v>300000</v>
      </c>
      <c r="D55" s="311">
        <f>E55+H55+I55+J55+K55</f>
        <v>300000</v>
      </c>
      <c r="E55" s="311">
        <f>F55+G55</f>
        <v>0</v>
      </c>
      <c r="F55" s="311">
        <v>0</v>
      </c>
      <c r="G55" s="311">
        <v>0</v>
      </c>
      <c r="H55" s="311">
        <v>300000</v>
      </c>
      <c r="I55" s="311">
        <v>0</v>
      </c>
      <c r="J55" s="311">
        <v>0</v>
      </c>
      <c r="K55" s="311">
        <v>0</v>
      </c>
      <c r="L55" s="311">
        <f>M55+O55</f>
        <v>0</v>
      </c>
      <c r="M55" s="311">
        <v>0</v>
      </c>
      <c r="N55" s="311">
        <v>0</v>
      </c>
      <c r="O55" s="311">
        <v>0</v>
      </c>
      <c r="P55" s="342"/>
      <c r="Q55" s="342"/>
      <c r="R55" s="343"/>
      <c r="S55" s="343"/>
      <c r="T55" s="343"/>
    </row>
    <row r="56" spans="1:20" s="344" customFormat="1">
      <c r="A56" s="320" t="s">
        <v>436</v>
      </c>
      <c r="B56" s="321" t="s">
        <v>46</v>
      </c>
      <c r="C56" s="301">
        <f>D56+L56</f>
        <v>4654277</v>
      </c>
      <c r="D56" s="311">
        <f>E56+H56+I56+J56+K56</f>
        <v>0</v>
      </c>
      <c r="E56" s="311">
        <f>F56+G56</f>
        <v>0</v>
      </c>
      <c r="F56" s="311">
        <v>0</v>
      </c>
      <c r="G56" s="311">
        <v>0</v>
      </c>
      <c r="H56" s="311">
        <v>0</v>
      </c>
      <c r="I56" s="311">
        <v>0</v>
      </c>
      <c r="J56" s="311">
        <v>0</v>
      </c>
      <c r="K56" s="311">
        <v>0</v>
      </c>
      <c r="L56" s="311">
        <f>M56+O56</f>
        <v>4654277</v>
      </c>
      <c r="M56" s="311">
        <v>4654277</v>
      </c>
      <c r="N56" s="311">
        <v>0</v>
      </c>
      <c r="O56" s="311">
        <v>0</v>
      </c>
      <c r="P56" s="342"/>
      <c r="Q56" s="342"/>
      <c r="R56" s="343"/>
      <c r="S56" s="343"/>
      <c r="T56" s="343"/>
    </row>
    <row r="57" spans="1:20" s="332" customFormat="1" ht="15">
      <c r="A57" s="313" t="s">
        <v>29</v>
      </c>
      <c r="B57" s="314" t="s">
        <v>30</v>
      </c>
      <c r="C57" s="315">
        <f t="shared" ref="C57:O57" si="15">C58+C59+C60+C61+C63+C62</f>
        <v>174477018</v>
      </c>
      <c r="D57" s="316">
        <f t="shared" si="15"/>
        <v>161808710</v>
      </c>
      <c r="E57" s="316">
        <f t="shared" si="15"/>
        <v>80508313</v>
      </c>
      <c r="F57" s="316">
        <f t="shared" si="15"/>
        <v>53003861</v>
      </c>
      <c r="G57" s="316">
        <f t="shared" si="15"/>
        <v>27504452</v>
      </c>
      <c r="H57" s="316">
        <f t="shared" si="15"/>
        <v>135000</v>
      </c>
      <c r="I57" s="316">
        <f t="shared" si="15"/>
        <v>1875000</v>
      </c>
      <c r="J57" s="316">
        <f t="shared" si="15"/>
        <v>79290397</v>
      </c>
      <c r="K57" s="316">
        <f t="shared" si="15"/>
        <v>0</v>
      </c>
      <c r="L57" s="316">
        <f t="shared" si="15"/>
        <v>12668308</v>
      </c>
      <c r="M57" s="316">
        <f t="shared" si="15"/>
        <v>12668308</v>
      </c>
      <c r="N57" s="316">
        <f t="shared" si="15"/>
        <v>6008308</v>
      </c>
      <c r="O57" s="316">
        <f t="shared" si="15"/>
        <v>0</v>
      </c>
      <c r="P57" s="330"/>
      <c r="Q57" s="330"/>
      <c r="R57" s="331"/>
      <c r="S57" s="331"/>
      <c r="T57" s="331"/>
    </row>
    <row r="58" spans="1:20" s="344" customFormat="1">
      <c r="A58" s="320" t="s">
        <v>437</v>
      </c>
      <c r="B58" s="321" t="s">
        <v>90</v>
      </c>
      <c r="C58" s="301">
        <f t="shared" ref="C58:C63" si="16">D58+L58</f>
        <v>1954000</v>
      </c>
      <c r="D58" s="311">
        <f t="shared" ref="D58:D63" si="17">E58+H58+I58+J58+K58</f>
        <v>1954000</v>
      </c>
      <c r="E58" s="311">
        <f t="shared" ref="E58:E63" si="18">F58+G58</f>
        <v>439000</v>
      </c>
      <c r="F58" s="311">
        <v>40000</v>
      </c>
      <c r="G58" s="311">
        <f>15000+63000+33000+4000+257000+10000+2000+3000+10000+2000</f>
        <v>399000</v>
      </c>
      <c r="H58" s="311">
        <v>0</v>
      </c>
      <c r="I58" s="311">
        <v>1515000</v>
      </c>
      <c r="J58" s="311">
        <v>0</v>
      </c>
      <c r="K58" s="311">
        <v>0</v>
      </c>
      <c r="L58" s="311">
        <f t="shared" ref="L58:L63" si="19">M58+O58</f>
        <v>0</v>
      </c>
      <c r="M58" s="311">
        <v>0</v>
      </c>
      <c r="N58" s="311">
        <v>0</v>
      </c>
      <c r="O58" s="311">
        <v>0</v>
      </c>
      <c r="P58" s="342"/>
      <c r="Q58" s="342"/>
      <c r="R58" s="343"/>
      <c r="S58" s="343"/>
      <c r="T58" s="343"/>
    </row>
    <row r="59" spans="1:20" s="344" customFormat="1">
      <c r="A59" s="320" t="s">
        <v>438</v>
      </c>
      <c r="B59" s="321" t="s">
        <v>91</v>
      </c>
      <c r="C59" s="301">
        <f t="shared" si="16"/>
        <v>133142141</v>
      </c>
      <c r="D59" s="311">
        <f t="shared" si="17"/>
        <v>120473833</v>
      </c>
      <c r="E59" s="311">
        <f t="shared" si="18"/>
        <v>68422529</v>
      </c>
      <c r="F59" s="311">
        <v>52707961</v>
      </c>
      <c r="G59" s="311">
        <f>75233529-151000-40624965-3332182-7308129-862913-320000-259772-5500000-1160000</f>
        <v>15714568</v>
      </c>
      <c r="H59" s="311">
        <v>0</v>
      </c>
      <c r="I59" s="311">
        <v>151000</v>
      </c>
      <c r="J59" s="311">
        <f>49222322-5022063-85000+8686290-886245-15000</f>
        <v>51900304</v>
      </c>
      <c r="K59" s="311">
        <v>0</v>
      </c>
      <c r="L59" s="311">
        <f t="shared" si="19"/>
        <v>12668308</v>
      </c>
      <c r="M59" s="311">
        <v>12668308</v>
      </c>
      <c r="N59" s="311">
        <f>5022063+886245+85000+15000</f>
        <v>6008308</v>
      </c>
      <c r="O59" s="311">
        <v>0</v>
      </c>
      <c r="P59" s="342"/>
      <c r="Q59" s="342"/>
      <c r="R59" s="343"/>
      <c r="S59" s="343"/>
      <c r="T59" s="343"/>
    </row>
    <row r="60" spans="1:20" s="303" customFormat="1" ht="27.75" customHeight="1">
      <c r="A60" s="320" t="s">
        <v>439</v>
      </c>
      <c r="B60" s="321" t="s">
        <v>92</v>
      </c>
      <c r="C60" s="301">
        <f t="shared" si="16"/>
        <v>450000</v>
      </c>
      <c r="D60" s="311">
        <f t="shared" si="17"/>
        <v>450000</v>
      </c>
      <c r="E60" s="311">
        <f t="shared" si="18"/>
        <v>450000</v>
      </c>
      <c r="F60" s="311">
        <v>3000</v>
      </c>
      <c r="G60" s="311">
        <f>450000-3000</f>
        <v>447000</v>
      </c>
      <c r="H60" s="311">
        <v>0</v>
      </c>
      <c r="I60" s="311">
        <v>0</v>
      </c>
      <c r="J60" s="311">
        <v>0</v>
      </c>
      <c r="K60" s="311">
        <v>0</v>
      </c>
      <c r="L60" s="311">
        <f t="shared" si="19"/>
        <v>0</v>
      </c>
      <c r="M60" s="311">
        <v>0</v>
      </c>
      <c r="N60" s="311">
        <v>0</v>
      </c>
      <c r="O60" s="311">
        <v>0</v>
      </c>
      <c r="P60" s="322"/>
      <c r="Q60" s="322"/>
      <c r="R60" s="312"/>
      <c r="S60" s="312"/>
      <c r="T60" s="312"/>
    </row>
    <row r="61" spans="1:20" s="344" customFormat="1">
      <c r="A61" s="320" t="s">
        <v>440</v>
      </c>
      <c r="B61" s="321" t="s">
        <v>93</v>
      </c>
      <c r="C61" s="301">
        <f t="shared" si="16"/>
        <v>34508830</v>
      </c>
      <c r="D61" s="311">
        <f t="shared" si="17"/>
        <v>34508830</v>
      </c>
      <c r="E61" s="311">
        <f t="shared" si="18"/>
        <v>9000000</v>
      </c>
      <c r="F61" s="311">
        <v>100000</v>
      </c>
      <c r="G61" s="311">
        <f>9000000-100000</f>
        <v>8900000</v>
      </c>
      <c r="H61" s="311">
        <v>0</v>
      </c>
      <c r="I61" s="311">
        <v>0</v>
      </c>
      <c r="J61" s="311">
        <f>22275381+3233449</f>
        <v>25508830</v>
      </c>
      <c r="K61" s="311">
        <v>0</v>
      </c>
      <c r="L61" s="311">
        <f t="shared" si="19"/>
        <v>0</v>
      </c>
      <c r="M61" s="311">
        <v>0</v>
      </c>
      <c r="N61" s="311">
        <v>0</v>
      </c>
      <c r="O61" s="311">
        <v>0</v>
      </c>
      <c r="P61" s="342"/>
      <c r="Q61" s="342"/>
      <c r="R61" s="343"/>
      <c r="S61" s="343"/>
      <c r="T61" s="343"/>
    </row>
    <row r="62" spans="1:20" s="303" customFormat="1" ht="28.5" customHeight="1">
      <c r="A62" s="320" t="s">
        <v>441</v>
      </c>
      <c r="B62" s="321" t="s">
        <v>442</v>
      </c>
      <c r="C62" s="301">
        <f t="shared" si="16"/>
        <v>202000</v>
      </c>
      <c r="D62" s="311">
        <f t="shared" si="17"/>
        <v>202000</v>
      </c>
      <c r="E62" s="311">
        <f t="shared" si="18"/>
        <v>200000</v>
      </c>
      <c r="F62" s="311">
        <v>110600</v>
      </c>
      <c r="G62" s="311">
        <f>16500+8000+64000+500+400</f>
        <v>89400</v>
      </c>
      <c r="H62" s="311">
        <v>0</v>
      </c>
      <c r="I62" s="311">
        <v>2000</v>
      </c>
      <c r="J62" s="311">
        <v>0</v>
      </c>
      <c r="K62" s="311">
        <v>0</v>
      </c>
      <c r="L62" s="311">
        <f t="shared" si="19"/>
        <v>0</v>
      </c>
      <c r="M62" s="311">
        <v>0</v>
      </c>
      <c r="N62" s="311">
        <v>0</v>
      </c>
      <c r="O62" s="311">
        <v>0</v>
      </c>
      <c r="P62" s="322"/>
      <c r="Q62" s="322"/>
      <c r="R62" s="312"/>
      <c r="S62" s="312"/>
      <c r="T62" s="312"/>
    </row>
    <row r="63" spans="1:20" s="344" customFormat="1">
      <c r="A63" s="320" t="s">
        <v>443</v>
      </c>
      <c r="B63" s="321" t="s">
        <v>46</v>
      </c>
      <c r="C63" s="301">
        <f t="shared" si="16"/>
        <v>4220047</v>
      </c>
      <c r="D63" s="311">
        <f t="shared" si="17"/>
        <v>4220047</v>
      </c>
      <c r="E63" s="311">
        <f t="shared" si="18"/>
        <v>1996784</v>
      </c>
      <c r="F63" s="311">
        <v>42300</v>
      </c>
      <c r="G63" s="311">
        <f>68000+204000+64200+1485764+10400+10000+103620+8500</f>
        <v>1954484</v>
      </c>
      <c r="H63" s="311">
        <v>135000</v>
      </c>
      <c r="I63" s="311">
        <v>207000</v>
      </c>
      <c r="J63" s="311">
        <f>71016+1491137+319110</f>
        <v>1881263</v>
      </c>
      <c r="K63" s="311">
        <v>0</v>
      </c>
      <c r="L63" s="311">
        <f t="shared" si="19"/>
        <v>0</v>
      </c>
      <c r="M63" s="311">
        <v>0</v>
      </c>
      <c r="N63" s="311">
        <v>0</v>
      </c>
      <c r="O63" s="311">
        <v>0</v>
      </c>
      <c r="P63" s="342"/>
      <c r="Q63" s="342"/>
      <c r="R63" s="343"/>
      <c r="S63" s="343"/>
      <c r="T63" s="343"/>
    </row>
    <row r="64" spans="1:20" s="332" customFormat="1" ht="15">
      <c r="A64" s="313" t="s">
        <v>31</v>
      </c>
      <c r="B64" s="314" t="s">
        <v>32</v>
      </c>
      <c r="C64" s="315">
        <f t="shared" ref="C64:O64" si="20">C65</f>
        <v>5000</v>
      </c>
      <c r="D64" s="316">
        <f t="shared" si="20"/>
        <v>5000</v>
      </c>
      <c r="E64" s="316">
        <f t="shared" si="20"/>
        <v>5000</v>
      </c>
      <c r="F64" s="316">
        <f t="shared" si="20"/>
        <v>0</v>
      </c>
      <c r="G64" s="316">
        <f t="shared" si="20"/>
        <v>5000</v>
      </c>
      <c r="H64" s="316">
        <f t="shared" si="20"/>
        <v>0</v>
      </c>
      <c r="I64" s="316">
        <f t="shared" si="20"/>
        <v>0</v>
      </c>
      <c r="J64" s="316">
        <f t="shared" si="20"/>
        <v>0</v>
      </c>
      <c r="K64" s="316">
        <f t="shared" si="20"/>
        <v>0</v>
      </c>
      <c r="L64" s="316">
        <f t="shared" si="20"/>
        <v>0</v>
      </c>
      <c r="M64" s="316">
        <f t="shared" si="20"/>
        <v>0</v>
      </c>
      <c r="N64" s="316">
        <f>N65</f>
        <v>0</v>
      </c>
      <c r="O64" s="316">
        <f t="shared" si="20"/>
        <v>0</v>
      </c>
      <c r="P64" s="330"/>
      <c r="Q64" s="330"/>
      <c r="R64" s="331"/>
      <c r="S64" s="331"/>
      <c r="T64" s="331"/>
    </row>
    <row r="65" spans="1:20" s="344" customFormat="1">
      <c r="A65" s="320" t="s">
        <v>444</v>
      </c>
      <c r="B65" s="321" t="s">
        <v>59</v>
      </c>
      <c r="C65" s="301">
        <f>D65+L65</f>
        <v>5000</v>
      </c>
      <c r="D65" s="311">
        <f>E65+H65+I65+J65+K65</f>
        <v>5000</v>
      </c>
      <c r="E65" s="311">
        <f>F65+G65</f>
        <v>5000</v>
      </c>
      <c r="F65" s="311">
        <v>0</v>
      </c>
      <c r="G65" s="311">
        <v>5000</v>
      </c>
      <c r="H65" s="311">
        <v>0</v>
      </c>
      <c r="I65" s="311">
        <v>0</v>
      </c>
      <c r="J65" s="311">
        <v>0</v>
      </c>
      <c r="K65" s="311">
        <v>0</v>
      </c>
      <c r="L65" s="311">
        <f>M65+O65</f>
        <v>0</v>
      </c>
      <c r="M65" s="311">
        <v>0</v>
      </c>
      <c r="N65" s="311">
        <v>0</v>
      </c>
      <c r="O65" s="311">
        <v>0</v>
      </c>
      <c r="P65" s="342"/>
      <c r="Q65" s="342"/>
      <c r="R65" s="343"/>
      <c r="S65" s="343"/>
      <c r="T65" s="343"/>
    </row>
    <row r="66" spans="1:20" s="332" customFormat="1" ht="30">
      <c r="A66" s="313" t="s">
        <v>94</v>
      </c>
      <c r="B66" s="314" t="s">
        <v>95</v>
      </c>
      <c r="C66" s="339">
        <f t="shared" ref="C66:N66" si="21">C68+C67</f>
        <v>235422</v>
      </c>
      <c r="D66" s="316">
        <f t="shared" si="21"/>
        <v>185000</v>
      </c>
      <c r="E66" s="316">
        <f t="shared" si="21"/>
        <v>185000</v>
      </c>
      <c r="F66" s="316">
        <f t="shared" si="21"/>
        <v>0</v>
      </c>
      <c r="G66" s="316">
        <f t="shared" si="21"/>
        <v>185000</v>
      </c>
      <c r="H66" s="316">
        <f t="shared" si="21"/>
        <v>0</v>
      </c>
      <c r="I66" s="316">
        <f t="shared" si="21"/>
        <v>0</v>
      </c>
      <c r="J66" s="316">
        <f t="shared" si="21"/>
        <v>0</v>
      </c>
      <c r="K66" s="316">
        <f t="shared" si="21"/>
        <v>0</v>
      </c>
      <c r="L66" s="316">
        <f t="shared" si="21"/>
        <v>50422</v>
      </c>
      <c r="M66" s="316">
        <f t="shared" si="21"/>
        <v>50422</v>
      </c>
      <c r="N66" s="316">
        <f t="shared" si="21"/>
        <v>50422</v>
      </c>
      <c r="O66" s="316">
        <f>O68+O67</f>
        <v>0</v>
      </c>
      <c r="P66" s="330"/>
      <c r="Q66" s="330"/>
      <c r="R66" s="331"/>
      <c r="S66" s="331"/>
      <c r="T66" s="331"/>
    </row>
    <row r="67" spans="1:20" s="344" customFormat="1">
      <c r="A67" s="329">
        <v>75412</v>
      </c>
      <c r="B67" s="321" t="s">
        <v>389</v>
      </c>
      <c r="C67" s="301">
        <f>D67+L67</f>
        <v>50422</v>
      </c>
      <c r="D67" s="311">
        <f>E67+H67+I67+J67+K67</f>
        <v>0</v>
      </c>
      <c r="E67" s="311">
        <f>F67+G67</f>
        <v>0</v>
      </c>
      <c r="F67" s="311">
        <v>0</v>
      </c>
      <c r="G67" s="311">
        <v>0</v>
      </c>
      <c r="H67" s="311">
        <v>0</v>
      </c>
      <c r="I67" s="311">
        <v>0</v>
      </c>
      <c r="J67" s="311">
        <v>0</v>
      </c>
      <c r="K67" s="311">
        <v>0</v>
      </c>
      <c r="L67" s="311">
        <f>M67+O67</f>
        <v>50422</v>
      </c>
      <c r="M67" s="311">
        <v>50422</v>
      </c>
      <c r="N67" s="311">
        <v>50422</v>
      </c>
      <c r="O67" s="311">
        <v>0</v>
      </c>
      <c r="P67" s="342"/>
      <c r="Q67" s="342"/>
      <c r="R67" s="343"/>
      <c r="S67" s="343"/>
      <c r="T67" s="343"/>
    </row>
    <row r="68" spans="1:20" s="344" customFormat="1">
      <c r="A68" s="320" t="s">
        <v>445</v>
      </c>
      <c r="B68" s="321" t="s">
        <v>46</v>
      </c>
      <c r="C68" s="301">
        <f>D68+L68</f>
        <v>185000</v>
      </c>
      <c r="D68" s="311">
        <f>E68+H68+I68+J68+K68</f>
        <v>185000</v>
      </c>
      <c r="E68" s="311">
        <f>F68+G68</f>
        <v>185000</v>
      </c>
      <c r="F68" s="311">
        <v>0</v>
      </c>
      <c r="G68" s="311">
        <v>185000</v>
      </c>
      <c r="H68" s="311">
        <v>0</v>
      </c>
      <c r="I68" s="311">
        <v>0</v>
      </c>
      <c r="J68" s="311">
        <v>0</v>
      </c>
      <c r="K68" s="311">
        <v>0</v>
      </c>
      <c r="L68" s="311">
        <f>M68+O68</f>
        <v>0</v>
      </c>
      <c r="M68" s="311">
        <v>0</v>
      </c>
      <c r="N68" s="311">
        <v>0</v>
      </c>
      <c r="O68" s="311">
        <v>0</v>
      </c>
      <c r="P68" s="342"/>
      <c r="Q68" s="342"/>
      <c r="R68" s="343"/>
      <c r="S68" s="343"/>
      <c r="T68" s="343"/>
    </row>
    <row r="69" spans="1:20" s="332" customFormat="1" ht="15">
      <c r="A69" s="313" t="s">
        <v>96</v>
      </c>
      <c r="B69" s="314" t="s">
        <v>97</v>
      </c>
      <c r="C69" s="315">
        <f t="shared" ref="C69:O69" si="22">C70+C71</f>
        <v>53488601</v>
      </c>
      <c r="D69" s="316">
        <f t="shared" si="22"/>
        <v>53488601</v>
      </c>
      <c r="E69" s="316">
        <f t="shared" si="22"/>
        <v>0</v>
      </c>
      <c r="F69" s="316">
        <f t="shared" si="22"/>
        <v>0</v>
      </c>
      <c r="G69" s="316">
        <f t="shared" si="22"/>
        <v>0</v>
      </c>
      <c r="H69" s="316">
        <f t="shared" si="22"/>
        <v>0</v>
      </c>
      <c r="I69" s="316">
        <f t="shared" si="22"/>
        <v>0</v>
      </c>
      <c r="J69" s="316">
        <f t="shared" si="22"/>
        <v>0</v>
      </c>
      <c r="K69" s="316">
        <f t="shared" si="22"/>
        <v>53488601</v>
      </c>
      <c r="L69" s="316">
        <f t="shared" si="22"/>
        <v>0</v>
      </c>
      <c r="M69" s="316">
        <f t="shared" si="22"/>
        <v>0</v>
      </c>
      <c r="N69" s="316">
        <f t="shared" si="22"/>
        <v>0</v>
      </c>
      <c r="O69" s="316">
        <f t="shared" si="22"/>
        <v>0</v>
      </c>
      <c r="P69" s="330"/>
      <c r="Q69" s="330"/>
      <c r="R69" s="331"/>
      <c r="S69" s="331"/>
      <c r="T69" s="331"/>
    </row>
    <row r="70" spans="1:20" s="303" customFormat="1" ht="54" customHeight="1">
      <c r="A70" s="320" t="s">
        <v>446</v>
      </c>
      <c r="B70" s="321" t="s">
        <v>447</v>
      </c>
      <c r="C70" s="301">
        <f>D70+L70</f>
        <v>10748228</v>
      </c>
      <c r="D70" s="311">
        <f>E70+H70+I70+J70+K70</f>
        <v>10748228</v>
      </c>
      <c r="E70" s="311">
        <f>F70+G70</f>
        <v>0</v>
      </c>
      <c r="F70" s="311">
        <v>0</v>
      </c>
      <c r="G70" s="311">
        <v>0</v>
      </c>
      <c r="H70" s="311">
        <v>0</v>
      </c>
      <c r="I70" s="311">
        <v>0</v>
      </c>
      <c r="J70" s="311">
        <v>0</v>
      </c>
      <c r="K70" s="311">
        <v>10748228</v>
      </c>
      <c r="L70" s="311">
        <f>M70+O70</f>
        <v>0</v>
      </c>
      <c r="M70" s="311">
        <v>0</v>
      </c>
      <c r="N70" s="311">
        <v>0</v>
      </c>
      <c r="O70" s="311">
        <v>0</v>
      </c>
      <c r="P70" s="322"/>
      <c r="Q70" s="322"/>
      <c r="R70" s="312"/>
      <c r="S70" s="312"/>
      <c r="T70" s="312"/>
    </row>
    <row r="71" spans="1:20" s="303" customFormat="1" ht="40.5" customHeight="1">
      <c r="A71" s="320" t="s">
        <v>448</v>
      </c>
      <c r="B71" s="321" t="s">
        <v>98</v>
      </c>
      <c r="C71" s="301">
        <f>D71+L71</f>
        <v>42740373</v>
      </c>
      <c r="D71" s="311">
        <f>E71+H71+I71+J71+K71</f>
        <v>42740373</v>
      </c>
      <c r="E71" s="311">
        <f>F71+G71</f>
        <v>0</v>
      </c>
      <c r="F71" s="311">
        <v>0</v>
      </c>
      <c r="G71" s="311">
        <v>0</v>
      </c>
      <c r="H71" s="311">
        <v>0</v>
      </c>
      <c r="I71" s="311">
        <v>0</v>
      </c>
      <c r="J71" s="311">
        <v>0</v>
      </c>
      <c r="K71" s="311">
        <v>42740373</v>
      </c>
      <c r="L71" s="311">
        <f>M71+O71</f>
        <v>0</v>
      </c>
      <c r="M71" s="311">
        <v>0</v>
      </c>
      <c r="N71" s="311">
        <v>0</v>
      </c>
      <c r="O71" s="311">
        <v>0</v>
      </c>
      <c r="P71" s="322"/>
      <c r="Q71" s="322"/>
      <c r="R71" s="312"/>
      <c r="S71" s="312"/>
      <c r="T71" s="312"/>
    </row>
    <row r="72" spans="1:20" s="332" customFormat="1" ht="15">
      <c r="A72" s="313" t="s">
        <v>99</v>
      </c>
      <c r="B72" s="314" t="s">
        <v>100</v>
      </c>
      <c r="C72" s="315">
        <f>C73</f>
        <v>40850000</v>
      </c>
      <c r="D72" s="316">
        <f t="shared" ref="D72:O72" si="23">D73</f>
        <v>31250000</v>
      </c>
      <c r="E72" s="316">
        <f t="shared" si="23"/>
        <v>31250000</v>
      </c>
      <c r="F72" s="316">
        <f t="shared" si="23"/>
        <v>0</v>
      </c>
      <c r="G72" s="316">
        <f t="shared" si="23"/>
        <v>31250000</v>
      </c>
      <c r="H72" s="316">
        <f t="shared" si="23"/>
        <v>0</v>
      </c>
      <c r="I72" s="316">
        <f t="shared" si="23"/>
        <v>0</v>
      </c>
      <c r="J72" s="316">
        <f t="shared" si="23"/>
        <v>0</v>
      </c>
      <c r="K72" s="316">
        <f t="shared" si="23"/>
        <v>0</v>
      </c>
      <c r="L72" s="316">
        <f t="shared" si="23"/>
        <v>9600000</v>
      </c>
      <c r="M72" s="316">
        <f t="shared" si="23"/>
        <v>9600000</v>
      </c>
      <c r="N72" s="316">
        <f t="shared" si="23"/>
        <v>0</v>
      </c>
      <c r="O72" s="316">
        <f t="shared" si="23"/>
        <v>0</v>
      </c>
      <c r="P72" s="330"/>
      <c r="Q72" s="330"/>
      <c r="R72" s="331"/>
      <c r="S72" s="331"/>
      <c r="T72" s="331"/>
    </row>
    <row r="73" spans="1:20" s="344" customFormat="1">
      <c r="A73" s="320" t="s">
        <v>449</v>
      </c>
      <c r="B73" s="321" t="s">
        <v>101</v>
      </c>
      <c r="C73" s="301">
        <f>D73+L73</f>
        <v>40850000</v>
      </c>
      <c r="D73" s="311">
        <f>E73+H73+I73+J73+K73</f>
        <v>31250000</v>
      </c>
      <c r="E73" s="311">
        <f>F73+G73</f>
        <v>31250000</v>
      </c>
      <c r="F73" s="311">
        <v>0</v>
      </c>
      <c r="G73" s="311">
        <v>31250000</v>
      </c>
      <c r="H73" s="311">
        <v>0</v>
      </c>
      <c r="I73" s="311">
        <v>0</v>
      </c>
      <c r="J73" s="311">
        <v>0</v>
      </c>
      <c r="K73" s="311">
        <v>0</v>
      </c>
      <c r="L73" s="311">
        <f>M73+O73</f>
        <v>9600000</v>
      </c>
      <c r="M73" s="311">
        <v>9600000</v>
      </c>
      <c r="N73" s="311">
        <v>0</v>
      </c>
      <c r="O73" s="311">
        <v>0</v>
      </c>
      <c r="P73" s="342"/>
      <c r="Q73" s="342"/>
      <c r="R73" s="343"/>
      <c r="S73" s="343"/>
      <c r="T73" s="343"/>
    </row>
    <row r="74" spans="1:20" s="332" customFormat="1" ht="15">
      <c r="A74" s="313" t="s">
        <v>33</v>
      </c>
      <c r="B74" s="314" t="s">
        <v>34</v>
      </c>
      <c r="C74" s="315">
        <f>C75+C77+C78+C80+C81+C82+C83+C84+C85+C86+C87+C76+C79</f>
        <v>92500862</v>
      </c>
      <c r="D74" s="316">
        <f>D75+D77+D78+D80+D81+D82+D83+D84+D85+D86+D87+D76+D79</f>
        <v>83389512</v>
      </c>
      <c r="E74" s="316">
        <f t="shared" ref="E74:O74" si="24">E75+E77+E78+E80+E81+E82+E83+E84+E85+E86+E87+E76+E79</f>
        <v>74886586</v>
      </c>
      <c r="F74" s="316">
        <f t="shared" si="24"/>
        <v>64026823</v>
      </c>
      <c r="G74" s="316">
        <f t="shared" si="24"/>
        <v>10859763</v>
      </c>
      <c r="H74" s="316">
        <f t="shared" si="24"/>
        <v>0</v>
      </c>
      <c r="I74" s="316">
        <f t="shared" si="24"/>
        <v>176792</v>
      </c>
      <c r="J74" s="316">
        <f t="shared" si="24"/>
        <v>8326134</v>
      </c>
      <c r="K74" s="316">
        <f t="shared" si="24"/>
        <v>0</v>
      </c>
      <c r="L74" s="316">
        <f t="shared" si="24"/>
        <v>9111350</v>
      </c>
      <c r="M74" s="316">
        <f t="shared" si="24"/>
        <v>9111350</v>
      </c>
      <c r="N74" s="316">
        <f t="shared" si="24"/>
        <v>7280952</v>
      </c>
      <c r="O74" s="316">
        <f t="shared" si="24"/>
        <v>0</v>
      </c>
      <c r="P74" s="330"/>
      <c r="Q74" s="330"/>
      <c r="R74" s="331"/>
      <c r="S74" s="331"/>
      <c r="T74" s="331"/>
    </row>
    <row r="75" spans="1:20" s="344" customFormat="1">
      <c r="A75" s="320" t="s">
        <v>450</v>
      </c>
      <c r="B75" s="321" t="s">
        <v>102</v>
      </c>
      <c r="C75" s="301">
        <f t="shared" ref="C75:C87" si="25">D75+L75</f>
        <v>21993761</v>
      </c>
      <c r="D75" s="311">
        <f t="shared" ref="D75:D87" si="26">E75+H75+I75+J75+K75</f>
        <v>21993761</v>
      </c>
      <c r="E75" s="311">
        <f t="shared" ref="E75:E87" si="27">F75+G75</f>
        <v>21969068</v>
      </c>
      <c r="F75" s="311">
        <f>4521262+14548408+1173534</f>
        <v>20243204</v>
      </c>
      <c r="G75" s="311">
        <f>273590+51501+465000+63720+10680+181297+17901+24453+10350+617652+720+9000+14548408+1173534-14548408-1173534</f>
        <v>1725864</v>
      </c>
      <c r="H75" s="311">
        <v>0</v>
      </c>
      <c r="I75" s="311">
        <v>24693</v>
      </c>
      <c r="J75" s="311">
        <v>0</v>
      </c>
      <c r="K75" s="311">
        <v>0</v>
      </c>
      <c r="L75" s="311">
        <f t="shared" ref="L75:L87" si="28">M75+O75</f>
        <v>0</v>
      </c>
      <c r="M75" s="311">
        <v>0</v>
      </c>
      <c r="N75" s="311">
        <v>0</v>
      </c>
      <c r="O75" s="311">
        <v>0</v>
      </c>
      <c r="P75" s="342"/>
      <c r="Q75" s="342"/>
      <c r="R75" s="343"/>
      <c r="S75" s="343"/>
      <c r="T75" s="343"/>
    </row>
    <row r="76" spans="1:20" s="344" customFormat="1">
      <c r="A76" s="329">
        <v>80104</v>
      </c>
      <c r="B76" s="321" t="s">
        <v>451</v>
      </c>
      <c r="C76" s="301">
        <f t="shared" si="25"/>
        <v>293268</v>
      </c>
      <c r="D76" s="311">
        <f>E76+H76+I76+J76+K76</f>
        <v>0</v>
      </c>
      <c r="E76" s="311">
        <f>F76+G76</f>
        <v>0</v>
      </c>
      <c r="F76" s="311">
        <v>0</v>
      </c>
      <c r="G76" s="311">
        <v>0</v>
      </c>
      <c r="H76" s="311">
        <v>0</v>
      </c>
      <c r="I76" s="311">
        <v>0</v>
      </c>
      <c r="J76" s="311">
        <v>0</v>
      </c>
      <c r="K76" s="311">
        <v>0</v>
      </c>
      <c r="L76" s="311">
        <f t="shared" si="28"/>
        <v>293268</v>
      </c>
      <c r="M76" s="311">
        <v>293268</v>
      </c>
      <c r="N76" s="311">
        <v>293268</v>
      </c>
      <c r="O76" s="311">
        <v>0</v>
      </c>
      <c r="P76" s="342"/>
      <c r="Q76" s="342"/>
      <c r="R76" s="343"/>
      <c r="S76" s="343"/>
      <c r="T76" s="343"/>
    </row>
    <row r="77" spans="1:20" s="344" customFormat="1">
      <c r="A77" s="320" t="s">
        <v>452</v>
      </c>
      <c r="B77" s="321" t="s">
        <v>103</v>
      </c>
      <c r="C77" s="301">
        <f t="shared" si="25"/>
        <v>1327580</v>
      </c>
      <c r="D77" s="311">
        <f t="shared" si="26"/>
        <v>1327580</v>
      </c>
      <c r="E77" s="311">
        <f t="shared" si="27"/>
        <v>330819</v>
      </c>
      <c r="F77" s="311">
        <v>315255</v>
      </c>
      <c r="G77" s="311">
        <f>1506+1240+858+440+449+352+100+10619</f>
        <v>15564</v>
      </c>
      <c r="H77" s="311">
        <v>0</v>
      </c>
      <c r="I77" s="311">
        <v>1600</v>
      </c>
      <c r="J77" s="311">
        <f>845887+149274</f>
        <v>995161</v>
      </c>
      <c r="K77" s="311">
        <v>0</v>
      </c>
      <c r="L77" s="311">
        <f t="shared" si="28"/>
        <v>0</v>
      </c>
      <c r="M77" s="311">
        <v>0</v>
      </c>
      <c r="N77" s="311">
        <v>0</v>
      </c>
      <c r="O77" s="311">
        <v>0</v>
      </c>
      <c r="P77" s="342"/>
      <c r="Q77" s="342"/>
      <c r="R77" s="343"/>
      <c r="S77" s="343"/>
      <c r="T77" s="343"/>
    </row>
    <row r="78" spans="1:20" s="344" customFormat="1">
      <c r="A78" s="320" t="s">
        <v>453</v>
      </c>
      <c r="B78" s="321" t="s">
        <v>104</v>
      </c>
      <c r="C78" s="301">
        <f t="shared" si="25"/>
        <v>16500</v>
      </c>
      <c r="D78" s="311">
        <f t="shared" si="26"/>
        <v>16500</v>
      </c>
      <c r="E78" s="311">
        <f t="shared" si="27"/>
        <v>16500</v>
      </c>
      <c r="F78" s="311">
        <v>0</v>
      </c>
      <c r="G78" s="311">
        <v>16500</v>
      </c>
      <c r="H78" s="311">
        <v>0</v>
      </c>
      <c r="I78" s="311">
        <v>0</v>
      </c>
      <c r="J78" s="311">
        <v>0</v>
      </c>
      <c r="K78" s="311">
        <v>0</v>
      </c>
      <c r="L78" s="311">
        <f t="shared" si="28"/>
        <v>0</v>
      </c>
      <c r="M78" s="311">
        <v>0</v>
      </c>
      <c r="N78" s="311">
        <v>0</v>
      </c>
      <c r="O78" s="311">
        <v>0</v>
      </c>
      <c r="P78" s="342"/>
      <c r="Q78" s="342"/>
      <c r="R78" s="343"/>
      <c r="S78" s="343"/>
      <c r="T78" s="343"/>
    </row>
    <row r="79" spans="1:20" s="344" customFormat="1">
      <c r="A79" s="329">
        <v>80115</v>
      </c>
      <c r="B79" s="321" t="s">
        <v>149</v>
      </c>
      <c r="C79" s="301">
        <f>D79+L79</f>
        <v>19129</v>
      </c>
      <c r="D79" s="311">
        <f>E79+H79+I79+J79+K79</f>
        <v>0</v>
      </c>
      <c r="E79" s="311">
        <f>F79+G79</f>
        <v>0</v>
      </c>
      <c r="F79" s="311">
        <v>0</v>
      </c>
      <c r="G79" s="311">
        <v>0</v>
      </c>
      <c r="H79" s="311">
        <v>0</v>
      </c>
      <c r="I79" s="311">
        <v>0</v>
      </c>
      <c r="J79" s="311">
        <v>0</v>
      </c>
      <c r="K79" s="311">
        <v>0</v>
      </c>
      <c r="L79" s="311">
        <f t="shared" si="28"/>
        <v>19129</v>
      </c>
      <c r="M79" s="311">
        <v>19129</v>
      </c>
      <c r="N79" s="311">
        <v>19129</v>
      </c>
      <c r="O79" s="311">
        <v>0</v>
      </c>
      <c r="P79" s="342"/>
      <c r="Q79" s="342"/>
      <c r="R79" s="343"/>
      <c r="S79" s="343"/>
      <c r="T79" s="343"/>
    </row>
    <row r="80" spans="1:20" s="344" customFormat="1">
      <c r="A80" s="320" t="s">
        <v>454</v>
      </c>
      <c r="B80" s="321" t="s">
        <v>105</v>
      </c>
      <c r="C80" s="301">
        <f t="shared" si="25"/>
        <v>8348454</v>
      </c>
      <c r="D80" s="311">
        <f t="shared" si="26"/>
        <v>8348454</v>
      </c>
      <c r="E80" s="311">
        <f t="shared" si="27"/>
        <v>8333454</v>
      </c>
      <c r="F80" s="311">
        <f>2279224+3072915+232041</f>
        <v>5584180</v>
      </c>
      <c r="G80" s="311">
        <f>8348454-15000-1294571-99196-781503-86813-6000-11141-3072915-232041</f>
        <v>2749274</v>
      </c>
      <c r="H80" s="311">
        <v>0</v>
      </c>
      <c r="I80" s="311">
        <v>15000</v>
      </c>
      <c r="J80" s="311">
        <v>0</v>
      </c>
      <c r="K80" s="311">
        <v>0</v>
      </c>
      <c r="L80" s="311">
        <f t="shared" si="28"/>
        <v>0</v>
      </c>
      <c r="M80" s="311">
        <v>0</v>
      </c>
      <c r="N80" s="311">
        <v>0</v>
      </c>
      <c r="O80" s="311">
        <v>0</v>
      </c>
      <c r="P80" s="342"/>
      <c r="Q80" s="342"/>
      <c r="R80" s="343"/>
      <c r="S80" s="343"/>
      <c r="T80" s="343"/>
    </row>
    <row r="81" spans="1:20" s="344" customFormat="1">
      <c r="A81" s="320" t="s">
        <v>455</v>
      </c>
      <c r="B81" s="328" t="s">
        <v>106</v>
      </c>
      <c r="C81" s="301">
        <f t="shared" si="25"/>
        <v>4217770</v>
      </c>
      <c r="D81" s="311">
        <f t="shared" si="26"/>
        <v>4217770</v>
      </c>
      <c r="E81" s="311">
        <f t="shared" si="27"/>
        <v>4210911</v>
      </c>
      <c r="F81" s="311">
        <v>3946564</v>
      </c>
      <c r="G81" s="311">
        <f>4217770-6859-557774-73683-13727-3091738-209642</f>
        <v>264347</v>
      </c>
      <c r="H81" s="311">
        <v>0</v>
      </c>
      <c r="I81" s="311">
        <v>6859</v>
      </c>
      <c r="J81" s="311">
        <v>0</v>
      </c>
      <c r="K81" s="311">
        <v>0</v>
      </c>
      <c r="L81" s="311">
        <f t="shared" si="28"/>
        <v>0</v>
      </c>
      <c r="M81" s="311">
        <v>0</v>
      </c>
      <c r="N81" s="311">
        <v>0</v>
      </c>
      <c r="O81" s="311">
        <v>0</v>
      </c>
      <c r="P81" s="342"/>
      <c r="Q81" s="342"/>
      <c r="R81" s="343"/>
      <c r="S81" s="343"/>
      <c r="T81" s="343"/>
    </row>
    <row r="82" spans="1:20" s="344" customFormat="1">
      <c r="A82" s="320" t="s">
        <v>456</v>
      </c>
      <c r="B82" s="321" t="s">
        <v>107</v>
      </c>
      <c r="C82" s="301">
        <f t="shared" si="25"/>
        <v>18295926</v>
      </c>
      <c r="D82" s="311">
        <f t="shared" si="26"/>
        <v>18295926</v>
      </c>
      <c r="E82" s="311">
        <f t="shared" si="27"/>
        <v>16749590</v>
      </c>
      <c r="F82" s="311">
        <v>15264416</v>
      </c>
      <c r="G82" s="311">
        <f>16761990-12400-287377-23255-2178438-290733-35174-11585142-864297</f>
        <v>1485174</v>
      </c>
      <c r="H82" s="311">
        <v>0</v>
      </c>
      <c r="I82" s="311">
        <v>12400</v>
      </c>
      <c r="J82" s="311">
        <f>1332096+201840</f>
        <v>1533936</v>
      </c>
      <c r="K82" s="311">
        <v>0</v>
      </c>
      <c r="L82" s="311">
        <f t="shared" si="28"/>
        <v>0</v>
      </c>
      <c r="M82" s="311">
        <v>0</v>
      </c>
      <c r="N82" s="311">
        <v>0</v>
      </c>
      <c r="O82" s="311">
        <v>0</v>
      </c>
      <c r="P82" s="342"/>
      <c r="Q82" s="342"/>
      <c r="R82" s="343"/>
      <c r="S82" s="343"/>
      <c r="T82" s="343"/>
    </row>
    <row r="83" spans="1:20" s="303" customFormat="1" ht="27.75" customHeight="1">
      <c r="A83" s="320" t="s">
        <v>457</v>
      </c>
      <c r="B83" s="321" t="s">
        <v>108</v>
      </c>
      <c r="C83" s="301">
        <f t="shared" si="25"/>
        <v>10198897</v>
      </c>
      <c r="D83" s="311">
        <f t="shared" si="26"/>
        <v>2660085</v>
      </c>
      <c r="E83" s="311">
        <f t="shared" si="27"/>
        <v>2594716</v>
      </c>
      <c r="F83" s="311">
        <v>2316009</v>
      </c>
      <c r="G83" s="311">
        <f>3654114-2000-410502-31303-332178-27288-8057-1057398-1383075-123606</f>
        <v>278707</v>
      </c>
      <c r="H83" s="311">
        <v>0</v>
      </c>
      <c r="I83" s="311">
        <v>2000</v>
      </c>
      <c r="J83" s="311">
        <f>5563066-5509202+981717-972212</f>
        <v>63369</v>
      </c>
      <c r="K83" s="311">
        <v>0</v>
      </c>
      <c r="L83" s="311">
        <f t="shared" si="28"/>
        <v>7538812</v>
      </c>
      <c r="M83" s="311">
        <v>7538812</v>
      </c>
      <c r="N83" s="311">
        <f>5509202+972212</f>
        <v>6481414</v>
      </c>
      <c r="O83" s="311">
        <v>0</v>
      </c>
      <c r="P83" s="322"/>
      <c r="Q83" s="322"/>
      <c r="R83" s="312"/>
      <c r="S83" s="312"/>
      <c r="T83" s="312"/>
    </row>
    <row r="84" spans="1:20" s="344" customFormat="1">
      <c r="A84" s="320" t="s">
        <v>458</v>
      </c>
      <c r="B84" s="321" t="s">
        <v>109</v>
      </c>
      <c r="C84" s="301">
        <f t="shared" si="25"/>
        <v>10389758</v>
      </c>
      <c r="D84" s="311">
        <f t="shared" si="26"/>
        <v>9616758</v>
      </c>
      <c r="E84" s="311">
        <f t="shared" si="27"/>
        <v>9608358</v>
      </c>
      <c r="F84" s="311">
        <v>8344949</v>
      </c>
      <c r="G84" s="311">
        <f>10389758-8400-2081810-158484-1164502-89038-2400-12756-750000-23000-4514490-321469</f>
        <v>1263409</v>
      </c>
      <c r="H84" s="311">
        <v>0</v>
      </c>
      <c r="I84" s="311">
        <v>8400</v>
      </c>
      <c r="J84" s="311">
        <v>0</v>
      </c>
      <c r="K84" s="311">
        <v>0</v>
      </c>
      <c r="L84" s="311">
        <f t="shared" si="28"/>
        <v>773000</v>
      </c>
      <c r="M84" s="311">
        <v>773000</v>
      </c>
      <c r="N84" s="311">
        <v>0</v>
      </c>
      <c r="O84" s="311">
        <v>0</v>
      </c>
      <c r="P84" s="342"/>
      <c r="Q84" s="342"/>
      <c r="R84" s="343"/>
      <c r="S84" s="343"/>
      <c r="T84" s="343"/>
    </row>
    <row r="85" spans="1:20" s="344" customFormat="1">
      <c r="A85" s="320" t="s">
        <v>459</v>
      </c>
      <c r="B85" s="321" t="s">
        <v>110</v>
      </c>
      <c r="C85" s="301">
        <f t="shared" si="25"/>
        <v>8280352</v>
      </c>
      <c r="D85" s="311">
        <f t="shared" si="26"/>
        <v>8280352</v>
      </c>
      <c r="E85" s="311">
        <f t="shared" si="27"/>
        <v>8274512</v>
      </c>
      <c r="F85" s="311">
        <v>6820285</v>
      </c>
      <c r="G85" s="311">
        <f>8280352-5840-1701567-130412-949778-103867-30000-28196-3594246-282219</f>
        <v>1454227</v>
      </c>
      <c r="H85" s="311">
        <v>0</v>
      </c>
      <c r="I85" s="311">
        <v>5840</v>
      </c>
      <c r="J85" s="311">
        <v>0</v>
      </c>
      <c r="K85" s="311">
        <v>0</v>
      </c>
      <c r="L85" s="311">
        <f t="shared" si="28"/>
        <v>0</v>
      </c>
      <c r="M85" s="311">
        <v>0</v>
      </c>
      <c r="N85" s="311">
        <v>0</v>
      </c>
      <c r="O85" s="311">
        <v>0</v>
      </c>
      <c r="P85" s="342"/>
      <c r="Q85" s="342"/>
      <c r="R85" s="343"/>
      <c r="S85" s="343"/>
      <c r="T85" s="343"/>
    </row>
    <row r="86" spans="1:20" s="303" customFormat="1" ht="68.25" customHeight="1">
      <c r="A86" s="320" t="s">
        <v>460</v>
      </c>
      <c r="B86" s="321" t="s">
        <v>111</v>
      </c>
      <c r="C86" s="301">
        <f t="shared" si="25"/>
        <v>1262347</v>
      </c>
      <c r="D86" s="311">
        <f t="shared" si="26"/>
        <v>1262347</v>
      </c>
      <c r="E86" s="311">
        <f t="shared" si="27"/>
        <v>1262347</v>
      </c>
      <c r="F86" s="311">
        <v>1051857</v>
      </c>
      <c r="G86" s="311">
        <f>1262347-113765-149741-21088-2562-698788-65913</f>
        <v>210490</v>
      </c>
      <c r="H86" s="311">
        <v>0</v>
      </c>
      <c r="I86" s="311">
        <v>0</v>
      </c>
      <c r="J86" s="311">
        <v>0</v>
      </c>
      <c r="K86" s="311">
        <v>0</v>
      </c>
      <c r="L86" s="311">
        <f t="shared" si="28"/>
        <v>0</v>
      </c>
      <c r="M86" s="311">
        <v>0</v>
      </c>
      <c r="N86" s="311">
        <v>0</v>
      </c>
      <c r="O86" s="311">
        <v>0</v>
      </c>
      <c r="P86" s="322"/>
      <c r="Q86" s="322"/>
      <c r="R86" s="312"/>
      <c r="S86" s="312"/>
      <c r="T86" s="312"/>
    </row>
    <row r="87" spans="1:20" s="344" customFormat="1">
      <c r="A87" s="320" t="s">
        <v>461</v>
      </c>
      <c r="B87" s="321" t="s">
        <v>46</v>
      </c>
      <c r="C87" s="301">
        <f t="shared" si="25"/>
        <v>7857120</v>
      </c>
      <c r="D87" s="311">
        <f t="shared" si="26"/>
        <v>7369979</v>
      </c>
      <c r="E87" s="311">
        <f t="shared" si="27"/>
        <v>1536311</v>
      </c>
      <c r="F87" s="311">
        <v>140104</v>
      </c>
      <c r="G87" s="311">
        <f>1636311-100000-20163-2871-8400-500-108170</f>
        <v>1396207</v>
      </c>
      <c r="H87" s="311">
        <v>0</v>
      </c>
      <c r="I87" s="311">
        <v>100000</v>
      </c>
      <c r="J87" s="311">
        <f>174682+1539385+4506742-65000-422141</f>
        <v>5733668</v>
      </c>
      <c r="K87" s="311">
        <v>0</v>
      </c>
      <c r="L87" s="311">
        <f t="shared" si="28"/>
        <v>487141</v>
      </c>
      <c r="M87" s="311">
        <v>487141</v>
      </c>
      <c r="N87" s="311">
        <v>487141</v>
      </c>
      <c r="O87" s="311">
        <v>0</v>
      </c>
      <c r="P87" s="342"/>
      <c r="Q87" s="342"/>
      <c r="R87" s="343"/>
      <c r="S87" s="343"/>
      <c r="T87" s="343"/>
    </row>
    <row r="88" spans="1:20" s="332" customFormat="1" ht="15">
      <c r="A88" s="347" t="s">
        <v>35</v>
      </c>
      <c r="B88" s="314" t="s">
        <v>36</v>
      </c>
      <c r="C88" s="339">
        <f>C89+C92+C93+C94+C95+C96+C98+C91+C90+C97</f>
        <v>86238461</v>
      </c>
      <c r="D88" s="316">
        <f>D89+D92+D93+D94+D95+D96+D98+D91+D90+D97</f>
        <v>30826493</v>
      </c>
      <c r="E88" s="316">
        <f t="shared" ref="E88:O88" si="29">E89+E92+E93+E94+E95+E96+E98+E91+E90+E97</f>
        <v>20364956</v>
      </c>
      <c r="F88" s="316">
        <f t="shared" si="29"/>
        <v>18000</v>
      </c>
      <c r="G88" s="316">
        <f t="shared" si="29"/>
        <v>20346956</v>
      </c>
      <c r="H88" s="316">
        <f t="shared" si="29"/>
        <v>1710000</v>
      </c>
      <c r="I88" s="316">
        <f t="shared" si="29"/>
        <v>0</v>
      </c>
      <c r="J88" s="316">
        <f t="shared" si="29"/>
        <v>8751537</v>
      </c>
      <c r="K88" s="316">
        <f t="shared" si="29"/>
        <v>0</v>
      </c>
      <c r="L88" s="316">
        <f t="shared" si="29"/>
        <v>55411968</v>
      </c>
      <c r="M88" s="316">
        <f t="shared" si="29"/>
        <v>36411968</v>
      </c>
      <c r="N88" s="316">
        <f t="shared" si="29"/>
        <v>33911968</v>
      </c>
      <c r="O88" s="316">
        <f t="shared" si="29"/>
        <v>19000000</v>
      </c>
      <c r="P88" s="330"/>
      <c r="Q88" s="330"/>
      <c r="R88" s="331"/>
      <c r="S88" s="331"/>
      <c r="T88" s="331"/>
    </row>
    <row r="89" spans="1:20" s="344" customFormat="1">
      <c r="A89" s="348">
        <v>85111</v>
      </c>
      <c r="B89" s="321" t="s">
        <v>112</v>
      </c>
      <c r="C89" s="301">
        <f t="shared" ref="C89:C98" si="30">D89+L89</f>
        <v>18631756</v>
      </c>
      <c r="D89" s="311">
        <f t="shared" ref="D89:D98" si="31">E89+H89+I89+J89+K89</f>
        <v>189300</v>
      </c>
      <c r="E89" s="311">
        <f t="shared" ref="E89:E98" si="32">F89+G89</f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189300</v>
      </c>
      <c r="K89" s="311">
        <v>0</v>
      </c>
      <c r="L89" s="311">
        <f t="shared" ref="L89:L98" si="33">M89+O89</f>
        <v>18442456</v>
      </c>
      <c r="M89" s="311">
        <v>18442456</v>
      </c>
      <c r="N89" s="311">
        <v>18442456</v>
      </c>
      <c r="O89" s="311">
        <v>0</v>
      </c>
      <c r="P89" s="342"/>
      <c r="Q89" s="342"/>
      <c r="R89" s="343"/>
      <c r="S89" s="343"/>
      <c r="T89" s="343"/>
    </row>
    <row r="90" spans="1:20" s="344" customFormat="1">
      <c r="A90" s="348">
        <v>85115</v>
      </c>
      <c r="B90" s="321" t="s">
        <v>395</v>
      </c>
      <c r="C90" s="301">
        <f>D90+L90</f>
        <v>2500000</v>
      </c>
      <c r="D90" s="311">
        <f>E90+H90+I90+J90+K90</f>
        <v>0</v>
      </c>
      <c r="E90" s="311">
        <f>F90+G90</f>
        <v>0</v>
      </c>
      <c r="F90" s="311">
        <v>0</v>
      </c>
      <c r="G90" s="311">
        <v>0</v>
      </c>
      <c r="H90" s="311">
        <v>0</v>
      </c>
      <c r="I90" s="311">
        <v>0</v>
      </c>
      <c r="J90" s="311">
        <v>0</v>
      </c>
      <c r="K90" s="311">
        <v>0</v>
      </c>
      <c r="L90" s="311">
        <f>M90+O90</f>
        <v>2500000</v>
      </c>
      <c r="M90" s="311">
        <v>2500000</v>
      </c>
      <c r="N90" s="311">
        <v>0</v>
      </c>
      <c r="O90" s="311">
        <v>0</v>
      </c>
      <c r="P90" s="342"/>
      <c r="Q90" s="342"/>
      <c r="R90" s="343"/>
      <c r="S90" s="343"/>
      <c r="T90" s="343"/>
    </row>
    <row r="91" spans="1:20" s="344" customFormat="1" ht="25.5">
      <c r="A91" s="348">
        <v>85117</v>
      </c>
      <c r="B91" s="321" t="s">
        <v>150</v>
      </c>
      <c r="C91" s="301">
        <f>D91+L91</f>
        <v>307158</v>
      </c>
      <c r="D91" s="311">
        <f>E91+H91+I91+J91+K91</f>
        <v>0</v>
      </c>
      <c r="E91" s="311">
        <f>F91+G91</f>
        <v>0</v>
      </c>
      <c r="F91" s="311">
        <v>0</v>
      </c>
      <c r="G91" s="311">
        <v>0</v>
      </c>
      <c r="H91" s="311">
        <v>0</v>
      </c>
      <c r="I91" s="311">
        <v>0</v>
      </c>
      <c r="J91" s="311">
        <v>0</v>
      </c>
      <c r="K91" s="311">
        <v>0</v>
      </c>
      <c r="L91" s="311">
        <f t="shared" si="33"/>
        <v>307158</v>
      </c>
      <c r="M91" s="311">
        <v>307158</v>
      </c>
      <c r="N91" s="311">
        <v>307158</v>
      </c>
      <c r="O91" s="311">
        <v>0</v>
      </c>
      <c r="P91" s="342"/>
      <c r="Q91" s="342"/>
      <c r="R91" s="343"/>
      <c r="S91" s="343"/>
      <c r="T91" s="343"/>
    </row>
    <row r="92" spans="1:20" s="344" customFormat="1">
      <c r="A92" s="348">
        <v>85148</v>
      </c>
      <c r="B92" s="321" t="s">
        <v>113</v>
      </c>
      <c r="C92" s="301">
        <f t="shared" si="30"/>
        <v>4800000</v>
      </c>
      <c r="D92" s="311">
        <f t="shared" si="31"/>
        <v>4800000</v>
      </c>
      <c r="E92" s="311">
        <f t="shared" si="32"/>
        <v>4800000</v>
      </c>
      <c r="F92" s="311">
        <v>0</v>
      </c>
      <c r="G92" s="311">
        <v>4800000</v>
      </c>
      <c r="H92" s="311">
        <v>0</v>
      </c>
      <c r="I92" s="311">
        <v>0</v>
      </c>
      <c r="J92" s="311">
        <v>0</v>
      </c>
      <c r="K92" s="311">
        <v>0</v>
      </c>
      <c r="L92" s="311">
        <f t="shared" si="33"/>
        <v>0</v>
      </c>
      <c r="M92" s="311">
        <v>0</v>
      </c>
      <c r="N92" s="311">
        <v>0</v>
      </c>
      <c r="O92" s="311">
        <v>0</v>
      </c>
      <c r="P92" s="342"/>
      <c r="Q92" s="342"/>
      <c r="R92" s="343"/>
      <c r="S92" s="343"/>
      <c r="T92" s="343"/>
    </row>
    <row r="93" spans="1:20" s="344" customFormat="1">
      <c r="A93" s="348">
        <v>85149</v>
      </c>
      <c r="B93" s="321" t="s">
        <v>114</v>
      </c>
      <c r="C93" s="301">
        <f t="shared" si="30"/>
        <v>2150000</v>
      </c>
      <c r="D93" s="311">
        <f t="shared" si="31"/>
        <v>2150000</v>
      </c>
      <c r="E93" s="311">
        <f t="shared" si="32"/>
        <v>100000</v>
      </c>
      <c r="F93" s="311">
        <v>1000</v>
      </c>
      <c r="G93" s="311">
        <f>2000+2000+95000</f>
        <v>99000</v>
      </c>
      <c r="H93" s="311">
        <v>1000000</v>
      </c>
      <c r="I93" s="311">
        <v>0</v>
      </c>
      <c r="J93" s="311">
        <f>1050000</f>
        <v>1050000</v>
      </c>
      <c r="K93" s="311">
        <v>0</v>
      </c>
      <c r="L93" s="311">
        <f t="shared" si="33"/>
        <v>0</v>
      </c>
      <c r="M93" s="311">
        <v>0</v>
      </c>
      <c r="N93" s="311">
        <v>0</v>
      </c>
      <c r="O93" s="311">
        <v>0</v>
      </c>
      <c r="P93" s="342"/>
      <c r="Q93" s="342"/>
      <c r="R93" s="343"/>
      <c r="S93" s="343"/>
      <c r="T93" s="343"/>
    </row>
    <row r="94" spans="1:20" s="344" customFormat="1">
      <c r="A94" s="348">
        <v>85153</v>
      </c>
      <c r="B94" s="321" t="s">
        <v>115</v>
      </c>
      <c r="C94" s="301">
        <f t="shared" si="30"/>
        <v>480000</v>
      </c>
      <c r="D94" s="311">
        <f t="shared" si="31"/>
        <v>480000</v>
      </c>
      <c r="E94" s="311">
        <f t="shared" si="32"/>
        <v>130000</v>
      </c>
      <c r="F94" s="311">
        <v>14000</v>
      </c>
      <c r="G94" s="311">
        <f>11000+7000+98000</f>
        <v>116000</v>
      </c>
      <c r="H94" s="311">
        <v>350000</v>
      </c>
      <c r="I94" s="311">
        <v>0</v>
      </c>
      <c r="J94" s="311">
        <v>0</v>
      </c>
      <c r="K94" s="311">
        <v>0</v>
      </c>
      <c r="L94" s="311">
        <f t="shared" si="33"/>
        <v>0</v>
      </c>
      <c r="M94" s="311">
        <v>0</v>
      </c>
      <c r="N94" s="311">
        <v>0</v>
      </c>
      <c r="O94" s="311">
        <v>0</v>
      </c>
      <c r="P94" s="342"/>
      <c r="Q94" s="342"/>
      <c r="R94" s="343"/>
      <c r="S94" s="343"/>
      <c r="T94" s="343"/>
    </row>
    <row r="95" spans="1:20" s="344" customFormat="1">
      <c r="A95" s="348">
        <v>85154</v>
      </c>
      <c r="B95" s="321" t="s">
        <v>116</v>
      </c>
      <c r="C95" s="301">
        <f t="shared" si="30"/>
        <v>390000</v>
      </c>
      <c r="D95" s="311">
        <f t="shared" si="31"/>
        <v>390000</v>
      </c>
      <c r="E95" s="311">
        <f t="shared" si="32"/>
        <v>30000</v>
      </c>
      <c r="F95" s="311">
        <v>3000</v>
      </c>
      <c r="G95" s="311">
        <f>4000+23000</f>
        <v>27000</v>
      </c>
      <c r="H95" s="311">
        <v>360000</v>
      </c>
      <c r="I95" s="311">
        <v>0</v>
      </c>
      <c r="J95" s="311">
        <v>0</v>
      </c>
      <c r="K95" s="311">
        <v>0</v>
      </c>
      <c r="L95" s="311">
        <f t="shared" si="33"/>
        <v>0</v>
      </c>
      <c r="M95" s="311">
        <v>0</v>
      </c>
      <c r="N95" s="311">
        <v>0</v>
      </c>
      <c r="O95" s="311">
        <v>0</v>
      </c>
      <c r="P95" s="342"/>
      <c r="Q95" s="342"/>
      <c r="R95" s="343"/>
      <c r="S95" s="343"/>
      <c r="T95" s="343"/>
    </row>
    <row r="96" spans="1:20" s="303" customFormat="1" ht="41.25" customHeight="1">
      <c r="A96" s="348">
        <v>85156</v>
      </c>
      <c r="B96" s="321" t="s">
        <v>462</v>
      </c>
      <c r="C96" s="301">
        <f t="shared" si="30"/>
        <v>16000</v>
      </c>
      <c r="D96" s="311">
        <f t="shared" si="31"/>
        <v>16000</v>
      </c>
      <c r="E96" s="311">
        <f t="shared" si="32"/>
        <v>16000</v>
      </c>
      <c r="F96" s="311">
        <v>0</v>
      </c>
      <c r="G96" s="311">
        <v>16000</v>
      </c>
      <c r="H96" s="311">
        <v>0</v>
      </c>
      <c r="I96" s="311">
        <v>0</v>
      </c>
      <c r="J96" s="311">
        <v>0</v>
      </c>
      <c r="K96" s="311">
        <v>0</v>
      </c>
      <c r="L96" s="311">
        <f t="shared" si="33"/>
        <v>0</v>
      </c>
      <c r="M96" s="311">
        <v>0</v>
      </c>
      <c r="N96" s="311">
        <v>0</v>
      </c>
      <c r="O96" s="311">
        <v>0</v>
      </c>
      <c r="P96" s="322"/>
      <c r="Q96" s="322"/>
      <c r="R96" s="312"/>
      <c r="S96" s="312"/>
      <c r="T96" s="312"/>
    </row>
    <row r="97" spans="1:20" s="303" customFormat="1">
      <c r="A97" s="348">
        <v>85157</v>
      </c>
      <c r="B97" s="321" t="s">
        <v>379</v>
      </c>
      <c r="C97" s="301">
        <f>D97+L97</f>
        <v>15268956</v>
      </c>
      <c r="D97" s="311">
        <f>E97+H97+I97+J97+K97</f>
        <v>15268956</v>
      </c>
      <c r="E97" s="311">
        <f>F97+G97</f>
        <v>15268956</v>
      </c>
      <c r="F97" s="311">
        <v>0</v>
      </c>
      <c r="G97" s="311">
        <v>15268956</v>
      </c>
      <c r="H97" s="311">
        <v>0</v>
      </c>
      <c r="I97" s="311">
        <v>0</v>
      </c>
      <c r="J97" s="311">
        <v>0</v>
      </c>
      <c r="K97" s="311">
        <v>0</v>
      </c>
      <c r="L97" s="311">
        <f>M97+O97</f>
        <v>0</v>
      </c>
      <c r="M97" s="311">
        <v>0</v>
      </c>
      <c r="N97" s="311">
        <v>0</v>
      </c>
      <c r="O97" s="311">
        <v>0</v>
      </c>
      <c r="P97" s="322"/>
      <c r="Q97" s="322"/>
      <c r="R97" s="312"/>
      <c r="S97" s="312"/>
      <c r="T97" s="312"/>
    </row>
    <row r="98" spans="1:20" s="344" customFormat="1">
      <c r="A98" s="348">
        <v>85195</v>
      </c>
      <c r="B98" s="321" t="s">
        <v>46</v>
      </c>
      <c r="C98" s="301">
        <f t="shared" si="30"/>
        <v>41694591</v>
      </c>
      <c r="D98" s="311">
        <f t="shared" si="31"/>
        <v>7532237</v>
      </c>
      <c r="E98" s="311">
        <f t="shared" si="32"/>
        <v>20000</v>
      </c>
      <c r="F98" s="311">
        <v>0</v>
      </c>
      <c r="G98" s="311">
        <v>20000</v>
      </c>
      <c r="H98" s="311">
        <v>0</v>
      </c>
      <c r="I98" s="311">
        <v>0</v>
      </c>
      <c r="J98" s="311">
        <f>19441858-13646119+3232733-1516235</f>
        <v>7512237</v>
      </c>
      <c r="K98" s="311">
        <v>0</v>
      </c>
      <c r="L98" s="311">
        <f t="shared" si="33"/>
        <v>34162354</v>
      </c>
      <c r="M98" s="311">
        <f>13646119+1516235</f>
        <v>15162354</v>
      </c>
      <c r="N98" s="311">
        <v>15162354</v>
      </c>
      <c r="O98" s="311">
        <v>19000000</v>
      </c>
      <c r="P98" s="342"/>
      <c r="Q98" s="342"/>
      <c r="R98" s="343"/>
      <c r="S98" s="343"/>
      <c r="T98" s="343"/>
    </row>
    <row r="99" spans="1:20" s="332" customFormat="1" ht="15">
      <c r="A99" s="347">
        <v>852</v>
      </c>
      <c r="B99" s="314" t="s">
        <v>117</v>
      </c>
      <c r="C99" s="315">
        <f t="shared" ref="C99:O99" si="34">C100+C101+C102+C104+C103</f>
        <v>31545348</v>
      </c>
      <c r="D99" s="316">
        <f t="shared" si="34"/>
        <v>26168986</v>
      </c>
      <c r="E99" s="316">
        <f t="shared" si="34"/>
        <v>3593981</v>
      </c>
      <c r="F99" s="316">
        <f t="shared" si="34"/>
        <v>2724834</v>
      </c>
      <c r="G99" s="316">
        <f t="shared" si="34"/>
        <v>869147</v>
      </c>
      <c r="H99" s="316">
        <f t="shared" si="34"/>
        <v>70000</v>
      </c>
      <c r="I99" s="316">
        <f t="shared" si="34"/>
        <v>48900</v>
      </c>
      <c r="J99" s="316">
        <f t="shared" si="34"/>
        <v>22456105</v>
      </c>
      <c r="K99" s="316">
        <f t="shared" si="34"/>
        <v>0</v>
      </c>
      <c r="L99" s="316">
        <f t="shared" si="34"/>
        <v>5376362</v>
      </c>
      <c r="M99" s="316">
        <f t="shared" si="34"/>
        <v>5376362</v>
      </c>
      <c r="N99" s="316">
        <f t="shared" si="34"/>
        <v>5227271</v>
      </c>
      <c r="O99" s="316">
        <f t="shared" si="34"/>
        <v>0</v>
      </c>
      <c r="P99" s="330"/>
      <c r="Q99" s="330"/>
      <c r="R99" s="331"/>
      <c r="S99" s="331"/>
      <c r="T99" s="331"/>
    </row>
    <row r="100" spans="1:20" s="344" customFormat="1">
      <c r="A100" s="348">
        <v>85203</v>
      </c>
      <c r="B100" s="321" t="s">
        <v>118</v>
      </c>
      <c r="C100" s="301">
        <f>D100+L100</f>
        <v>1000000</v>
      </c>
      <c r="D100" s="311">
        <f>E100+H100+I100+J100+K100</f>
        <v>1000000</v>
      </c>
      <c r="E100" s="311">
        <f>F100+G100</f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f>1000000</f>
        <v>1000000</v>
      </c>
      <c r="K100" s="311">
        <v>0</v>
      </c>
      <c r="L100" s="311">
        <f>M100+O100</f>
        <v>0</v>
      </c>
      <c r="M100" s="311">
        <v>0</v>
      </c>
      <c r="N100" s="311">
        <v>0</v>
      </c>
      <c r="O100" s="311">
        <v>0</v>
      </c>
      <c r="P100" s="342"/>
      <c r="Q100" s="342"/>
      <c r="R100" s="343"/>
      <c r="S100" s="343"/>
      <c r="T100" s="343"/>
    </row>
    <row r="101" spans="1:20" s="303" customFormat="1" ht="27.75" customHeight="1">
      <c r="A101" s="348">
        <v>85205</v>
      </c>
      <c r="B101" s="321" t="s">
        <v>119</v>
      </c>
      <c r="C101" s="301">
        <f>D101+L101</f>
        <v>500000</v>
      </c>
      <c r="D101" s="311">
        <f>E101+H101+I101+J101+K101</f>
        <v>500000</v>
      </c>
      <c r="E101" s="311">
        <f>F101+G101</f>
        <v>430000</v>
      </c>
      <c r="F101" s="311">
        <f>3000+500+168800</f>
        <v>172300</v>
      </c>
      <c r="G101" s="311">
        <f>2000+1000+247700+7000</f>
        <v>257700</v>
      </c>
      <c r="H101" s="311">
        <v>70000</v>
      </c>
      <c r="I101" s="311">
        <v>0</v>
      </c>
      <c r="J101" s="311">
        <v>0</v>
      </c>
      <c r="K101" s="311">
        <v>0</v>
      </c>
      <c r="L101" s="311">
        <f>M101+O101</f>
        <v>0</v>
      </c>
      <c r="M101" s="311">
        <v>0</v>
      </c>
      <c r="N101" s="311">
        <v>0</v>
      </c>
      <c r="O101" s="311">
        <v>0</v>
      </c>
      <c r="P101" s="322"/>
      <c r="Q101" s="322"/>
      <c r="R101" s="312"/>
      <c r="S101" s="312"/>
      <c r="T101" s="312"/>
    </row>
    <row r="102" spans="1:20" s="344" customFormat="1">
      <c r="A102" s="348">
        <v>85217</v>
      </c>
      <c r="B102" s="321" t="s">
        <v>120</v>
      </c>
      <c r="C102" s="301">
        <f>D102+L102</f>
        <v>4147218</v>
      </c>
      <c r="D102" s="311">
        <f>E102+H102+I102+J102+K102</f>
        <v>3152881</v>
      </c>
      <c r="E102" s="311">
        <f>F102+G102</f>
        <v>3148981</v>
      </c>
      <c r="F102" s="311">
        <v>2552534</v>
      </c>
      <c r="G102" s="311">
        <f>45951+122440+1000+58000+27000+3750+182449+22400+15000+8000+5500+57095+9800+300+25762+6000+6000</f>
        <v>596447</v>
      </c>
      <c r="H102" s="311">
        <v>0</v>
      </c>
      <c r="I102" s="311">
        <v>3900</v>
      </c>
      <c r="J102" s="311">
        <v>0</v>
      </c>
      <c r="K102" s="311">
        <v>0</v>
      </c>
      <c r="L102" s="311">
        <f>M102+O102</f>
        <v>994337</v>
      </c>
      <c r="M102" s="311">
        <v>994337</v>
      </c>
      <c r="N102" s="311">
        <f>718459+126787</f>
        <v>845246</v>
      </c>
      <c r="O102" s="311">
        <v>0</v>
      </c>
      <c r="P102" s="342"/>
      <c r="Q102" s="342"/>
      <c r="R102" s="343"/>
      <c r="S102" s="343"/>
      <c r="T102" s="343"/>
    </row>
    <row r="103" spans="1:20" s="303" customFormat="1" ht="27" customHeight="1">
      <c r="A103" s="348">
        <v>85228</v>
      </c>
      <c r="B103" s="321" t="s">
        <v>121</v>
      </c>
      <c r="C103" s="301">
        <f>D103+L103</f>
        <v>80000</v>
      </c>
      <c r="D103" s="311">
        <f>E103+H103+I103+J103+K103</f>
        <v>80000</v>
      </c>
      <c r="E103" s="311">
        <f>F103+G103</f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80000</v>
      </c>
      <c r="K103" s="311">
        <v>0</v>
      </c>
      <c r="L103" s="311">
        <f>M103+O103</f>
        <v>0</v>
      </c>
      <c r="M103" s="311">
        <v>0</v>
      </c>
      <c r="N103" s="311">
        <v>0</v>
      </c>
      <c r="O103" s="311">
        <v>0</v>
      </c>
      <c r="P103" s="322"/>
      <c r="Q103" s="322"/>
      <c r="R103" s="312"/>
      <c r="S103" s="312"/>
      <c r="T103" s="312"/>
    </row>
    <row r="104" spans="1:20" s="344" customFormat="1">
      <c r="A104" s="348">
        <v>85295</v>
      </c>
      <c r="B104" s="321" t="s">
        <v>46</v>
      </c>
      <c r="C104" s="301">
        <f>D104+L104</f>
        <v>25818130</v>
      </c>
      <c r="D104" s="311">
        <f>E104+H104+I104+J104+K104</f>
        <v>21436105</v>
      </c>
      <c r="E104" s="311">
        <f>F104+G104</f>
        <v>15000</v>
      </c>
      <c r="F104" s="311">
        <v>0</v>
      </c>
      <c r="G104" s="311">
        <v>15000</v>
      </c>
      <c r="H104" s="311">
        <v>0</v>
      </c>
      <c r="I104" s="311">
        <v>45000</v>
      </c>
      <c r="J104" s="311">
        <f>15589083+10169047-2047735-2334290</f>
        <v>21376105</v>
      </c>
      <c r="K104" s="311">
        <v>0</v>
      </c>
      <c r="L104" s="311">
        <f>M104+O104</f>
        <v>4382025</v>
      </c>
      <c r="M104" s="311">
        <v>4382025</v>
      </c>
      <c r="N104" s="311">
        <v>4382025</v>
      </c>
      <c r="O104" s="311">
        <v>0</v>
      </c>
      <c r="P104" s="342"/>
      <c r="Q104" s="342"/>
      <c r="R104" s="343"/>
      <c r="S104" s="343"/>
      <c r="T104" s="343"/>
    </row>
    <row r="105" spans="1:20" s="332" customFormat="1" ht="30">
      <c r="A105" s="347">
        <v>853</v>
      </c>
      <c r="B105" s="314" t="s">
        <v>42</v>
      </c>
      <c r="C105" s="315">
        <f t="shared" ref="C105:O105" si="35">C106+C107+C109+C110+C108</f>
        <v>29303669</v>
      </c>
      <c r="D105" s="316">
        <f t="shared" si="35"/>
        <v>29303669</v>
      </c>
      <c r="E105" s="316">
        <f t="shared" si="35"/>
        <v>12208872</v>
      </c>
      <c r="F105" s="316">
        <f t="shared" si="35"/>
        <v>9821435</v>
      </c>
      <c r="G105" s="316">
        <f t="shared" si="35"/>
        <v>2387437</v>
      </c>
      <c r="H105" s="316">
        <f t="shared" si="35"/>
        <v>544000</v>
      </c>
      <c r="I105" s="316">
        <f t="shared" si="35"/>
        <v>10100</v>
      </c>
      <c r="J105" s="316">
        <f t="shared" si="35"/>
        <v>16540697</v>
      </c>
      <c r="K105" s="316">
        <f t="shared" si="35"/>
        <v>0</v>
      </c>
      <c r="L105" s="316">
        <f t="shared" si="35"/>
        <v>0</v>
      </c>
      <c r="M105" s="316">
        <f t="shared" si="35"/>
        <v>0</v>
      </c>
      <c r="N105" s="316">
        <f t="shared" si="35"/>
        <v>0</v>
      </c>
      <c r="O105" s="316">
        <f t="shared" si="35"/>
        <v>0</v>
      </c>
      <c r="P105" s="330"/>
      <c r="Q105" s="330"/>
      <c r="R105" s="331"/>
      <c r="S105" s="331"/>
      <c r="T105" s="331"/>
    </row>
    <row r="106" spans="1:20" s="303" customFormat="1" ht="27.75" customHeight="1">
      <c r="A106" s="348">
        <v>85311</v>
      </c>
      <c r="B106" s="321" t="s">
        <v>122</v>
      </c>
      <c r="C106" s="301">
        <f>D106+L106</f>
        <v>444000</v>
      </c>
      <c r="D106" s="311">
        <f>E106+H106+I106+J106+K106</f>
        <v>444000</v>
      </c>
      <c r="E106" s="311">
        <f>F106+G106</f>
        <v>0</v>
      </c>
      <c r="F106" s="311">
        <v>0</v>
      </c>
      <c r="G106" s="311">
        <v>0</v>
      </c>
      <c r="H106" s="311">
        <v>444000</v>
      </c>
      <c r="I106" s="311">
        <v>0</v>
      </c>
      <c r="J106" s="311">
        <v>0</v>
      </c>
      <c r="K106" s="311">
        <v>0</v>
      </c>
      <c r="L106" s="311">
        <f>M106+O106</f>
        <v>0</v>
      </c>
      <c r="M106" s="311">
        <v>0</v>
      </c>
      <c r="N106" s="311">
        <v>0</v>
      </c>
      <c r="O106" s="311">
        <v>0</v>
      </c>
      <c r="P106" s="322"/>
      <c r="Q106" s="322"/>
      <c r="R106" s="312"/>
      <c r="S106" s="312"/>
      <c r="T106" s="312"/>
    </row>
    <row r="107" spans="1:20" s="303" customFormat="1" ht="27.75" customHeight="1">
      <c r="A107" s="348">
        <v>85324</v>
      </c>
      <c r="B107" s="321" t="s">
        <v>123</v>
      </c>
      <c r="C107" s="301">
        <f>D107+L107</f>
        <v>375000</v>
      </c>
      <c r="D107" s="311">
        <f>E107+H107+I107+J107+K107</f>
        <v>375000</v>
      </c>
      <c r="E107" s="311">
        <f>F107+G107</f>
        <v>375000</v>
      </c>
      <c r="F107" s="311">
        <v>311000</v>
      </c>
      <c r="G107" s="311">
        <f>50000+2000+2000+2000+3000+5000</f>
        <v>64000</v>
      </c>
      <c r="H107" s="311">
        <v>0</v>
      </c>
      <c r="I107" s="311">
        <v>0</v>
      </c>
      <c r="J107" s="311">
        <v>0</v>
      </c>
      <c r="K107" s="311">
        <v>0</v>
      </c>
      <c r="L107" s="311">
        <f>M107+O107</f>
        <v>0</v>
      </c>
      <c r="M107" s="311">
        <v>0</v>
      </c>
      <c r="N107" s="311">
        <v>0</v>
      </c>
      <c r="O107" s="311">
        <v>0</v>
      </c>
      <c r="P107" s="322"/>
      <c r="Q107" s="322"/>
      <c r="R107" s="312"/>
      <c r="S107" s="312"/>
      <c r="T107" s="312"/>
    </row>
    <row r="108" spans="1:20" s="303" customFormat="1" ht="27.75" customHeight="1">
      <c r="A108" s="348">
        <v>85325</v>
      </c>
      <c r="B108" s="321" t="s">
        <v>124</v>
      </c>
      <c r="C108" s="301">
        <f>D108+L108</f>
        <v>1398000</v>
      </c>
      <c r="D108" s="311">
        <f>E108+H108+I108+J108+K108</f>
        <v>1398000</v>
      </c>
      <c r="E108" s="311">
        <f>F108+G108</f>
        <v>1396000</v>
      </c>
      <c r="F108" s="311">
        <v>1126000</v>
      </c>
      <c r="G108" s="311">
        <f>1398000-2000-788000-125000-170000-24000-4000-15000</f>
        <v>270000</v>
      </c>
      <c r="H108" s="311">
        <v>0</v>
      </c>
      <c r="I108" s="311">
        <v>2000</v>
      </c>
      <c r="J108" s="311">
        <v>0</v>
      </c>
      <c r="K108" s="311">
        <v>0</v>
      </c>
      <c r="L108" s="311">
        <f>M108+O108</f>
        <v>0</v>
      </c>
      <c r="M108" s="311">
        <v>0</v>
      </c>
      <c r="N108" s="311">
        <v>0</v>
      </c>
      <c r="O108" s="311">
        <v>0</v>
      </c>
      <c r="P108" s="322"/>
      <c r="Q108" s="322"/>
      <c r="R108" s="312"/>
      <c r="S108" s="312"/>
      <c r="T108" s="312"/>
    </row>
    <row r="109" spans="1:20" s="344" customFormat="1">
      <c r="A109" s="348">
        <v>85332</v>
      </c>
      <c r="B109" s="321" t="s">
        <v>43</v>
      </c>
      <c r="C109" s="301">
        <f>D109+L109</f>
        <v>19865801</v>
      </c>
      <c r="D109" s="311">
        <f>E109+H109+I109+J109+K109</f>
        <v>19865801</v>
      </c>
      <c r="E109" s="311">
        <f>F109+G109</f>
        <v>10266372</v>
      </c>
      <c r="F109" s="311">
        <v>8384435</v>
      </c>
      <c r="G109" s="311">
        <f>10274472-8000-100-6395687-557133-1159320-165232-5900-101163</f>
        <v>1881937</v>
      </c>
      <c r="H109" s="311">
        <v>0</v>
      </c>
      <c r="I109" s="311">
        <v>8100</v>
      </c>
      <c r="J109" s="311">
        <f>45939+4616856+4928534</f>
        <v>9591329</v>
      </c>
      <c r="K109" s="311">
        <v>0</v>
      </c>
      <c r="L109" s="311">
        <f>M109+O109</f>
        <v>0</v>
      </c>
      <c r="M109" s="311">
        <v>0</v>
      </c>
      <c r="N109" s="311">
        <v>0</v>
      </c>
      <c r="O109" s="311">
        <v>0</v>
      </c>
      <c r="P109" s="342"/>
      <c r="Q109" s="342"/>
      <c r="R109" s="343"/>
      <c r="S109" s="343"/>
      <c r="T109" s="343"/>
    </row>
    <row r="110" spans="1:20" s="344" customFormat="1">
      <c r="A110" s="348">
        <v>85395</v>
      </c>
      <c r="B110" s="321" t="s">
        <v>46</v>
      </c>
      <c r="C110" s="301">
        <f>D110+L110</f>
        <v>7220868</v>
      </c>
      <c r="D110" s="311">
        <f>E110+H110+I110+J110+K110</f>
        <v>7220868</v>
      </c>
      <c r="E110" s="311">
        <f>F110+G110</f>
        <v>171500</v>
      </c>
      <c r="F110" s="311">
        <v>0</v>
      </c>
      <c r="G110" s="311">
        <f>271500-100000</f>
        <v>171500</v>
      </c>
      <c r="H110" s="311">
        <v>100000</v>
      </c>
      <c r="I110" s="311">
        <v>0</v>
      </c>
      <c r="J110" s="311">
        <f>5490199+1459169</f>
        <v>6949368</v>
      </c>
      <c r="K110" s="311">
        <v>0</v>
      </c>
      <c r="L110" s="311">
        <f>M110+O110</f>
        <v>0</v>
      </c>
      <c r="M110" s="311">
        <v>0</v>
      </c>
      <c r="N110" s="311">
        <v>0</v>
      </c>
      <c r="O110" s="311">
        <v>0</v>
      </c>
      <c r="P110" s="342"/>
      <c r="Q110" s="342"/>
      <c r="R110" s="343"/>
      <c r="S110" s="343"/>
      <c r="T110" s="343"/>
    </row>
    <row r="111" spans="1:20" s="332" customFormat="1" ht="15">
      <c r="A111" s="347">
        <v>854</v>
      </c>
      <c r="B111" s="314" t="s">
        <v>463</v>
      </c>
      <c r="C111" s="315">
        <f t="shared" ref="C111:O111" si="36">C112+C114+C115+C116+C118+C119+C113+C117</f>
        <v>38404026</v>
      </c>
      <c r="D111" s="316">
        <f t="shared" si="36"/>
        <v>31934966</v>
      </c>
      <c r="E111" s="316">
        <f t="shared" si="36"/>
        <v>27061774</v>
      </c>
      <c r="F111" s="316">
        <f t="shared" si="36"/>
        <v>23502504</v>
      </c>
      <c r="G111" s="316">
        <f t="shared" si="36"/>
        <v>3559270</v>
      </c>
      <c r="H111" s="316">
        <f t="shared" si="36"/>
        <v>207000</v>
      </c>
      <c r="I111" s="316">
        <f t="shared" si="36"/>
        <v>64563</v>
      </c>
      <c r="J111" s="316">
        <f t="shared" si="36"/>
        <v>4601629</v>
      </c>
      <c r="K111" s="316">
        <f t="shared" si="36"/>
        <v>0</v>
      </c>
      <c r="L111" s="316">
        <f t="shared" si="36"/>
        <v>6469060</v>
      </c>
      <c r="M111" s="316">
        <f t="shared" si="36"/>
        <v>6469060</v>
      </c>
      <c r="N111" s="316">
        <f t="shared" si="36"/>
        <v>5611836</v>
      </c>
      <c r="O111" s="316">
        <f t="shared" si="36"/>
        <v>0</v>
      </c>
      <c r="P111" s="330"/>
      <c r="Q111" s="330"/>
      <c r="R111" s="331"/>
      <c r="S111" s="331"/>
      <c r="T111" s="331"/>
    </row>
    <row r="112" spans="1:20" s="344" customFormat="1">
      <c r="A112" s="348">
        <v>85403</v>
      </c>
      <c r="B112" s="321" t="s">
        <v>125</v>
      </c>
      <c r="C112" s="301">
        <f t="shared" ref="C112:C119" si="37">D112+L112</f>
        <v>26570873</v>
      </c>
      <c r="D112" s="311">
        <f t="shared" ref="D112:D119" si="38">E112+H112+I112+J112+K112</f>
        <v>20101813</v>
      </c>
      <c r="E112" s="311">
        <f t="shared" ref="E112:E119" si="39">F112+G112</f>
        <v>19845566</v>
      </c>
      <c r="F112" s="311">
        <v>17309230</v>
      </c>
      <c r="G112" s="311">
        <f>20713990-11200-4091262-309357-2405824-296097-2000-65971-690224-167000-9382191-756528</f>
        <v>2536336</v>
      </c>
      <c r="H112" s="311">
        <v>0</v>
      </c>
      <c r="I112" s="311">
        <v>11200</v>
      </c>
      <c r="J112" s="311">
        <f>4409992-4225179+1446891-1386657</f>
        <v>245047</v>
      </c>
      <c r="K112" s="311">
        <v>0</v>
      </c>
      <c r="L112" s="311">
        <f t="shared" ref="L112:L119" si="40">M112+O112</f>
        <v>6469060</v>
      </c>
      <c r="M112" s="311">
        <v>6469060</v>
      </c>
      <c r="N112" s="311">
        <f>4225179+1386657</f>
        <v>5611836</v>
      </c>
      <c r="O112" s="311">
        <v>0</v>
      </c>
      <c r="P112" s="342"/>
      <c r="Q112" s="342"/>
      <c r="R112" s="343"/>
      <c r="S112" s="343"/>
      <c r="T112" s="343"/>
    </row>
    <row r="113" spans="1:20" s="344" customFormat="1">
      <c r="A113" s="348">
        <v>85404</v>
      </c>
      <c r="B113" s="321" t="s">
        <v>126</v>
      </c>
      <c r="C113" s="301">
        <f t="shared" si="37"/>
        <v>1510718</v>
      </c>
      <c r="D113" s="311">
        <f t="shared" si="38"/>
        <v>1510718</v>
      </c>
      <c r="E113" s="311">
        <f t="shared" si="39"/>
        <v>1510718</v>
      </c>
      <c r="F113" s="311">
        <v>1369550</v>
      </c>
      <c r="G113" s="311">
        <f>1510718-194899-26518-4838-1062203-81092</f>
        <v>141168</v>
      </c>
      <c r="H113" s="311">
        <v>0</v>
      </c>
      <c r="I113" s="311">
        <v>0</v>
      </c>
      <c r="J113" s="311">
        <v>0</v>
      </c>
      <c r="K113" s="311">
        <v>0</v>
      </c>
      <c r="L113" s="311">
        <f t="shared" si="40"/>
        <v>0</v>
      </c>
      <c r="M113" s="311">
        <v>0</v>
      </c>
      <c r="N113" s="311">
        <v>0</v>
      </c>
      <c r="O113" s="311">
        <v>0</v>
      </c>
      <c r="P113" s="342"/>
      <c r="Q113" s="342"/>
      <c r="R113" s="343"/>
      <c r="S113" s="343"/>
      <c r="T113" s="343"/>
    </row>
    <row r="114" spans="1:20" s="344" customFormat="1">
      <c r="A114" s="348">
        <v>85407</v>
      </c>
      <c r="B114" s="321" t="s">
        <v>127</v>
      </c>
      <c r="C114" s="301">
        <f t="shared" si="37"/>
        <v>3703364</v>
      </c>
      <c r="D114" s="311">
        <f t="shared" si="38"/>
        <v>3703364</v>
      </c>
      <c r="E114" s="311">
        <f t="shared" si="39"/>
        <v>3692501</v>
      </c>
      <c r="F114" s="311">
        <v>3546650</v>
      </c>
      <c r="G114" s="311">
        <f>3703364-10863-502359-39316-9937-2770834-224204</f>
        <v>145851</v>
      </c>
      <c r="H114" s="311">
        <v>0</v>
      </c>
      <c r="I114" s="311">
        <v>10863</v>
      </c>
      <c r="J114" s="311">
        <v>0</v>
      </c>
      <c r="K114" s="311">
        <v>0</v>
      </c>
      <c r="L114" s="311">
        <f t="shared" si="40"/>
        <v>0</v>
      </c>
      <c r="M114" s="311">
        <v>0</v>
      </c>
      <c r="N114" s="311">
        <v>0</v>
      </c>
      <c r="O114" s="311">
        <v>0</v>
      </c>
      <c r="P114" s="342"/>
      <c r="Q114" s="342"/>
      <c r="R114" s="343"/>
      <c r="S114" s="343"/>
      <c r="T114" s="343"/>
    </row>
    <row r="115" spans="1:20" s="344" customFormat="1">
      <c r="A115" s="348">
        <v>85410</v>
      </c>
      <c r="B115" s="321" t="s">
        <v>128</v>
      </c>
      <c r="C115" s="301">
        <f t="shared" si="37"/>
        <v>1572286</v>
      </c>
      <c r="D115" s="311">
        <f t="shared" si="38"/>
        <v>1572286</v>
      </c>
      <c r="E115" s="311">
        <f t="shared" si="39"/>
        <v>1569786</v>
      </c>
      <c r="F115" s="311">
        <v>1277074</v>
      </c>
      <c r="G115" s="311">
        <f>1572286-2500-482762-28120-180695-15522-2040-535404-32531</f>
        <v>292712</v>
      </c>
      <c r="H115" s="311">
        <v>0</v>
      </c>
      <c r="I115" s="311">
        <v>2500</v>
      </c>
      <c r="J115" s="311">
        <v>0</v>
      </c>
      <c r="K115" s="311">
        <v>0</v>
      </c>
      <c r="L115" s="311">
        <f t="shared" si="40"/>
        <v>0</v>
      </c>
      <c r="M115" s="311">
        <v>0</v>
      </c>
      <c r="N115" s="311">
        <v>0</v>
      </c>
      <c r="O115" s="311">
        <v>0</v>
      </c>
      <c r="P115" s="342"/>
      <c r="Q115" s="342"/>
      <c r="R115" s="343"/>
      <c r="S115" s="343"/>
      <c r="T115" s="343"/>
    </row>
    <row r="116" spans="1:20" s="303" customFormat="1" ht="28.5" customHeight="1">
      <c r="A116" s="348">
        <v>85415</v>
      </c>
      <c r="B116" s="321" t="s">
        <v>129</v>
      </c>
      <c r="C116" s="301">
        <f t="shared" si="37"/>
        <v>207000</v>
      </c>
      <c r="D116" s="311">
        <f t="shared" si="38"/>
        <v>207000</v>
      </c>
      <c r="E116" s="311">
        <f t="shared" si="39"/>
        <v>0</v>
      </c>
      <c r="F116" s="311">
        <v>0</v>
      </c>
      <c r="G116" s="311">
        <v>0</v>
      </c>
      <c r="H116" s="311">
        <v>207000</v>
      </c>
      <c r="I116" s="311">
        <v>0</v>
      </c>
      <c r="J116" s="311">
        <v>0</v>
      </c>
      <c r="K116" s="311">
        <v>0</v>
      </c>
      <c r="L116" s="311">
        <f t="shared" si="40"/>
        <v>0</v>
      </c>
      <c r="M116" s="311">
        <v>0</v>
      </c>
      <c r="N116" s="311">
        <v>0</v>
      </c>
      <c r="O116" s="311">
        <v>0</v>
      </c>
      <c r="P116" s="322"/>
      <c r="Q116" s="322"/>
      <c r="R116" s="312"/>
      <c r="S116" s="312"/>
      <c r="T116" s="312"/>
    </row>
    <row r="117" spans="1:20" s="303" customFormat="1" ht="27.75" customHeight="1">
      <c r="A117" s="348">
        <v>85416</v>
      </c>
      <c r="B117" s="310" t="s">
        <v>130</v>
      </c>
      <c r="C117" s="301">
        <f t="shared" si="37"/>
        <v>4356582</v>
      </c>
      <c r="D117" s="311">
        <f t="shared" si="38"/>
        <v>4356582</v>
      </c>
      <c r="E117" s="311">
        <f t="shared" si="39"/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f>3703094+653488</f>
        <v>4356582</v>
      </c>
      <c r="K117" s="311">
        <v>0</v>
      </c>
      <c r="L117" s="311">
        <f t="shared" si="40"/>
        <v>0</v>
      </c>
      <c r="M117" s="311">
        <v>0</v>
      </c>
      <c r="N117" s="311">
        <v>0</v>
      </c>
      <c r="O117" s="311">
        <v>0</v>
      </c>
      <c r="P117" s="322"/>
      <c r="Q117" s="322"/>
      <c r="R117" s="312"/>
      <c r="S117" s="312"/>
      <c r="T117" s="312"/>
    </row>
    <row r="118" spans="1:20" s="344" customFormat="1">
      <c r="A118" s="348">
        <v>85446</v>
      </c>
      <c r="B118" s="310" t="s">
        <v>109</v>
      </c>
      <c r="C118" s="301">
        <f t="shared" si="37"/>
        <v>100000</v>
      </c>
      <c r="D118" s="311">
        <f t="shared" si="38"/>
        <v>100000</v>
      </c>
      <c r="E118" s="311">
        <f t="shared" si="39"/>
        <v>100000</v>
      </c>
      <c r="F118" s="311">
        <v>0</v>
      </c>
      <c r="G118" s="311">
        <v>100000</v>
      </c>
      <c r="H118" s="311">
        <v>0</v>
      </c>
      <c r="I118" s="311">
        <v>0</v>
      </c>
      <c r="J118" s="311">
        <v>0</v>
      </c>
      <c r="K118" s="311">
        <v>0</v>
      </c>
      <c r="L118" s="311">
        <f t="shared" si="40"/>
        <v>0</v>
      </c>
      <c r="M118" s="311">
        <v>0</v>
      </c>
      <c r="N118" s="311">
        <v>0</v>
      </c>
      <c r="O118" s="311">
        <v>0</v>
      </c>
      <c r="P118" s="342"/>
      <c r="Q118" s="342"/>
      <c r="R118" s="343"/>
      <c r="S118" s="343"/>
      <c r="T118" s="343"/>
    </row>
    <row r="119" spans="1:20" s="344" customFormat="1">
      <c r="A119" s="348">
        <v>85495</v>
      </c>
      <c r="B119" s="321" t="s">
        <v>46</v>
      </c>
      <c r="C119" s="301">
        <f t="shared" si="37"/>
        <v>383203</v>
      </c>
      <c r="D119" s="311">
        <f t="shared" si="38"/>
        <v>383203</v>
      </c>
      <c r="E119" s="311">
        <f t="shared" si="39"/>
        <v>343203</v>
      </c>
      <c r="F119" s="311">
        <v>0</v>
      </c>
      <c r="G119" s="311">
        <f>5000+5000+90000+243203</f>
        <v>343203</v>
      </c>
      <c r="H119" s="311">
        <v>0</v>
      </c>
      <c r="I119" s="311">
        <v>40000</v>
      </c>
      <c r="J119" s="311">
        <v>0</v>
      </c>
      <c r="K119" s="311">
        <v>0</v>
      </c>
      <c r="L119" s="311">
        <f t="shared" si="40"/>
        <v>0</v>
      </c>
      <c r="M119" s="311">
        <v>0</v>
      </c>
      <c r="N119" s="311">
        <v>0</v>
      </c>
      <c r="O119" s="311">
        <v>0</v>
      </c>
      <c r="P119" s="342"/>
      <c r="Q119" s="342"/>
      <c r="R119" s="343"/>
      <c r="S119" s="343"/>
      <c r="T119" s="343"/>
    </row>
    <row r="120" spans="1:20" s="332" customFormat="1" ht="15">
      <c r="A120" s="347">
        <v>855</v>
      </c>
      <c r="B120" s="314" t="s">
        <v>53</v>
      </c>
      <c r="C120" s="315">
        <f t="shared" ref="C120:O120" si="41">C121+C122</f>
        <v>9659506</v>
      </c>
      <c r="D120" s="316">
        <f t="shared" si="41"/>
        <v>9659506</v>
      </c>
      <c r="E120" s="316">
        <f t="shared" si="41"/>
        <v>2865000</v>
      </c>
      <c r="F120" s="316">
        <f t="shared" si="41"/>
        <v>2211789</v>
      </c>
      <c r="G120" s="316">
        <f t="shared" si="41"/>
        <v>653211</v>
      </c>
      <c r="H120" s="316">
        <f t="shared" si="41"/>
        <v>1440000</v>
      </c>
      <c r="I120" s="316">
        <f t="shared" si="41"/>
        <v>1000</v>
      </c>
      <c r="J120" s="316">
        <f t="shared" si="41"/>
        <v>5353506</v>
      </c>
      <c r="K120" s="316">
        <f t="shared" si="41"/>
        <v>0</v>
      </c>
      <c r="L120" s="316">
        <f t="shared" si="41"/>
        <v>0</v>
      </c>
      <c r="M120" s="316">
        <f t="shared" si="41"/>
        <v>0</v>
      </c>
      <c r="N120" s="316">
        <f t="shared" si="41"/>
        <v>0</v>
      </c>
      <c r="O120" s="316">
        <f t="shared" si="41"/>
        <v>0</v>
      </c>
      <c r="P120" s="330"/>
      <c r="Q120" s="330"/>
      <c r="R120" s="331"/>
      <c r="S120" s="331"/>
      <c r="T120" s="331"/>
    </row>
    <row r="121" spans="1:20" s="344" customFormat="1">
      <c r="A121" s="348">
        <v>85509</v>
      </c>
      <c r="B121" s="321" t="s">
        <v>54</v>
      </c>
      <c r="C121" s="301">
        <f>D121+L121</f>
        <v>3137000</v>
      </c>
      <c r="D121" s="311">
        <f>E121+H121+I121+J121+K121</f>
        <v>3137000</v>
      </c>
      <c r="E121" s="311">
        <f>F121+G121</f>
        <v>2706000</v>
      </c>
      <c r="F121" s="311">
        <v>2209789</v>
      </c>
      <c r="G121" s="311">
        <f>23000+150000+5000+60000+20000+1500+124000+13000+5328+25000+165+55417+3801+10000</f>
        <v>496211</v>
      </c>
      <c r="H121" s="311">
        <v>430000</v>
      </c>
      <c r="I121" s="311">
        <v>1000</v>
      </c>
      <c r="J121" s="311">
        <v>0</v>
      </c>
      <c r="K121" s="311">
        <v>0</v>
      </c>
      <c r="L121" s="311">
        <f>M121+O121</f>
        <v>0</v>
      </c>
      <c r="M121" s="311">
        <v>0</v>
      </c>
      <c r="N121" s="311">
        <v>0</v>
      </c>
      <c r="O121" s="311">
        <v>0</v>
      </c>
      <c r="P121" s="349"/>
      <c r="Q121" s="349"/>
      <c r="R121" s="343"/>
      <c r="S121" s="343"/>
      <c r="T121" s="343"/>
    </row>
    <row r="122" spans="1:20" s="344" customFormat="1">
      <c r="A122" s="348">
        <v>85595</v>
      </c>
      <c r="B122" s="321" t="s">
        <v>46</v>
      </c>
      <c r="C122" s="301">
        <f>D122+L122</f>
        <v>6522506</v>
      </c>
      <c r="D122" s="311">
        <f>E122+H122+I122+J122+K122</f>
        <v>6522506</v>
      </c>
      <c r="E122" s="311">
        <f>F122+G122</f>
        <v>159000</v>
      </c>
      <c r="F122" s="311">
        <v>2000</v>
      </c>
      <c r="G122" s="311">
        <f>1169000-1010000-2000</f>
        <v>157000</v>
      </c>
      <c r="H122" s="311">
        <v>1010000</v>
      </c>
      <c r="I122" s="311">
        <v>0</v>
      </c>
      <c r="J122" s="311">
        <f>5056089+297417</f>
        <v>5353506</v>
      </c>
      <c r="K122" s="311">
        <v>0</v>
      </c>
      <c r="L122" s="311">
        <f>M122+O122</f>
        <v>0</v>
      </c>
      <c r="M122" s="311">
        <v>0</v>
      </c>
      <c r="N122" s="311">
        <v>0</v>
      </c>
      <c r="O122" s="311">
        <v>0</v>
      </c>
      <c r="P122" s="342"/>
      <c r="Q122" s="342"/>
      <c r="R122" s="343"/>
      <c r="S122" s="343"/>
      <c r="T122" s="343"/>
    </row>
    <row r="123" spans="1:20" s="332" customFormat="1" ht="30">
      <c r="A123" s="347">
        <v>900</v>
      </c>
      <c r="B123" s="314" t="s">
        <v>39</v>
      </c>
      <c r="C123" s="315">
        <f>C126+C127+C129+C130+C131+C133+C132+C125+C124+C128</f>
        <v>31288792</v>
      </c>
      <c r="D123" s="316">
        <f>D126+D127+D129+D130+D131+D133+D132+D125+D124+D128</f>
        <v>3918142</v>
      </c>
      <c r="E123" s="316">
        <f t="shared" ref="E123:O123" si="42">E126+E127+E129+E130+E131+E133+E132+E125+E124+E128</f>
        <v>2841468</v>
      </c>
      <c r="F123" s="316">
        <f t="shared" si="42"/>
        <v>1568375</v>
      </c>
      <c r="G123" s="316">
        <f t="shared" si="42"/>
        <v>1273093</v>
      </c>
      <c r="H123" s="316">
        <f t="shared" si="42"/>
        <v>0</v>
      </c>
      <c r="I123" s="316">
        <f t="shared" si="42"/>
        <v>0</v>
      </c>
      <c r="J123" s="316">
        <f t="shared" si="42"/>
        <v>1076674</v>
      </c>
      <c r="K123" s="316">
        <f t="shared" si="42"/>
        <v>0</v>
      </c>
      <c r="L123" s="316">
        <f t="shared" si="42"/>
        <v>27370650</v>
      </c>
      <c r="M123" s="316">
        <f t="shared" si="42"/>
        <v>25870650</v>
      </c>
      <c r="N123" s="316">
        <f t="shared" si="42"/>
        <v>25170650</v>
      </c>
      <c r="O123" s="316">
        <f t="shared" si="42"/>
        <v>1500000</v>
      </c>
      <c r="P123" s="330"/>
      <c r="Q123" s="330"/>
      <c r="R123" s="331"/>
      <c r="S123" s="331"/>
      <c r="T123" s="331"/>
    </row>
    <row r="124" spans="1:20" s="344" customFormat="1">
      <c r="A124" s="348">
        <v>90001</v>
      </c>
      <c r="B124" s="321" t="s">
        <v>151</v>
      </c>
      <c r="C124" s="301">
        <f>D124+L124</f>
        <v>476427</v>
      </c>
      <c r="D124" s="311">
        <f>E124+H124+I124+J124+K124</f>
        <v>100</v>
      </c>
      <c r="E124" s="311">
        <f>F124+G124</f>
        <v>0</v>
      </c>
      <c r="F124" s="311">
        <v>0</v>
      </c>
      <c r="G124" s="311">
        <v>0</v>
      </c>
      <c r="H124" s="311">
        <v>0</v>
      </c>
      <c r="I124" s="311">
        <v>0</v>
      </c>
      <c r="J124" s="311">
        <v>100</v>
      </c>
      <c r="K124" s="311">
        <v>0</v>
      </c>
      <c r="L124" s="311">
        <f>M124+O124</f>
        <v>476327</v>
      </c>
      <c r="M124" s="311">
        <v>476327</v>
      </c>
      <c r="N124" s="311">
        <v>476327</v>
      </c>
      <c r="O124" s="311">
        <v>0</v>
      </c>
      <c r="P124" s="342"/>
      <c r="Q124" s="342"/>
      <c r="R124" s="343"/>
      <c r="S124" s="343"/>
      <c r="T124" s="343"/>
    </row>
    <row r="125" spans="1:20" s="344" customFormat="1">
      <c r="A125" s="348">
        <v>90002</v>
      </c>
      <c r="B125" s="321" t="s">
        <v>144</v>
      </c>
      <c r="C125" s="301">
        <f t="shared" ref="C125:C133" si="43">D125+L125</f>
        <v>2000</v>
      </c>
      <c r="D125" s="311">
        <f t="shared" ref="D125:D133" si="44">E125+H125+I125+J125+K125</f>
        <v>2000</v>
      </c>
      <c r="E125" s="311">
        <f t="shared" ref="E125:E133" si="45">F125+G125</f>
        <v>2000</v>
      </c>
      <c r="F125" s="311">
        <v>2000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f>M125+O125</f>
        <v>0</v>
      </c>
      <c r="M125" s="311">
        <v>0</v>
      </c>
      <c r="N125" s="311">
        <v>0</v>
      </c>
      <c r="O125" s="311">
        <v>0</v>
      </c>
      <c r="P125" s="342"/>
      <c r="Q125" s="342"/>
      <c r="R125" s="343"/>
      <c r="S125" s="343"/>
      <c r="T125" s="343"/>
    </row>
    <row r="126" spans="1:20" s="344" customFormat="1">
      <c r="A126" s="348">
        <v>90005</v>
      </c>
      <c r="B126" s="321" t="s">
        <v>44</v>
      </c>
      <c r="C126" s="301">
        <f t="shared" si="43"/>
        <v>137000</v>
      </c>
      <c r="D126" s="311">
        <f t="shared" si="44"/>
        <v>137000</v>
      </c>
      <c r="E126" s="311">
        <f t="shared" si="45"/>
        <v>137000</v>
      </c>
      <c r="F126" s="311">
        <v>0</v>
      </c>
      <c r="G126" s="311">
        <v>137000</v>
      </c>
      <c r="H126" s="311">
        <v>0</v>
      </c>
      <c r="I126" s="311">
        <v>0</v>
      </c>
      <c r="J126" s="311">
        <v>0</v>
      </c>
      <c r="K126" s="311">
        <v>0</v>
      </c>
      <c r="L126" s="311">
        <f t="shared" ref="L126:L133" si="46">M126+O126</f>
        <v>0</v>
      </c>
      <c r="M126" s="311">
        <v>0</v>
      </c>
      <c r="N126" s="311">
        <v>0</v>
      </c>
      <c r="O126" s="311">
        <v>0</v>
      </c>
      <c r="P126" s="342"/>
      <c r="Q126" s="342"/>
      <c r="R126" s="343"/>
      <c r="S126" s="343"/>
      <c r="T126" s="343"/>
    </row>
    <row r="127" spans="1:20" s="344" customFormat="1">
      <c r="A127" s="348">
        <v>90007</v>
      </c>
      <c r="B127" s="321" t="s">
        <v>45</v>
      </c>
      <c r="C127" s="301">
        <f t="shared" si="43"/>
        <v>59000</v>
      </c>
      <c r="D127" s="311">
        <f t="shared" si="44"/>
        <v>59000</v>
      </c>
      <c r="E127" s="311">
        <f t="shared" si="45"/>
        <v>59000</v>
      </c>
      <c r="F127" s="311">
        <v>0</v>
      </c>
      <c r="G127" s="311">
        <v>59000</v>
      </c>
      <c r="H127" s="311">
        <v>0</v>
      </c>
      <c r="I127" s="311">
        <v>0</v>
      </c>
      <c r="J127" s="311">
        <v>0</v>
      </c>
      <c r="K127" s="311">
        <v>0</v>
      </c>
      <c r="L127" s="311">
        <f t="shared" si="46"/>
        <v>0</v>
      </c>
      <c r="M127" s="311">
        <v>0</v>
      </c>
      <c r="N127" s="311">
        <v>0</v>
      </c>
      <c r="O127" s="311">
        <v>0</v>
      </c>
      <c r="P127" s="342"/>
      <c r="Q127" s="342"/>
      <c r="R127" s="343"/>
      <c r="S127" s="343"/>
      <c r="T127" s="343"/>
    </row>
    <row r="128" spans="1:20" s="344" customFormat="1">
      <c r="A128" s="348">
        <v>90015</v>
      </c>
      <c r="B128" s="321" t="s">
        <v>152</v>
      </c>
      <c r="C128" s="301">
        <f>D128+L128</f>
        <v>391592</v>
      </c>
      <c r="D128" s="311">
        <f>E128+H128+I128+J128+K128</f>
        <v>2800</v>
      </c>
      <c r="E128" s="311">
        <f>F128+G128</f>
        <v>0</v>
      </c>
      <c r="F128" s="311">
        <v>0</v>
      </c>
      <c r="G128" s="311"/>
      <c r="H128" s="311">
        <v>0</v>
      </c>
      <c r="I128" s="311">
        <v>0</v>
      </c>
      <c r="J128" s="311">
        <v>2800</v>
      </c>
      <c r="K128" s="311">
        <v>0</v>
      </c>
      <c r="L128" s="311">
        <f t="shared" si="46"/>
        <v>388792</v>
      </c>
      <c r="M128" s="311">
        <v>388792</v>
      </c>
      <c r="N128" s="311">
        <v>388792</v>
      </c>
      <c r="O128" s="311">
        <v>0</v>
      </c>
      <c r="P128" s="342"/>
      <c r="Q128" s="342"/>
      <c r="R128" s="343"/>
      <c r="S128" s="343"/>
      <c r="T128" s="343"/>
    </row>
    <row r="129" spans="1:20" s="303" customFormat="1" ht="40.5" customHeight="1">
      <c r="A129" s="348">
        <v>90019</v>
      </c>
      <c r="B129" s="321" t="s">
        <v>131</v>
      </c>
      <c r="C129" s="301">
        <f t="shared" si="43"/>
        <v>910000</v>
      </c>
      <c r="D129" s="311">
        <f t="shared" si="44"/>
        <v>910000</v>
      </c>
      <c r="E129" s="311">
        <f t="shared" si="45"/>
        <v>910000</v>
      </c>
      <c r="F129" s="311">
        <v>593600</v>
      </c>
      <c r="G129" s="311">
        <f>10000+300000+400+6000</f>
        <v>316400</v>
      </c>
      <c r="H129" s="311">
        <v>0</v>
      </c>
      <c r="I129" s="311">
        <v>0</v>
      </c>
      <c r="J129" s="311">
        <v>0</v>
      </c>
      <c r="K129" s="311">
        <v>0</v>
      </c>
      <c r="L129" s="311">
        <f t="shared" si="46"/>
        <v>0</v>
      </c>
      <c r="M129" s="311">
        <v>0</v>
      </c>
      <c r="N129" s="311">
        <v>0</v>
      </c>
      <c r="O129" s="311">
        <v>0</v>
      </c>
      <c r="P129" s="322"/>
      <c r="Q129" s="322"/>
      <c r="R129" s="312"/>
      <c r="S129" s="312"/>
      <c r="T129" s="312"/>
    </row>
    <row r="130" spans="1:20" s="303" customFormat="1" ht="28.5" customHeight="1">
      <c r="A130" s="348">
        <v>90020</v>
      </c>
      <c r="B130" s="321" t="s">
        <v>132</v>
      </c>
      <c r="C130" s="301">
        <f t="shared" si="43"/>
        <v>24248</v>
      </c>
      <c r="D130" s="311">
        <f t="shared" si="44"/>
        <v>24248</v>
      </c>
      <c r="E130" s="311">
        <f t="shared" si="45"/>
        <v>24248</v>
      </c>
      <c r="F130" s="311">
        <v>17000</v>
      </c>
      <c r="G130" s="311">
        <f>2748+500+4000</f>
        <v>7248</v>
      </c>
      <c r="H130" s="311">
        <v>0</v>
      </c>
      <c r="I130" s="311">
        <v>0</v>
      </c>
      <c r="J130" s="311">
        <v>0</v>
      </c>
      <c r="K130" s="311">
        <v>0</v>
      </c>
      <c r="L130" s="311">
        <f t="shared" si="46"/>
        <v>0</v>
      </c>
      <c r="M130" s="311">
        <v>0</v>
      </c>
      <c r="N130" s="311">
        <v>0</v>
      </c>
      <c r="O130" s="311">
        <v>0</v>
      </c>
      <c r="P130" s="322"/>
      <c r="Q130" s="322"/>
      <c r="R130" s="312"/>
      <c r="S130" s="312"/>
      <c r="T130" s="312"/>
    </row>
    <row r="131" spans="1:20" s="303" customFormat="1" ht="29.25" customHeight="1">
      <c r="A131" s="348">
        <v>90024</v>
      </c>
      <c r="B131" s="321" t="s">
        <v>464</v>
      </c>
      <c r="C131" s="301">
        <f t="shared" si="43"/>
        <v>3510</v>
      </c>
      <c r="D131" s="311">
        <f t="shared" si="44"/>
        <v>3510</v>
      </c>
      <c r="E131" s="311">
        <f t="shared" si="45"/>
        <v>3510</v>
      </c>
      <c r="F131" s="311">
        <v>0</v>
      </c>
      <c r="G131" s="311">
        <v>3510</v>
      </c>
      <c r="H131" s="311">
        <v>0</v>
      </c>
      <c r="I131" s="311">
        <v>0</v>
      </c>
      <c r="J131" s="311">
        <v>0</v>
      </c>
      <c r="K131" s="311">
        <v>0</v>
      </c>
      <c r="L131" s="311">
        <f t="shared" si="46"/>
        <v>0</v>
      </c>
      <c r="M131" s="311">
        <v>0</v>
      </c>
      <c r="N131" s="311">
        <v>0</v>
      </c>
      <c r="O131" s="311">
        <v>0</v>
      </c>
      <c r="P131" s="322"/>
      <c r="Q131" s="322"/>
      <c r="R131" s="312"/>
      <c r="S131" s="312"/>
      <c r="T131" s="312"/>
    </row>
    <row r="132" spans="1:20" s="303" customFormat="1" ht="27" customHeight="1">
      <c r="A132" s="348">
        <v>90026</v>
      </c>
      <c r="B132" s="321" t="s">
        <v>133</v>
      </c>
      <c r="C132" s="301">
        <f t="shared" si="43"/>
        <v>6273269</v>
      </c>
      <c r="D132" s="311">
        <f t="shared" si="44"/>
        <v>1148574</v>
      </c>
      <c r="E132" s="311">
        <f t="shared" si="45"/>
        <v>120300</v>
      </c>
      <c r="F132" s="311">
        <v>88050</v>
      </c>
      <c r="G132" s="311">
        <f>30250+2000</f>
        <v>32250</v>
      </c>
      <c r="H132" s="311">
        <v>0</v>
      </c>
      <c r="I132" s="311">
        <v>0</v>
      </c>
      <c r="J132" s="311">
        <f>6152969-5124695</f>
        <v>1028274</v>
      </c>
      <c r="K132" s="311">
        <v>0</v>
      </c>
      <c r="L132" s="311">
        <f t="shared" si="46"/>
        <v>5124695</v>
      </c>
      <c r="M132" s="311">
        <v>5124695</v>
      </c>
      <c r="N132" s="311">
        <v>5124695</v>
      </c>
      <c r="O132" s="311">
        <v>0</v>
      </c>
      <c r="P132" s="322"/>
      <c r="Q132" s="322"/>
      <c r="R132" s="312"/>
      <c r="S132" s="312"/>
      <c r="T132" s="312"/>
    </row>
    <row r="133" spans="1:20" s="344" customFormat="1">
      <c r="A133" s="348">
        <v>90095</v>
      </c>
      <c r="B133" s="321" t="s">
        <v>46</v>
      </c>
      <c r="C133" s="301">
        <f t="shared" si="43"/>
        <v>23011746</v>
      </c>
      <c r="D133" s="311">
        <f t="shared" si="44"/>
        <v>1630910</v>
      </c>
      <c r="E133" s="311">
        <f t="shared" si="45"/>
        <v>1585410</v>
      </c>
      <c r="F133" s="311">
        <v>867725</v>
      </c>
      <c r="G133" s="311">
        <f>5000+25350+669335+3000+15000</f>
        <v>717685</v>
      </c>
      <c r="H133" s="311">
        <v>0</v>
      </c>
      <c r="I133" s="311">
        <v>0</v>
      </c>
      <c r="J133" s="311">
        <f>4380+41120</f>
        <v>45500</v>
      </c>
      <c r="K133" s="311">
        <v>0</v>
      </c>
      <c r="L133" s="311">
        <f t="shared" si="46"/>
        <v>21380836</v>
      </c>
      <c r="M133" s="311">
        <f>700000+1325598+17855238</f>
        <v>19880836</v>
      </c>
      <c r="N133" s="311">
        <f>1325598+17855238</f>
        <v>19180836</v>
      </c>
      <c r="O133" s="311">
        <v>1500000</v>
      </c>
      <c r="P133" s="342"/>
      <c r="Q133" s="342"/>
      <c r="R133" s="343"/>
      <c r="S133" s="343"/>
      <c r="T133" s="343"/>
    </row>
    <row r="134" spans="1:20" s="332" customFormat="1" ht="30">
      <c r="A134" s="347">
        <v>921</v>
      </c>
      <c r="B134" s="314" t="s">
        <v>41</v>
      </c>
      <c r="C134" s="339">
        <f>C135+C136+C137+C138+C139+C140+C141+C143+C142</f>
        <v>159235959</v>
      </c>
      <c r="D134" s="316">
        <f>D135+D136+D137+D138+D139+D140+D141+D143+D142</f>
        <v>106472457</v>
      </c>
      <c r="E134" s="316">
        <f t="shared" ref="E134:O134" si="47">E135+E136+E137+E138+E139+E140+E141+E143+E142</f>
        <v>3538718</v>
      </c>
      <c r="F134" s="316">
        <f t="shared" si="47"/>
        <v>143000</v>
      </c>
      <c r="G134" s="316">
        <f t="shared" si="47"/>
        <v>3395718</v>
      </c>
      <c r="H134" s="316">
        <f t="shared" si="47"/>
        <v>102411039</v>
      </c>
      <c r="I134" s="316">
        <f t="shared" si="47"/>
        <v>426000</v>
      </c>
      <c r="J134" s="316">
        <f t="shared" si="47"/>
        <v>96700</v>
      </c>
      <c r="K134" s="316">
        <f t="shared" si="47"/>
        <v>0</v>
      </c>
      <c r="L134" s="316">
        <f t="shared" si="47"/>
        <v>52763502</v>
      </c>
      <c r="M134" s="316">
        <f t="shared" si="47"/>
        <v>52763502</v>
      </c>
      <c r="N134" s="316">
        <f t="shared" si="47"/>
        <v>0</v>
      </c>
      <c r="O134" s="316">
        <f t="shared" si="47"/>
        <v>0</v>
      </c>
      <c r="P134" s="330"/>
      <c r="Q134" s="330"/>
      <c r="R134" s="331"/>
      <c r="S134" s="331"/>
      <c r="T134" s="331"/>
    </row>
    <row r="135" spans="1:20" s="344" customFormat="1">
      <c r="A135" s="348">
        <v>92106</v>
      </c>
      <c r="B135" s="321" t="s">
        <v>465</v>
      </c>
      <c r="C135" s="301">
        <f t="shared" ref="C135:C143" si="48">D135+L135</f>
        <v>76528676</v>
      </c>
      <c r="D135" s="311">
        <f t="shared" ref="D135:D143" si="49">E135+H135+I135+J135+K135</f>
        <v>35020681</v>
      </c>
      <c r="E135" s="311">
        <f t="shared" ref="E135:E143" si="50">F135+G135</f>
        <v>0</v>
      </c>
      <c r="F135" s="311">
        <v>0</v>
      </c>
      <c r="G135" s="311">
        <v>0</v>
      </c>
      <c r="H135" s="311">
        <v>35020681</v>
      </c>
      <c r="I135" s="311">
        <v>0</v>
      </c>
      <c r="J135" s="311">
        <v>0</v>
      </c>
      <c r="K135" s="311">
        <v>0</v>
      </c>
      <c r="L135" s="311">
        <f t="shared" ref="L135:L143" si="51">M135+O135</f>
        <v>41507995</v>
      </c>
      <c r="M135" s="311">
        <v>41507995</v>
      </c>
      <c r="N135" s="311">
        <v>0</v>
      </c>
      <c r="O135" s="311">
        <v>0</v>
      </c>
      <c r="P135" s="342"/>
      <c r="Q135" s="342"/>
      <c r="R135" s="343"/>
      <c r="S135" s="343"/>
      <c r="T135" s="343"/>
    </row>
    <row r="136" spans="1:20" s="344" customFormat="1">
      <c r="A136" s="348">
        <v>92108</v>
      </c>
      <c r="B136" s="321" t="s">
        <v>134</v>
      </c>
      <c r="C136" s="301">
        <f t="shared" si="48"/>
        <v>19113356</v>
      </c>
      <c r="D136" s="311">
        <f t="shared" si="49"/>
        <v>10513162</v>
      </c>
      <c r="E136" s="311">
        <f t="shared" si="50"/>
        <v>0</v>
      </c>
      <c r="F136" s="311">
        <v>0</v>
      </c>
      <c r="G136" s="311">
        <v>0</v>
      </c>
      <c r="H136" s="311">
        <v>10513162</v>
      </c>
      <c r="I136" s="311">
        <v>0</v>
      </c>
      <c r="J136" s="311">
        <v>0</v>
      </c>
      <c r="K136" s="311">
        <v>0</v>
      </c>
      <c r="L136" s="311">
        <f t="shared" si="51"/>
        <v>8600194</v>
      </c>
      <c r="M136" s="311">
        <v>8600194</v>
      </c>
      <c r="N136" s="311">
        <v>0</v>
      </c>
      <c r="O136" s="311">
        <v>0</v>
      </c>
      <c r="P136" s="342"/>
      <c r="Q136" s="342"/>
      <c r="R136" s="343"/>
      <c r="S136" s="343"/>
      <c r="T136" s="343"/>
    </row>
    <row r="137" spans="1:20" s="344" customFormat="1">
      <c r="A137" s="348">
        <v>92109</v>
      </c>
      <c r="B137" s="321" t="s">
        <v>135</v>
      </c>
      <c r="C137" s="301">
        <f t="shared" si="48"/>
        <v>9944114</v>
      </c>
      <c r="D137" s="311">
        <f t="shared" si="49"/>
        <v>8780901</v>
      </c>
      <c r="E137" s="311">
        <f t="shared" si="50"/>
        <v>0</v>
      </c>
      <c r="F137" s="311">
        <v>0</v>
      </c>
      <c r="G137" s="311">
        <v>0</v>
      </c>
      <c r="H137" s="311">
        <v>8780901</v>
      </c>
      <c r="I137" s="311">
        <v>0</v>
      </c>
      <c r="J137" s="311">
        <v>0</v>
      </c>
      <c r="K137" s="311">
        <v>0</v>
      </c>
      <c r="L137" s="311">
        <f t="shared" si="51"/>
        <v>1163213</v>
      </c>
      <c r="M137" s="311">
        <v>1163213</v>
      </c>
      <c r="N137" s="311">
        <v>0</v>
      </c>
      <c r="O137" s="311">
        <v>0</v>
      </c>
      <c r="P137" s="342"/>
      <c r="Q137" s="342"/>
      <c r="R137" s="343"/>
      <c r="S137" s="343"/>
      <c r="T137" s="343"/>
    </row>
    <row r="138" spans="1:20" s="344" customFormat="1">
      <c r="A138" s="348">
        <v>92110</v>
      </c>
      <c r="B138" s="321" t="s">
        <v>136</v>
      </c>
      <c r="C138" s="301">
        <f t="shared" si="48"/>
        <v>2668426</v>
      </c>
      <c r="D138" s="311">
        <f t="shared" si="49"/>
        <v>2668426</v>
      </c>
      <c r="E138" s="311">
        <f t="shared" si="50"/>
        <v>0</v>
      </c>
      <c r="F138" s="311">
        <v>0</v>
      </c>
      <c r="G138" s="311">
        <v>0</v>
      </c>
      <c r="H138" s="311">
        <v>2668426</v>
      </c>
      <c r="I138" s="311">
        <v>0</v>
      </c>
      <c r="J138" s="311">
        <v>0</v>
      </c>
      <c r="K138" s="311">
        <v>0</v>
      </c>
      <c r="L138" s="311">
        <f t="shared" si="51"/>
        <v>0</v>
      </c>
      <c r="M138" s="311">
        <v>0</v>
      </c>
      <c r="N138" s="311">
        <v>0</v>
      </c>
      <c r="O138" s="311">
        <v>0</v>
      </c>
      <c r="P138" s="342"/>
      <c r="Q138" s="342"/>
      <c r="R138" s="343"/>
      <c r="S138" s="343"/>
      <c r="T138" s="343"/>
    </row>
    <row r="139" spans="1:20" s="344" customFormat="1">
      <c r="A139" s="348">
        <v>92113</v>
      </c>
      <c r="B139" s="321" t="s">
        <v>137</v>
      </c>
      <c r="C139" s="301">
        <f t="shared" si="48"/>
        <v>1299500</v>
      </c>
      <c r="D139" s="311">
        <f t="shared" si="49"/>
        <v>1299500</v>
      </c>
      <c r="E139" s="311">
        <f t="shared" si="50"/>
        <v>0</v>
      </c>
      <c r="F139" s="311">
        <v>0</v>
      </c>
      <c r="G139" s="311">
        <v>0</v>
      </c>
      <c r="H139" s="311">
        <v>1299500</v>
      </c>
      <c r="I139" s="311">
        <v>0</v>
      </c>
      <c r="J139" s="311">
        <v>0</v>
      </c>
      <c r="K139" s="311">
        <v>0</v>
      </c>
      <c r="L139" s="311">
        <f t="shared" si="51"/>
        <v>0</v>
      </c>
      <c r="M139" s="311">
        <v>0</v>
      </c>
      <c r="N139" s="311">
        <v>0</v>
      </c>
      <c r="O139" s="311">
        <v>0</v>
      </c>
      <c r="P139" s="342"/>
      <c r="Q139" s="342"/>
      <c r="R139" s="343"/>
      <c r="S139" s="343"/>
      <c r="T139" s="343"/>
    </row>
    <row r="140" spans="1:20" s="344" customFormat="1">
      <c r="A140" s="348">
        <v>92116</v>
      </c>
      <c r="B140" s="321" t="s">
        <v>138</v>
      </c>
      <c r="C140" s="301">
        <f t="shared" si="48"/>
        <v>23493880</v>
      </c>
      <c r="D140" s="311">
        <f t="shared" si="49"/>
        <v>23319890</v>
      </c>
      <c r="E140" s="311">
        <f t="shared" si="50"/>
        <v>0</v>
      </c>
      <c r="F140" s="311">
        <v>0</v>
      </c>
      <c r="G140" s="311">
        <v>0</v>
      </c>
      <c r="H140" s="311">
        <v>23319890</v>
      </c>
      <c r="I140" s="311">
        <v>0</v>
      </c>
      <c r="J140" s="311">
        <v>0</v>
      </c>
      <c r="K140" s="311">
        <v>0</v>
      </c>
      <c r="L140" s="311">
        <f t="shared" si="51"/>
        <v>173990</v>
      </c>
      <c r="M140" s="311">
        <v>173990</v>
      </c>
      <c r="N140" s="311">
        <v>0</v>
      </c>
      <c r="O140" s="311">
        <v>0</v>
      </c>
      <c r="P140" s="342"/>
      <c r="Q140" s="342"/>
      <c r="R140" s="343"/>
      <c r="S140" s="343"/>
      <c r="T140" s="343"/>
    </row>
    <row r="141" spans="1:20" s="344" customFormat="1">
      <c r="A141" s="348">
        <v>92118</v>
      </c>
      <c r="B141" s="321" t="s">
        <v>139</v>
      </c>
      <c r="C141" s="301">
        <f t="shared" si="48"/>
        <v>16161366</v>
      </c>
      <c r="D141" s="311">
        <f t="shared" si="49"/>
        <v>16063479</v>
      </c>
      <c r="E141" s="311">
        <f t="shared" si="50"/>
        <v>0</v>
      </c>
      <c r="F141" s="311">
        <v>0</v>
      </c>
      <c r="G141" s="311">
        <v>0</v>
      </c>
      <c r="H141" s="311">
        <v>16063479</v>
      </c>
      <c r="I141" s="311">
        <v>0</v>
      </c>
      <c r="J141" s="311">
        <v>0</v>
      </c>
      <c r="K141" s="311">
        <v>0</v>
      </c>
      <c r="L141" s="311">
        <f t="shared" si="51"/>
        <v>97887</v>
      </c>
      <c r="M141" s="311">
        <v>97887</v>
      </c>
      <c r="N141" s="311">
        <v>0</v>
      </c>
      <c r="O141" s="311">
        <v>0</v>
      </c>
      <c r="P141" s="342"/>
      <c r="Q141" s="342"/>
      <c r="R141" s="343"/>
      <c r="S141" s="343"/>
      <c r="T141" s="343"/>
    </row>
    <row r="142" spans="1:20" s="344" customFormat="1">
      <c r="A142" s="348">
        <v>92120</v>
      </c>
      <c r="B142" s="321" t="s">
        <v>140</v>
      </c>
      <c r="C142" s="301">
        <f t="shared" si="48"/>
        <v>1200000</v>
      </c>
      <c r="D142" s="311">
        <f t="shared" si="49"/>
        <v>1200000</v>
      </c>
      <c r="E142" s="311">
        <f t="shared" si="50"/>
        <v>75000</v>
      </c>
      <c r="F142" s="311">
        <v>19000</v>
      </c>
      <c r="G142" s="311">
        <f>2000+4000+50000</f>
        <v>56000</v>
      </c>
      <c r="H142" s="311">
        <v>1125000</v>
      </c>
      <c r="I142" s="311">
        <v>0</v>
      </c>
      <c r="J142" s="311">
        <v>0</v>
      </c>
      <c r="K142" s="311">
        <v>0</v>
      </c>
      <c r="L142" s="311">
        <f t="shared" si="51"/>
        <v>0</v>
      </c>
      <c r="M142" s="311">
        <v>0</v>
      </c>
      <c r="N142" s="311">
        <v>0</v>
      </c>
      <c r="O142" s="311">
        <v>0</v>
      </c>
      <c r="P142" s="342"/>
      <c r="Q142" s="342"/>
      <c r="R142" s="343"/>
      <c r="S142" s="343"/>
      <c r="T142" s="343"/>
    </row>
    <row r="143" spans="1:20" s="344" customFormat="1">
      <c r="A143" s="348">
        <v>92195</v>
      </c>
      <c r="B143" s="321" t="s">
        <v>46</v>
      </c>
      <c r="C143" s="301">
        <f t="shared" si="48"/>
        <v>8826641</v>
      </c>
      <c r="D143" s="311">
        <f t="shared" si="49"/>
        <v>7606418</v>
      </c>
      <c r="E143" s="311">
        <f t="shared" si="50"/>
        <v>3463718</v>
      </c>
      <c r="F143" s="311">
        <v>124000</v>
      </c>
      <c r="G143" s="311">
        <f>110000+52000+3177718</f>
        <v>3339718</v>
      </c>
      <c r="H143" s="311">
        <v>3620000</v>
      </c>
      <c r="I143" s="311">
        <v>426000</v>
      </c>
      <c r="J143" s="311">
        <f>82195+14505</f>
        <v>96700</v>
      </c>
      <c r="K143" s="311">
        <v>0</v>
      </c>
      <c r="L143" s="311">
        <f t="shared" si="51"/>
        <v>1220223</v>
      </c>
      <c r="M143" s="311">
        <v>1220223</v>
      </c>
      <c r="N143" s="311">
        <v>0</v>
      </c>
      <c r="O143" s="311">
        <v>0</v>
      </c>
      <c r="P143" s="342"/>
      <c r="Q143" s="342"/>
      <c r="R143" s="343"/>
      <c r="S143" s="343"/>
      <c r="T143" s="343"/>
    </row>
    <row r="144" spans="1:20" s="332" customFormat="1" ht="45">
      <c r="A144" s="347">
        <v>925</v>
      </c>
      <c r="B144" s="314" t="s">
        <v>141</v>
      </c>
      <c r="C144" s="315">
        <f t="shared" ref="C144:O144" si="52">C145</f>
        <v>5738960</v>
      </c>
      <c r="D144" s="316">
        <f t="shared" si="52"/>
        <v>5738960</v>
      </c>
      <c r="E144" s="316">
        <f t="shared" si="52"/>
        <v>5633860</v>
      </c>
      <c r="F144" s="316">
        <f t="shared" si="52"/>
        <v>4333995</v>
      </c>
      <c r="G144" s="316">
        <f t="shared" si="52"/>
        <v>1299865</v>
      </c>
      <c r="H144" s="316">
        <f t="shared" si="52"/>
        <v>0</v>
      </c>
      <c r="I144" s="316">
        <f t="shared" si="52"/>
        <v>105100</v>
      </c>
      <c r="J144" s="316">
        <f t="shared" si="52"/>
        <v>0</v>
      </c>
      <c r="K144" s="316">
        <f t="shared" si="52"/>
        <v>0</v>
      </c>
      <c r="L144" s="316">
        <f t="shared" si="52"/>
        <v>0</v>
      </c>
      <c r="M144" s="316">
        <f t="shared" si="52"/>
        <v>0</v>
      </c>
      <c r="N144" s="316">
        <f>N145</f>
        <v>0</v>
      </c>
      <c r="O144" s="316">
        <f t="shared" si="52"/>
        <v>0</v>
      </c>
      <c r="P144" s="330"/>
      <c r="Q144" s="330"/>
      <c r="R144" s="331"/>
      <c r="S144" s="331"/>
      <c r="T144" s="331"/>
    </row>
    <row r="145" spans="1:20" s="344" customFormat="1">
      <c r="A145" s="348">
        <v>92502</v>
      </c>
      <c r="B145" s="321" t="s">
        <v>142</v>
      </c>
      <c r="C145" s="340">
        <f>D145+L145</f>
        <v>5738960</v>
      </c>
      <c r="D145" s="341">
        <f>E145+H145+I145+J145+K145</f>
        <v>5738960</v>
      </c>
      <c r="E145" s="341">
        <f>F145+G145</f>
        <v>5633860</v>
      </c>
      <c r="F145" s="341">
        <v>4333995</v>
      </c>
      <c r="G145" s="341">
        <f>5738960-105100-3325246-246729-609115-74092-46340-32473</f>
        <v>1299865</v>
      </c>
      <c r="H145" s="341">
        <v>0</v>
      </c>
      <c r="I145" s="341">
        <v>105100</v>
      </c>
      <c r="J145" s="341"/>
      <c r="K145" s="341">
        <v>0</v>
      </c>
      <c r="L145" s="341">
        <f>M145+O145</f>
        <v>0</v>
      </c>
      <c r="M145" s="341">
        <v>0</v>
      </c>
      <c r="N145" s="341">
        <v>0</v>
      </c>
      <c r="O145" s="341">
        <v>0</v>
      </c>
      <c r="P145" s="342"/>
      <c r="Q145" s="342"/>
      <c r="R145" s="343"/>
      <c r="S145" s="343"/>
      <c r="T145" s="343"/>
    </row>
    <row r="146" spans="1:20" s="332" customFormat="1" ht="15">
      <c r="A146" s="347">
        <v>926</v>
      </c>
      <c r="B146" s="314" t="s">
        <v>466</v>
      </c>
      <c r="C146" s="315">
        <f t="shared" ref="C146:O146" si="53">C147</f>
        <v>9390000</v>
      </c>
      <c r="D146" s="316">
        <f t="shared" si="53"/>
        <v>6390000</v>
      </c>
      <c r="E146" s="316">
        <f t="shared" si="53"/>
        <v>378000</v>
      </c>
      <c r="F146" s="316">
        <f t="shared" si="53"/>
        <v>4000</v>
      </c>
      <c r="G146" s="316">
        <f t="shared" si="53"/>
        <v>374000</v>
      </c>
      <c r="H146" s="316">
        <f t="shared" si="53"/>
        <v>5640000</v>
      </c>
      <c r="I146" s="316">
        <f t="shared" si="53"/>
        <v>372000</v>
      </c>
      <c r="J146" s="316">
        <f t="shared" si="53"/>
        <v>0</v>
      </c>
      <c r="K146" s="316">
        <f t="shared" si="53"/>
        <v>0</v>
      </c>
      <c r="L146" s="316">
        <f t="shared" si="53"/>
        <v>3000000</v>
      </c>
      <c r="M146" s="316">
        <f t="shared" si="53"/>
        <v>3000000</v>
      </c>
      <c r="N146" s="316">
        <f>N147</f>
        <v>0</v>
      </c>
      <c r="O146" s="316">
        <f t="shared" si="53"/>
        <v>0</v>
      </c>
      <c r="P146" s="330"/>
      <c r="Q146" s="330"/>
      <c r="R146" s="331"/>
      <c r="S146" s="331"/>
      <c r="T146" s="331"/>
    </row>
    <row r="147" spans="1:20" s="344" customFormat="1">
      <c r="A147" s="348">
        <v>92605</v>
      </c>
      <c r="B147" s="321" t="s">
        <v>143</v>
      </c>
      <c r="C147" s="301">
        <f>D147+L147</f>
        <v>9390000</v>
      </c>
      <c r="D147" s="311">
        <f>E147+H147+I147+J147+K147</f>
        <v>6390000</v>
      </c>
      <c r="E147" s="311">
        <f>F147+G147</f>
        <v>378000</v>
      </c>
      <c r="F147" s="311">
        <v>4000</v>
      </c>
      <c r="G147" s="311">
        <f>20000+80000+2000+270000+2000</f>
        <v>374000</v>
      </c>
      <c r="H147" s="311">
        <v>5640000</v>
      </c>
      <c r="I147" s="311">
        <v>372000</v>
      </c>
      <c r="J147" s="311">
        <v>0</v>
      </c>
      <c r="K147" s="311">
        <v>0</v>
      </c>
      <c r="L147" s="311">
        <f>M147+O147</f>
        <v>3000000</v>
      </c>
      <c r="M147" s="311">
        <v>3000000</v>
      </c>
      <c r="N147" s="311">
        <v>0</v>
      </c>
      <c r="O147" s="311">
        <v>0</v>
      </c>
      <c r="P147" s="342"/>
      <c r="Q147" s="342"/>
      <c r="R147" s="343"/>
      <c r="S147" s="343"/>
      <c r="T147" s="343"/>
    </row>
    <row r="148" spans="1:20" s="303" customFormat="1">
      <c r="A148" s="348"/>
      <c r="B148" s="310"/>
      <c r="C148" s="301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302"/>
      <c r="P148" s="312"/>
      <c r="Q148" s="312"/>
      <c r="R148" s="312"/>
      <c r="S148" s="312"/>
      <c r="T148" s="312"/>
    </row>
    <row r="149" spans="1:20" s="354" customFormat="1" ht="15.75">
      <c r="A149" s="350"/>
      <c r="B149" s="351" t="s">
        <v>416</v>
      </c>
      <c r="C149" s="352">
        <f t="shared" ref="C149:O149" si="54">C15</f>
        <v>1568229829</v>
      </c>
      <c r="D149" s="352">
        <f t="shared" si="54"/>
        <v>859127010</v>
      </c>
      <c r="E149" s="352">
        <f t="shared" si="54"/>
        <v>335068371</v>
      </c>
      <c r="F149" s="352">
        <f t="shared" si="54"/>
        <v>166768902</v>
      </c>
      <c r="G149" s="352">
        <f t="shared" si="54"/>
        <v>168299469</v>
      </c>
      <c r="H149" s="352">
        <f t="shared" si="54"/>
        <v>290152900</v>
      </c>
      <c r="I149" s="352">
        <f t="shared" si="54"/>
        <v>3083955</v>
      </c>
      <c r="J149" s="352">
        <f t="shared" si="54"/>
        <v>177333183</v>
      </c>
      <c r="K149" s="352">
        <f t="shared" si="54"/>
        <v>53488601</v>
      </c>
      <c r="L149" s="352">
        <f t="shared" si="54"/>
        <v>709102819</v>
      </c>
      <c r="M149" s="352">
        <f t="shared" si="54"/>
        <v>676557708</v>
      </c>
      <c r="N149" s="352">
        <f t="shared" si="54"/>
        <v>396912914</v>
      </c>
      <c r="O149" s="352">
        <f t="shared" si="54"/>
        <v>32545111</v>
      </c>
      <c r="P149" s="353"/>
      <c r="Q149" s="353"/>
      <c r="R149" s="353"/>
      <c r="S149" s="353"/>
      <c r="T149" s="353"/>
    </row>
    <row r="150" spans="1:20" ht="9" customHeight="1">
      <c r="A150" s="355"/>
      <c r="B150" s="356"/>
      <c r="P150" s="356"/>
      <c r="Q150" s="356"/>
      <c r="R150" s="356"/>
      <c r="S150" s="356"/>
      <c r="T150" s="356"/>
    </row>
    <row r="151" spans="1:20">
      <c r="A151" s="358"/>
      <c r="C151" s="359"/>
      <c r="D151" s="359"/>
      <c r="E151" s="359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</row>
    <row r="152" spans="1:20">
      <c r="A152" s="358"/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22"/>
    </row>
    <row r="153" spans="1:20">
      <c r="A153" s="358"/>
      <c r="C153" s="359"/>
      <c r="D153" s="359"/>
      <c r="E153" s="359"/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</row>
    <row r="154" spans="1:20">
      <c r="A154" s="358"/>
      <c r="C154" s="359"/>
      <c r="D154" s="360"/>
      <c r="E154" s="360"/>
      <c r="F154" s="360"/>
      <c r="G154" s="360"/>
      <c r="H154" s="360"/>
      <c r="I154" s="360"/>
      <c r="J154" s="360"/>
      <c r="K154" s="360"/>
      <c r="L154" s="360"/>
      <c r="M154" s="360"/>
      <c r="N154" s="360"/>
      <c r="O154" s="360"/>
    </row>
  </sheetData>
  <sheetProtection algorithmName="SHA-512" hashValue="hxxqd5rBMvqOxYh3EvGYemysonUm+igcCJi2X4GydrcUKOoLX8cW/cdFKWfEgLjXyDY44j40AEDsJG7mShdLDQ==" saltValue="LPDZbeyxSdVgPsqoqkH8BA==" spinCount="100000" sheet="1" objects="1" scenarios="1"/>
  <mergeCells count="18">
    <mergeCell ref="H11:H12"/>
    <mergeCell ref="I11:I12"/>
    <mergeCell ref="J11:J12"/>
    <mergeCell ref="K11:K12"/>
    <mergeCell ref="A5:O5"/>
    <mergeCell ref="A6:O6"/>
    <mergeCell ref="A9:A12"/>
    <mergeCell ref="B9:B12"/>
    <mergeCell ref="C9:C12"/>
    <mergeCell ref="D9:O9"/>
    <mergeCell ref="D10:D12"/>
    <mergeCell ref="E10:K10"/>
    <mergeCell ref="L10:L12"/>
    <mergeCell ref="M10:O10"/>
    <mergeCell ref="M11:M12"/>
    <mergeCell ref="O11:O12"/>
    <mergeCell ref="E11:E12"/>
    <mergeCell ref="F11:G11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96"/>
  <sheetViews>
    <sheetView view="pageBreakPreview" topLeftCell="A1159" zoomScaleNormal="100" zoomScaleSheetLayoutView="100" workbookViewId="0">
      <selection activeCell="C1179" sqref="C1179"/>
    </sheetView>
  </sheetViews>
  <sheetFormatPr defaultColWidth="9" defaultRowHeight="15"/>
  <cols>
    <col min="1" max="1" width="10.125" style="9" customWidth="1"/>
    <col min="2" max="2" width="9.375" style="1" customWidth="1"/>
    <col min="3" max="3" width="62.5" style="6" customWidth="1"/>
    <col min="4" max="4" width="15.125" style="7" customWidth="1"/>
    <col min="5" max="16384" width="9" style="2"/>
  </cols>
  <sheetData>
    <row r="1" spans="1:4" s="233" customFormat="1">
      <c r="A1" s="281"/>
      <c r="B1" s="232"/>
      <c r="C1" s="924" t="s">
        <v>319</v>
      </c>
      <c r="D1" s="924"/>
    </row>
    <row r="2" spans="1:4" s="233" customFormat="1">
      <c r="A2" s="281"/>
      <c r="B2" s="232"/>
      <c r="C2" s="924" t="s">
        <v>397</v>
      </c>
      <c r="D2" s="924"/>
    </row>
    <row r="3" spans="1:4" s="233" customFormat="1">
      <c r="A3" s="281"/>
      <c r="B3" s="232"/>
      <c r="C3" s="924" t="s">
        <v>398</v>
      </c>
      <c r="D3" s="924"/>
    </row>
    <row r="4" spans="1:4" s="233" customFormat="1" ht="9" customHeight="1">
      <c r="A4" s="281"/>
      <c r="B4" s="232"/>
      <c r="C4" s="285"/>
      <c r="D4" s="235"/>
    </row>
    <row r="5" spans="1:4" s="233" customFormat="1" ht="18.75">
      <c r="A5" s="925" t="s">
        <v>249</v>
      </c>
      <c r="B5" s="925"/>
      <c r="C5" s="925"/>
      <c r="D5" s="925"/>
    </row>
    <row r="6" spans="1:4" s="233" customFormat="1" ht="18.75">
      <c r="A6" s="925" t="s">
        <v>362</v>
      </c>
      <c r="B6" s="925"/>
      <c r="C6" s="925"/>
      <c r="D6" s="925"/>
    </row>
    <row r="7" spans="1:4" ht="14.25" customHeight="1">
      <c r="A7" s="8"/>
      <c r="B7" s="8"/>
      <c r="C7" s="8"/>
      <c r="D7" s="478" t="s">
        <v>15</v>
      </c>
    </row>
    <row r="8" spans="1:4" s="3" customFormat="1" ht="30">
      <c r="A8" s="278" t="s">
        <v>176</v>
      </c>
      <c r="B8" s="237" t="s">
        <v>177</v>
      </c>
      <c r="C8" s="238" t="s">
        <v>16</v>
      </c>
      <c r="D8" s="239" t="s">
        <v>178</v>
      </c>
    </row>
    <row r="9" spans="1:4" s="4" customFormat="1" ht="13.5" customHeight="1">
      <c r="A9" s="279" t="s">
        <v>18</v>
      </c>
      <c r="B9" s="241" t="s">
        <v>19</v>
      </c>
      <c r="C9" s="242">
        <v>3</v>
      </c>
      <c r="D9" s="243">
        <v>4</v>
      </c>
    </row>
    <row r="10" spans="1:4" s="4" customFormat="1" ht="18.75" customHeight="1">
      <c r="A10" s="241"/>
      <c r="B10" s="241"/>
      <c r="C10" s="245" t="s">
        <v>250</v>
      </c>
      <c r="D10" s="246">
        <f>D11+D84+D126+D160+D191+D262+D303+D328+D372+D414+D419+D643+D647+D655+D661+D665+D943+D1017+D1107+D1248+D1365+D1432+D1502+D1557+D1584</f>
        <v>1568229829</v>
      </c>
    </row>
    <row r="11" spans="1:4" s="5" customFormat="1">
      <c r="A11" s="362" t="s">
        <v>61</v>
      </c>
      <c r="B11" s="362"/>
      <c r="C11" s="280" t="s">
        <v>62</v>
      </c>
      <c r="D11" s="363">
        <f>D12+D14+D63+D74</f>
        <v>16850600</v>
      </c>
    </row>
    <row r="12" spans="1:4" s="5" customFormat="1">
      <c r="A12" s="364" t="s">
        <v>63</v>
      </c>
      <c r="B12" s="365" t="s">
        <v>180</v>
      </c>
      <c r="C12" s="366" t="s">
        <v>64</v>
      </c>
      <c r="D12" s="367">
        <f>D13</f>
        <v>1300000</v>
      </c>
    </row>
    <row r="13" spans="1:4" s="6" customFormat="1" ht="30">
      <c r="A13" s="368" t="s">
        <v>180</v>
      </c>
      <c r="B13" s="369">
        <v>2710</v>
      </c>
      <c r="C13" s="370" t="s">
        <v>313</v>
      </c>
      <c r="D13" s="371">
        <v>1300000</v>
      </c>
    </row>
    <row r="14" spans="1:4" s="5" customFormat="1">
      <c r="A14" s="364" t="s">
        <v>65</v>
      </c>
      <c r="B14" s="365" t="s">
        <v>180</v>
      </c>
      <c r="C14" s="366" t="s">
        <v>181</v>
      </c>
      <c r="D14" s="367">
        <f>SUM(D15:D62)</f>
        <v>6725000</v>
      </c>
    </row>
    <row r="15" spans="1:4" s="6" customFormat="1" ht="60">
      <c r="A15" s="368" t="s">
        <v>180</v>
      </c>
      <c r="B15" s="369">
        <v>2008</v>
      </c>
      <c r="C15" s="370" t="s">
        <v>252</v>
      </c>
      <c r="D15" s="371">
        <v>254370</v>
      </c>
    </row>
    <row r="16" spans="1:4" s="6" customFormat="1" ht="60">
      <c r="A16" s="368" t="s">
        <v>180</v>
      </c>
      <c r="B16" s="369">
        <v>2009</v>
      </c>
      <c r="C16" s="370" t="s">
        <v>252</v>
      </c>
      <c r="D16" s="371">
        <v>145630</v>
      </c>
    </row>
    <row r="17" spans="1:4" s="6" customFormat="1" ht="60">
      <c r="A17" s="368" t="s">
        <v>180</v>
      </c>
      <c r="B17" s="369">
        <v>2058</v>
      </c>
      <c r="C17" s="370" t="s">
        <v>381</v>
      </c>
      <c r="D17" s="371">
        <v>63630</v>
      </c>
    </row>
    <row r="18" spans="1:4" s="6" customFormat="1" ht="60">
      <c r="A18" s="368" t="s">
        <v>180</v>
      </c>
      <c r="B18" s="369">
        <v>2059</v>
      </c>
      <c r="C18" s="370" t="s">
        <v>381</v>
      </c>
      <c r="D18" s="371">
        <v>36370</v>
      </c>
    </row>
    <row r="19" spans="1:4" s="6" customFormat="1" ht="45">
      <c r="A19" s="368" t="s">
        <v>180</v>
      </c>
      <c r="B19" s="369">
        <v>2910</v>
      </c>
      <c r="C19" s="370" t="s">
        <v>253</v>
      </c>
      <c r="D19" s="371">
        <v>12500</v>
      </c>
    </row>
    <row r="20" spans="1:4" s="6" customFormat="1">
      <c r="A20" s="368" t="s">
        <v>180</v>
      </c>
      <c r="B20" s="369">
        <v>4018</v>
      </c>
      <c r="C20" s="370" t="s">
        <v>254</v>
      </c>
      <c r="D20" s="371">
        <v>2324018</v>
      </c>
    </row>
    <row r="21" spans="1:4" s="6" customFormat="1">
      <c r="A21" s="368" t="s">
        <v>180</v>
      </c>
      <c r="B21" s="369">
        <v>4019</v>
      </c>
      <c r="C21" s="370" t="s">
        <v>254</v>
      </c>
      <c r="D21" s="371">
        <v>1328376</v>
      </c>
    </row>
    <row r="22" spans="1:4" s="6" customFormat="1">
      <c r="A22" s="368" t="s">
        <v>180</v>
      </c>
      <c r="B22" s="369">
        <v>4048</v>
      </c>
      <c r="C22" s="370" t="s">
        <v>255</v>
      </c>
      <c r="D22" s="371">
        <v>171801</v>
      </c>
    </row>
    <row r="23" spans="1:4" s="6" customFormat="1">
      <c r="A23" s="368" t="s">
        <v>180</v>
      </c>
      <c r="B23" s="369">
        <v>4049</v>
      </c>
      <c r="C23" s="370" t="s">
        <v>255</v>
      </c>
      <c r="D23" s="371">
        <v>98199</v>
      </c>
    </row>
    <row r="24" spans="1:4" s="6" customFormat="1">
      <c r="A24" s="368" t="s">
        <v>180</v>
      </c>
      <c r="B24" s="369">
        <v>4118</v>
      </c>
      <c r="C24" s="370" t="s">
        <v>256</v>
      </c>
      <c r="D24" s="371">
        <v>432408</v>
      </c>
    </row>
    <row r="25" spans="1:4" s="6" customFormat="1">
      <c r="A25" s="368" t="s">
        <v>180</v>
      </c>
      <c r="B25" s="369">
        <v>4119</v>
      </c>
      <c r="C25" s="370" t="s">
        <v>256</v>
      </c>
      <c r="D25" s="371">
        <v>247158</v>
      </c>
    </row>
    <row r="26" spans="1:4" s="6" customFormat="1">
      <c r="A26" s="368" t="s">
        <v>180</v>
      </c>
      <c r="B26" s="369">
        <v>4128</v>
      </c>
      <c r="C26" s="370" t="s">
        <v>257</v>
      </c>
      <c r="D26" s="371">
        <v>60086</v>
      </c>
    </row>
    <row r="27" spans="1:4" s="6" customFormat="1">
      <c r="A27" s="368" t="s">
        <v>180</v>
      </c>
      <c r="B27" s="369">
        <v>4129</v>
      </c>
      <c r="C27" s="370" t="s">
        <v>257</v>
      </c>
      <c r="D27" s="371">
        <v>34343</v>
      </c>
    </row>
    <row r="28" spans="1:4" s="6" customFormat="1">
      <c r="A28" s="368" t="s">
        <v>180</v>
      </c>
      <c r="B28" s="369">
        <v>4178</v>
      </c>
      <c r="C28" s="370" t="s">
        <v>258</v>
      </c>
      <c r="D28" s="371">
        <v>22271</v>
      </c>
    </row>
    <row r="29" spans="1:4" s="6" customFormat="1">
      <c r="A29" s="368" t="s">
        <v>180</v>
      </c>
      <c r="B29" s="369">
        <v>4179</v>
      </c>
      <c r="C29" s="370" t="s">
        <v>258</v>
      </c>
      <c r="D29" s="371">
        <v>12729</v>
      </c>
    </row>
    <row r="30" spans="1:4" s="6" customFormat="1">
      <c r="A30" s="368" t="s">
        <v>180</v>
      </c>
      <c r="B30" s="369">
        <v>4198</v>
      </c>
      <c r="C30" s="370" t="s">
        <v>259</v>
      </c>
      <c r="D30" s="371">
        <v>3181</v>
      </c>
    </row>
    <row r="31" spans="1:4" s="6" customFormat="1">
      <c r="A31" s="368" t="s">
        <v>180</v>
      </c>
      <c r="B31" s="369">
        <v>4199</v>
      </c>
      <c r="C31" s="370" t="s">
        <v>259</v>
      </c>
      <c r="D31" s="371">
        <v>1819</v>
      </c>
    </row>
    <row r="32" spans="1:4" s="6" customFormat="1">
      <c r="A32" s="368" t="s">
        <v>180</v>
      </c>
      <c r="B32" s="369">
        <v>4218</v>
      </c>
      <c r="C32" s="370" t="s">
        <v>260</v>
      </c>
      <c r="D32" s="371">
        <v>86536</v>
      </c>
    </row>
    <row r="33" spans="1:4" s="6" customFormat="1">
      <c r="A33" s="368" t="s">
        <v>180</v>
      </c>
      <c r="B33" s="369">
        <v>4219</v>
      </c>
      <c r="C33" s="370" t="s">
        <v>260</v>
      </c>
      <c r="D33" s="371">
        <v>49464</v>
      </c>
    </row>
    <row r="34" spans="1:4" s="6" customFormat="1">
      <c r="A34" s="368" t="s">
        <v>180</v>
      </c>
      <c r="B34" s="369">
        <v>4228</v>
      </c>
      <c r="C34" s="370" t="s">
        <v>261</v>
      </c>
      <c r="D34" s="371">
        <v>2863</v>
      </c>
    </row>
    <row r="35" spans="1:4" s="6" customFormat="1">
      <c r="A35" s="368" t="s">
        <v>180</v>
      </c>
      <c r="B35" s="369">
        <v>4229</v>
      </c>
      <c r="C35" s="370" t="s">
        <v>261</v>
      </c>
      <c r="D35" s="371">
        <v>1637</v>
      </c>
    </row>
    <row r="36" spans="1:4" s="6" customFormat="1">
      <c r="A36" s="368" t="s">
        <v>180</v>
      </c>
      <c r="B36" s="369">
        <v>4268</v>
      </c>
      <c r="C36" s="370" t="s">
        <v>262</v>
      </c>
      <c r="D36" s="371">
        <v>50904</v>
      </c>
    </row>
    <row r="37" spans="1:4" s="6" customFormat="1">
      <c r="A37" s="368" t="s">
        <v>180</v>
      </c>
      <c r="B37" s="369">
        <v>4269</v>
      </c>
      <c r="C37" s="370" t="s">
        <v>262</v>
      </c>
      <c r="D37" s="371">
        <v>29096</v>
      </c>
    </row>
    <row r="38" spans="1:4" s="6" customFormat="1">
      <c r="A38" s="368" t="s">
        <v>180</v>
      </c>
      <c r="B38" s="369">
        <v>4278</v>
      </c>
      <c r="C38" s="370" t="s">
        <v>263</v>
      </c>
      <c r="D38" s="371">
        <v>12089</v>
      </c>
    </row>
    <row r="39" spans="1:4" s="6" customFormat="1">
      <c r="A39" s="368" t="s">
        <v>180</v>
      </c>
      <c r="B39" s="369">
        <v>4279</v>
      </c>
      <c r="C39" s="370" t="s">
        <v>263</v>
      </c>
      <c r="D39" s="371">
        <v>6911</v>
      </c>
    </row>
    <row r="40" spans="1:4" s="6" customFormat="1">
      <c r="A40" s="368" t="s">
        <v>180</v>
      </c>
      <c r="B40" s="369">
        <v>4308</v>
      </c>
      <c r="C40" s="370" t="s">
        <v>264</v>
      </c>
      <c r="D40" s="371">
        <v>433142</v>
      </c>
    </row>
    <row r="41" spans="1:4" s="6" customFormat="1">
      <c r="A41" s="368" t="s">
        <v>180</v>
      </c>
      <c r="B41" s="369">
        <v>4309</v>
      </c>
      <c r="C41" s="370" t="s">
        <v>264</v>
      </c>
      <c r="D41" s="371">
        <v>246958</v>
      </c>
    </row>
    <row r="42" spans="1:4" s="6" customFormat="1">
      <c r="A42" s="368" t="s">
        <v>180</v>
      </c>
      <c r="B42" s="369">
        <v>4368</v>
      </c>
      <c r="C42" s="370" t="s">
        <v>265</v>
      </c>
      <c r="D42" s="371">
        <v>9036</v>
      </c>
    </row>
    <row r="43" spans="1:4" s="6" customFormat="1">
      <c r="A43" s="368" t="s">
        <v>180</v>
      </c>
      <c r="B43" s="369">
        <v>4369</v>
      </c>
      <c r="C43" s="370" t="s">
        <v>265</v>
      </c>
      <c r="D43" s="371">
        <v>5164</v>
      </c>
    </row>
    <row r="44" spans="1:4" s="6" customFormat="1">
      <c r="A44" s="368" t="s">
        <v>180</v>
      </c>
      <c r="B44" s="369">
        <v>4388</v>
      </c>
      <c r="C44" s="370" t="s">
        <v>382</v>
      </c>
      <c r="D44" s="371">
        <v>1909</v>
      </c>
    </row>
    <row r="45" spans="1:4" s="6" customFormat="1">
      <c r="A45" s="368" t="s">
        <v>180</v>
      </c>
      <c r="B45" s="369">
        <v>4389</v>
      </c>
      <c r="C45" s="370" t="s">
        <v>382</v>
      </c>
      <c r="D45" s="371">
        <v>1091</v>
      </c>
    </row>
    <row r="46" spans="1:4" s="6" customFormat="1">
      <c r="A46" s="368" t="s">
        <v>180</v>
      </c>
      <c r="B46" s="369">
        <v>4398</v>
      </c>
      <c r="C46" s="370" t="s">
        <v>281</v>
      </c>
      <c r="D46" s="371">
        <v>6363</v>
      </c>
    </row>
    <row r="47" spans="1:4" s="6" customFormat="1" ht="15" customHeight="1">
      <c r="A47" s="368" t="s">
        <v>180</v>
      </c>
      <c r="B47" s="369">
        <v>4399</v>
      </c>
      <c r="C47" s="370" t="s">
        <v>281</v>
      </c>
      <c r="D47" s="371">
        <v>3637</v>
      </c>
    </row>
    <row r="48" spans="1:4" s="6" customFormat="1" ht="15" customHeight="1">
      <c r="A48" s="368" t="s">
        <v>180</v>
      </c>
      <c r="B48" s="369">
        <v>4408</v>
      </c>
      <c r="C48" s="370" t="s">
        <v>266</v>
      </c>
      <c r="D48" s="371">
        <v>244975</v>
      </c>
    </row>
    <row r="49" spans="1:4" s="6" customFormat="1" ht="15" customHeight="1">
      <c r="A49" s="368" t="s">
        <v>180</v>
      </c>
      <c r="B49" s="369">
        <v>4409</v>
      </c>
      <c r="C49" s="370" t="s">
        <v>266</v>
      </c>
      <c r="D49" s="371">
        <v>140025</v>
      </c>
    </row>
    <row r="50" spans="1:4" s="6" customFormat="1">
      <c r="A50" s="372" t="s">
        <v>180</v>
      </c>
      <c r="B50" s="373">
        <v>4418</v>
      </c>
      <c r="C50" s="374" t="s">
        <v>267</v>
      </c>
      <c r="D50" s="375">
        <v>8272</v>
      </c>
    </row>
    <row r="51" spans="1:4" s="6" customFormat="1">
      <c r="A51" s="376" t="s">
        <v>180</v>
      </c>
      <c r="B51" s="377">
        <v>4419</v>
      </c>
      <c r="C51" s="378" t="s">
        <v>267</v>
      </c>
      <c r="D51" s="379">
        <v>4728</v>
      </c>
    </row>
    <row r="52" spans="1:4" s="6" customFormat="1">
      <c r="A52" s="368" t="s">
        <v>180</v>
      </c>
      <c r="B52" s="369">
        <v>4428</v>
      </c>
      <c r="C52" s="370" t="s">
        <v>268</v>
      </c>
      <c r="D52" s="371">
        <v>15907</v>
      </c>
    </row>
    <row r="53" spans="1:4" s="6" customFormat="1">
      <c r="A53" s="368" t="s">
        <v>180</v>
      </c>
      <c r="B53" s="369">
        <v>4429</v>
      </c>
      <c r="C53" s="370" t="s">
        <v>268</v>
      </c>
      <c r="D53" s="371">
        <v>9093</v>
      </c>
    </row>
    <row r="54" spans="1:4" s="6" customFormat="1">
      <c r="A54" s="368" t="s">
        <v>180</v>
      </c>
      <c r="B54" s="369">
        <v>4438</v>
      </c>
      <c r="C54" s="370" t="s">
        <v>269</v>
      </c>
      <c r="D54" s="371">
        <v>3499</v>
      </c>
    </row>
    <row r="55" spans="1:4" s="6" customFormat="1">
      <c r="A55" s="368" t="s">
        <v>180</v>
      </c>
      <c r="B55" s="369">
        <v>4439</v>
      </c>
      <c r="C55" s="370" t="s">
        <v>269</v>
      </c>
      <c r="D55" s="371">
        <v>2001</v>
      </c>
    </row>
    <row r="56" spans="1:4" s="6" customFormat="1">
      <c r="A56" s="368" t="s">
        <v>180</v>
      </c>
      <c r="B56" s="369">
        <v>4708</v>
      </c>
      <c r="C56" s="370" t="s">
        <v>270</v>
      </c>
      <c r="D56" s="371">
        <v>17180</v>
      </c>
    </row>
    <row r="57" spans="1:4" s="6" customFormat="1">
      <c r="A57" s="368" t="s">
        <v>180</v>
      </c>
      <c r="B57" s="369">
        <v>4709</v>
      </c>
      <c r="C57" s="370" t="s">
        <v>270</v>
      </c>
      <c r="D57" s="371">
        <v>9820</v>
      </c>
    </row>
    <row r="58" spans="1:4" s="6" customFormat="1">
      <c r="A58" s="368" t="s">
        <v>180</v>
      </c>
      <c r="B58" s="369">
        <v>4718</v>
      </c>
      <c r="C58" s="370" t="s">
        <v>294</v>
      </c>
      <c r="D58" s="371">
        <v>13560</v>
      </c>
    </row>
    <row r="59" spans="1:4" s="6" customFormat="1">
      <c r="A59" s="368" t="s">
        <v>180</v>
      </c>
      <c r="B59" s="369">
        <v>4719</v>
      </c>
      <c r="C59" s="370" t="s">
        <v>294</v>
      </c>
      <c r="D59" s="371">
        <v>7751</v>
      </c>
    </row>
    <row r="60" spans="1:4" s="6" customFormat="1">
      <c r="A60" s="368" t="s">
        <v>180</v>
      </c>
      <c r="B60" s="369">
        <v>6068</v>
      </c>
      <c r="C60" s="370" t="s">
        <v>295</v>
      </c>
      <c r="D60" s="371">
        <v>32000</v>
      </c>
    </row>
    <row r="61" spans="1:4" s="6" customFormat="1">
      <c r="A61" s="368" t="s">
        <v>180</v>
      </c>
      <c r="B61" s="369">
        <v>6069</v>
      </c>
      <c r="C61" s="370" t="s">
        <v>295</v>
      </c>
      <c r="D61" s="371">
        <v>18000</v>
      </c>
    </row>
    <row r="62" spans="1:4" s="6" customFormat="1" ht="60">
      <c r="A62" s="368" t="s">
        <v>180</v>
      </c>
      <c r="B62" s="369">
        <v>6660</v>
      </c>
      <c r="C62" s="370" t="s">
        <v>271</v>
      </c>
      <c r="D62" s="371">
        <v>2500</v>
      </c>
    </row>
    <row r="63" spans="1:4" s="5" customFormat="1">
      <c r="A63" s="364" t="s">
        <v>66</v>
      </c>
      <c r="B63" s="365" t="s">
        <v>180</v>
      </c>
      <c r="C63" s="366" t="s">
        <v>67</v>
      </c>
      <c r="D63" s="367">
        <f>SUM(D64:D73)</f>
        <v>8080000</v>
      </c>
    </row>
    <row r="64" spans="1:4" s="6" customFormat="1" ht="15.2" customHeight="1">
      <c r="A64" s="368" t="s">
        <v>180</v>
      </c>
      <c r="B64" s="369">
        <v>4010</v>
      </c>
      <c r="C64" s="370" t="s">
        <v>254</v>
      </c>
      <c r="D64" s="371">
        <v>214930</v>
      </c>
    </row>
    <row r="65" spans="1:4" s="6" customFormat="1" ht="15.2" customHeight="1">
      <c r="A65" s="368" t="s">
        <v>180</v>
      </c>
      <c r="B65" s="369">
        <v>4040</v>
      </c>
      <c r="C65" s="370" t="s">
        <v>255</v>
      </c>
      <c r="D65" s="371">
        <v>18270</v>
      </c>
    </row>
    <row r="66" spans="1:4" s="6" customFormat="1" ht="15.2" customHeight="1">
      <c r="A66" s="368" t="s">
        <v>180</v>
      </c>
      <c r="B66" s="369">
        <v>4110</v>
      </c>
      <c r="C66" s="370" t="s">
        <v>256</v>
      </c>
      <c r="D66" s="371">
        <v>40087</v>
      </c>
    </row>
    <row r="67" spans="1:4" s="6" customFormat="1" ht="15.2" customHeight="1">
      <c r="A67" s="368" t="s">
        <v>180</v>
      </c>
      <c r="B67" s="369">
        <v>4120</v>
      </c>
      <c r="C67" s="370" t="s">
        <v>257</v>
      </c>
      <c r="D67" s="371">
        <v>5713</v>
      </c>
    </row>
    <row r="68" spans="1:4" s="6" customFormat="1" ht="15.2" customHeight="1">
      <c r="A68" s="368" t="s">
        <v>180</v>
      </c>
      <c r="B68" s="369">
        <v>4210</v>
      </c>
      <c r="C68" s="370" t="s">
        <v>260</v>
      </c>
      <c r="D68" s="371">
        <v>15000</v>
      </c>
    </row>
    <row r="69" spans="1:4" s="6" customFormat="1" ht="15.2" customHeight="1">
      <c r="A69" s="368" t="s">
        <v>180</v>
      </c>
      <c r="B69" s="369">
        <v>4300</v>
      </c>
      <c r="C69" s="370" t="s">
        <v>264</v>
      </c>
      <c r="D69" s="371">
        <v>500</v>
      </c>
    </row>
    <row r="70" spans="1:4" s="6" customFormat="1" ht="15.2" customHeight="1">
      <c r="A70" s="368" t="s">
        <v>180</v>
      </c>
      <c r="B70" s="369">
        <v>4610</v>
      </c>
      <c r="C70" s="370" t="s">
        <v>272</v>
      </c>
      <c r="D70" s="371">
        <v>6500</v>
      </c>
    </row>
    <row r="71" spans="1:4" s="6" customFormat="1" ht="15.2" customHeight="1">
      <c r="A71" s="368" t="s">
        <v>180</v>
      </c>
      <c r="B71" s="369">
        <v>4700</v>
      </c>
      <c r="C71" s="370" t="s">
        <v>270</v>
      </c>
      <c r="D71" s="371">
        <v>3000</v>
      </c>
    </row>
    <row r="72" spans="1:4" s="6" customFormat="1" ht="45">
      <c r="A72" s="368" t="s">
        <v>180</v>
      </c>
      <c r="B72" s="369">
        <v>6230</v>
      </c>
      <c r="C72" s="370" t="s">
        <v>273</v>
      </c>
      <c r="D72" s="371">
        <v>500000</v>
      </c>
    </row>
    <row r="73" spans="1:4" s="6" customFormat="1" ht="32.450000000000003" customHeight="1">
      <c r="A73" s="368" t="s">
        <v>180</v>
      </c>
      <c r="B73" s="369">
        <v>6610</v>
      </c>
      <c r="C73" s="370" t="s">
        <v>274</v>
      </c>
      <c r="D73" s="371">
        <v>7276000</v>
      </c>
    </row>
    <row r="74" spans="1:4" s="5" customFormat="1">
      <c r="A74" s="364" t="s">
        <v>68</v>
      </c>
      <c r="B74" s="365" t="s">
        <v>180</v>
      </c>
      <c r="C74" s="366" t="s">
        <v>46</v>
      </c>
      <c r="D74" s="367">
        <f>SUM(D75:D83)</f>
        <v>745600</v>
      </c>
    </row>
    <row r="75" spans="1:4" s="6" customFormat="1" ht="32.25" customHeight="1">
      <c r="A75" s="368" t="s">
        <v>180</v>
      </c>
      <c r="B75" s="369">
        <v>2310</v>
      </c>
      <c r="C75" s="370" t="s">
        <v>275</v>
      </c>
      <c r="D75" s="371">
        <v>60000</v>
      </c>
    </row>
    <row r="76" spans="1:4" s="6" customFormat="1" ht="32.25" customHeight="1">
      <c r="A76" s="368" t="s">
        <v>180</v>
      </c>
      <c r="B76" s="369">
        <v>2830</v>
      </c>
      <c r="C76" s="370" t="s">
        <v>251</v>
      </c>
      <c r="D76" s="371">
        <v>75000</v>
      </c>
    </row>
    <row r="77" spans="1:4" s="6" customFormat="1" ht="15.2" customHeight="1">
      <c r="A77" s="368" t="s">
        <v>180</v>
      </c>
      <c r="B77" s="369">
        <v>4190</v>
      </c>
      <c r="C77" s="370" t="s">
        <v>259</v>
      </c>
      <c r="D77" s="371">
        <v>177000</v>
      </c>
    </row>
    <row r="78" spans="1:4" s="6" customFormat="1" ht="15.2" customHeight="1">
      <c r="A78" s="368" t="s">
        <v>180</v>
      </c>
      <c r="B78" s="369">
        <v>4210</v>
      </c>
      <c r="C78" s="370" t="s">
        <v>260</v>
      </c>
      <c r="D78" s="371">
        <v>3000</v>
      </c>
    </row>
    <row r="79" spans="1:4" s="6" customFormat="1" ht="15.2" customHeight="1">
      <c r="A79" s="368" t="s">
        <v>180</v>
      </c>
      <c r="B79" s="369">
        <v>4220</v>
      </c>
      <c r="C79" s="370" t="s">
        <v>261</v>
      </c>
      <c r="D79" s="371">
        <v>2000</v>
      </c>
    </row>
    <row r="80" spans="1:4" s="6" customFormat="1" ht="15.2" customHeight="1">
      <c r="A80" s="368" t="s">
        <v>180</v>
      </c>
      <c r="B80" s="369">
        <v>4300</v>
      </c>
      <c r="C80" s="370" t="s">
        <v>264</v>
      </c>
      <c r="D80" s="371">
        <v>305600</v>
      </c>
    </row>
    <row r="81" spans="1:4" s="6" customFormat="1" ht="15.2" customHeight="1">
      <c r="A81" s="368" t="s">
        <v>180</v>
      </c>
      <c r="B81" s="369">
        <v>4530</v>
      </c>
      <c r="C81" s="370" t="s">
        <v>276</v>
      </c>
      <c r="D81" s="371">
        <v>2000</v>
      </c>
    </row>
    <row r="82" spans="1:4" s="6" customFormat="1" ht="15.2" customHeight="1">
      <c r="A82" s="368" t="s">
        <v>180</v>
      </c>
      <c r="B82" s="369">
        <v>4540</v>
      </c>
      <c r="C82" s="370" t="s">
        <v>277</v>
      </c>
      <c r="D82" s="371">
        <v>9000</v>
      </c>
    </row>
    <row r="83" spans="1:4" s="6" customFormat="1" ht="15.2" customHeight="1">
      <c r="A83" s="368" t="s">
        <v>180</v>
      </c>
      <c r="B83" s="369">
        <v>4590</v>
      </c>
      <c r="C83" s="370" t="s">
        <v>383</v>
      </c>
      <c r="D83" s="371">
        <v>112000</v>
      </c>
    </row>
    <row r="84" spans="1:4" s="6" customFormat="1">
      <c r="A84" s="362" t="s">
        <v>21</v>
      </c>
      <c r="B84" s="380" t="s">
        <v>180</v>
      </c>
      <c r="C84" s="264" t="s">
        <v>22</v>
      </c>
      <c r="D84" s="363">
        <f>D85+D121</f>
        <v>356000</v>
      </c>
    </row>
    <row r="85" spans="1:4" s="5" customFormat="1" ht="45">
      <c r="A85" s="364" t="s">
        <v>69</v>
      </c>
      <c r="B85" s="365" t="s">
        <v>180</v>
      </c>
      <c r="C85" s="366" t="s">
        <v>70</v>
      </c>
      <c r="D85" s="367">
        <f>SUM(D86:D120)</f>
        <v>288000</v>
      </c>
    </row>
    <row r="86" spans="1:4" s="6" customFormat="1" ht="45">
      <c r="A86" s="368" t="s">
        <v>180</v>
      </c>
      <c r="B86" s="369">
        <v>2910</v>
      </c>
      <c r="C86" s="370" t="s">
        <v>253</v>
      </c>
      <c r="D86" s="371">
        <v>8000</v>
      </c>
    </row>
    <row r="87" spans="1:4" s="6" customFormat="1" ht="15.2" customHeight="1">
      <c r="A87" s="368" t="s">
        <v>180</v>
      </c>
      <c r="B87" s="369">
        <v>4018</v>
      </c>
      <c r="C87" s="370" t="s">
        <v>254</v>
      </c>
      <c r="D87" s="371">
        <v>111729</v>
      </c>
    </row>
    <row r="88" spans="1:4" s="6" customFormat="1" ht="15.2" customHeight="1">
      <c r="A88" s="368" t="s">
        <v>180</v>
      </c>
      <c r="B88" s="369">
        <v>4019</v>
      </c>
      <c r="C88" s="370" t="s">
        <v>254</v>
      </c>
      <c r="D88" s="371">
        <v>37243</v>
      </c>
    </row>
    <row r="89" spans="1:4" s="6" customFormat="1" ht="15.2" customHeight="1">
      <c r="A89" s="368" t="s">
        <v>180</v>
      </c>
      <c r="B89" s="369">
        <v>4048</v>
      </c>
      <c r="C89" s="370" t="s">
        <v>255</v>
      </c>
      <c r="D89" s="371">
        <v>11250</v>
      </c>
    </row>
    <row r="90" spans="1:4" s="6" customFormat="1" ht="15.2" customHeight="1">
      <c r="A90" s="368" t="s">
        <v>180</v>
      </c>
      <c r="B90" s="369">
        <v>4049</v>
      </c>
      <c r="C90" s="370" t="s">
        <v>255</v>
      </c>
      <c r="D90" s="371">
        <v>3750</v>
      </c>
    </row>
    <row r="91" spans="1:4" s="6" customFormat="1" ht="15.2" customHeight="1">
      <c r="A91" s="368" t="s">
        <v>180</v>
      </c>
      <c r="B91" s="369">
        <v>4118</v>
      </c>
      <c r="C91" s="370" t="s">
        <v>256</v>
      </c>
      <c r="D91" s="371">
        <v>21463</v>
      </c>
    </row>
    <row r="92" spans="1:4" s="6" customFormat="1" ht="15.2" customHeight="1">
      <c r="A92" s="368" t="s">
        <v>180</v>
      </c>
      <c r="B92" s="369">
        <v>4119</v>
      </c>
      <c r="C92" s="370" t="s">
        <v>256</v>
      </c>
      <c r="D92" s="371">
        <v>7154</v>
      </c>
    </row>
    <row r="93" spans="1:4" s="6" customFormat="1" ht="15.2" customHeight="1">
      <c r="A93" s="368" t="s">
        <v>180</v>
      </c>
      <c r="B93" s="369">
        <v>4128</v>
      </c>
      <c r="C93" s="370" t="s">
        <v>257</v>
      </c>
      <c r="D93" s="371">
        <v>3059</v>
      </c>
    </row>
    <row r="94" spans="1:4" s="6" customFormat="1" ht="15.2" customHeight="1">
      <c r="A94" s="368" t="s">
        <v>180</v>
      </c>
      <c r="B94" s="369">
        <v>4129</v>
      </c>
      <c r="C94" s="370" t="s">
        <v>257</v>
      </c>
      <c r="D94" s="371">
        <v>1020</v>
      </c>
    </row>
    <row r="95" spans="1:4" s="6" customFormat="1" ht="15.2" customHeight="1">
      <c r="A95" s="368" t="s">
        <v>180</v>
      </c>
      <c r="B95" s="369">
        <v>4178</v>
      </c>
      <c r="C95" s="370" t="s">
        <v>258</v>
      </c>
      <c r="D95" s="371">
        <v>1875</v>
      </c>
    </row>
    <row r="96" spans="1:4" s="6" customFormat="1">
      <c r="A96" s="368" t="s">
        <v>180</v>
      </c>
      <c r="B96" s="369">
        <v>4179</v>
      </c>
      <c r="C96" s="370" t="s">
        <v>258</v>
      </c>
      <c r="D96" s="371">
        <v>625</v>
      </c>
    </row>
    <row r="97" spans="1:4" s="6" customFormat="1">
      <c r="A97" s="368" t="s">
        <v>180</v>
      </c>
      <c r="B97" s="369">
        <v>4218</v>
      </c>
      <c r="C97" s="370" t="s">
        <v>260</v>
      </c>
      <c r="D97" s="371">
        <v>11250</v>
      </c>
    </row>
    <row r="98" spans="1:4" s="6" customFormat="1">
      <c r="A98" s="368" t="s">
        <v>180</v>
      </c>
      <c r="B98" s="369">
        <v>4219</v>
      </c>
      <c r="C98" s="370" t="s">
        <v>260</v>
      </c>
      <c r="D98" s="371">
        <v>3750</v>
      </c>
    </row>
    <row r="99" spans="1:4" s="6" customFormat="1">
      <c r="A99" s="368" t="s">
        <v>180</v>
      </c>
      <c r="B99" s="369">
        <v>4228</v>
      </c>
      <c r="C99" s="370" t="s">
        <v>261</v>
      </c>
      <c r="D99" s="371">
        <v>1500</v>
      </c>
    </row>
    <row r="100" spans="1:4" s="6" customFormat="1">
      <c r="A100" s="372" t="s">
        <v>180</v>
      </c>
      <c r="B100" s="373">
        <v>4229</v>
      </c>
      <c r="C100" s="374" t="s">
        <v>261</v>
      </c>
      <c r="D100" s="375">
        <v>500</v>
      </c>
    </row>
    <row r="101" spans="1:4" s="6" customFormat="1">
      <c r="A101" s="376" t="s">
        <v>180</v>
      </c>
      <c r="B101" s="377">
        <v>4268</v>
      </c>
      <c r="C101" s="378" t="s">
        <v>262</v>
      </c>
      <c r="D101" s="379">
        <v>4500</v>
      </c>
    </row>
    <row r="102" spans="1:4" s="6" customFormat="1">
      <c r="A102" s="368" t="s">
        <v>180</v>
      </c>
      <c r="B102" s="369">
        <v>4269</v>
      </c>
      <c r="C102" s="370" t="s">
        <v>262</v>
      </c>
      <c r="D102" s="371">
        <v>1500</v>
      </c>
    </row>
    <row r="103" spans="1:4" s="6" customFormat="1">
      <c r="A103" s="368" t="s">
        <v>180</v>
      </c>
      <c r="B103" s="369">
        <v>4278</v>
      </c>
      <c r="C103" s="370" t="s">
        <v>263</v>
      </c>
      <c r="D103" s="371">
        <v>3750</v>
      </c>
    </row>
    <row r="104" spans="1:4" s="6" customFormat="1">
      <c r="A104" s="368" t="s">
        <v>180</v>
      </c>
      <c r="B104" s="369">
        <v>4279</v>
      </c>
      <c r="C104" s="370" t="s">
        <v>263</v>
      </c>
      <c r="D104" s="371">
        <v>1250</v>
      </c>
    </row>
    <row r="105" spans="1:4" s="6" customFormat="1">
      <c r="A105" s="368" t="s">
        <v>180</v>
      </c>
      <c r="B105" s="369">
        <v>4308</v>
      </c>
      <c r="C105" s="370" t="s">
        <v>264</v>
      </c>
      <c r="D105" s="371">
        <v>11250</v>
      </c>
    </row>
    <row r="106" spans="1:4" s="6" customFormat="1">
      <c r="A106" s="368" t="s">
        <v>180</v>
      </c>
      <c r="B106" s="369">
        <v>4309</v>
      </c>
      <c r="C106" s="370" t="s">
        <v>264</v>
      </c>
      <c r="D106" s="371">
        <v>3750</v>
      </c>
    </row>
    <row r="107" spans="1:4" s="6" customFormat="1">
      <c r="A107" s="368" t="s">
        <v>180</v>
      </c>
      <c r="B107" s="369">
        <v>4368</v>
      </c>
      <c r="C107" s="370" t="s">
        <v>265</v>
      </c>
      <c r="D107" s="371">
        <v>1125</v>
      </c>
    </row>
    <row r="108" spans="1:4" s="6" customFormat="1">
      <c r="A108" s="368" t="s">
        <v>180</v>
      </c>
      <c r="B108" s="369">
        <v>4369</v>
      </c>
      <c r="C108" s="370" t="s">
        <v>265</v>
      </c>
      <c r="D108" s="371">
        <v>375</v>
      </c>
    </row>
    <row r="109" spans="1:4" s="6" customFormat="1" ht="15" customHeight="1">
      <c r="A109" s="368" t="s">
        <v>180</v>
      </c>
      <c r="B109" s="369">
        <v>4408</v>
      </c>
      <c r="C109" s="370" t="s">
        <v>266</v>
      </c>
      <c r="D109" s="371">
        <v>17625</v>
      </c>
    </row>
    <row r="110" spans="1:4" s="6" customFormat="1" ht="15" customHeight="1">
      <c r="A110" s="368" t="s">
        <v>180</v>
      </c>
      <c r="B110" s="369">
        <v>4409</v>
      </c>
      <c r="C110" s="370" t="s">
        <v>266</v>
      </c>
      <c r="D110" s="371">
        <v>5875</v>
      </c>
    </row>
    <row r="111" spans="1:4" s="6" customFormat="1">
      <c r="A111" s="368" t="s">
        <v>180</v>
      </c>
      <c r="B111" s="369">
        <v>4418</v>
      </c>
      <c r="C111" s="370" t="s">
        <v>267</v>
      </c>
      <c r="D111" s="371">
        <v>2250</v>
      </c>
    </row>
    <row r="112" spans="1:4" s="6" customFormat="1">
      <c r="A112" s="368" t="s">
        <v>180</v>
      </c>
      <c r="B112" s="369">
        <v>4419</v>
      </c>
      <c r="C112" s="370" t="s">
        <v>267</v>
      </c>
      <c r="D112" s="371">
        <v>750</v>
      </c>
    </row>
    <row r="113" spans="1:4" s="6" customFormat="1">
      <c r="A113" s="368" t="s">
        <v>180</v>
      </c>
      <c r="B113" s="369">
        <v>4428</v>
      </c>
      <c r="C113" s="370" t="s">
        <v>268</v>
      </c>
      <c r="D113" s="371">
        <v>1500</v>
      </c>
    </row>
    <row r="114" spans="1:4" s="6" customFormat="1">
      <c r="A114" s="368" t="s">
        <v>180</v>
      </c>
      <c r="B114" s="369">
        <v>4429</v>
      </c>
      <c r="C114" s="370" t="s">
        <v>268</v>
      </c>
      <c r="D114" s="371">
        <v>500</v>
      </c>
    </row>
    <row r="115" spans="1:4" s="6" customFormat="1">
      <c r="A115" s="368" t="s">
        <v>180</v>
      </c>
      <c r="B115" s="369">
        <v>4438</v>
      </c>
      <c r="C115" s="370" t="s">
        <v>269</v>
      </c>
      <c r="D115" s="371">
        <v>1500</v>
      </c>
    </row>
    <row r="116" spans="1:4" s="6" customFormat="1">
      <c r="A116" s="368" t="s">
        <v>180</v>
      </c>
      <c r="B116" s="369">
        <v>4439</v>
      </c>
      <c r="C116" s="370" t="s">
        <v>269</v>
      </c>
      <c r="D116" s="371">
        <v>500</v>
      </c>
    </row>
    <row r="117" spans="1:4" s="6" customFormat="1">
      <c r="A117" s="368" t="s">
        <v>180</v>
      </c>
      <c r="B117" s="369">
        <v>4708</v>
      </c>
      <c r="C117" s="370" t="s">
        <v>270</v>
      </c>
      <c r="D117" s="371">
        <v>3750</v>
      </c>
    </row>
    <row r="118" spans="1:4" s="6" customFormat="1">
      <c r="A118" s="368" t="s">
        <v>180</v>
      </c>
      <c r="B118" s="369">
        <v>4709</v>
      </c>
      <c r="C118" s="370" t="s">
        <v>270</v>
      </c>
      <c r="D118" s="371">
        <v>1250</v>
      </c>
    </row>
    <row r="119" spans="1:4" s="6" customFormat="1">
      <c r="A119" s="368" t="s">
        <v>180</v>
      </c>
      <c r="B119" s="369">
        <v>4718</v>
      </c>
      <c r="C119" s="370" t="s">
        <v>294</v>
      </c>
      <c r="D119" s="371">
        <v>624</v>
      </c>
    </row>
    <row r="120" spans="1:4" s="6" customFormat="1">
      <c r="A120" s="368" t="s">
        <v>180</v>
      </c>
      <c r="B120" s="369">
        <v>4719</v>
      </c>
      <c r="C120" s="370" t="s">
        <v>294</v>
      </c>
      <c r="D120" s="371">
        <v>208</v>
      </c>
    </row>
    <row r="121" spans="1:4" s="5" customFormat="1">
      <c r="A121" s="364" t="s">
        <v>60</v>
      </c>
      <c r="B121" s="365" t="s">
        <v>180</v>
      </c>
      <c r="C121" s="366" t="s">
        <v>46</v>
      </c>
      <c r="D121" s="367">
        <f>SUM(D122:D125)</f>
        <v>68000</v>
      </c>
    </row>
    <row r="122" spans="1:4" s="6" customFormat="1">
      <c r="A122" s="368" t="s">
        <v>180</v>
      </c>
      <c r="B122" s="369">
        <v>4010</v>
      </c>
      <c r="C122" s="370" t="s">
        <v>254</v>
      </c>
      <c r="D122" s="371">
        <v>51818</v>
      </c>
    </row>
    <row r="123" spans="1:4" s="6" customFormat="1">
      <c r="A123" s="368" t="s">
        <v>180</v>
      </c>
      <c r="B123" s="369">
        <v>4040</v>
      </c>
      <c r="C123" s="370" t="s">
        <v>255</v>
      </c>
      <c r="D123" s="371">
        <v>5019</v>
      </c>
    </row>
    <row r="124" spans="1:4" s="6" customFormat="1">
      <c r="A124" s="368" t="s">
        <v>180</v>
      </c>
      <c r="B124" s="369">
        <v>4110</v>
      </c>
      <c r="C124" s="370" t="s">
        <v>256</v>
      </c>
      <c r="D124" s="371">
        <v>9770</v>
      </c>
    </row>
    <row r="125" spans="1:4" s="6" customFormat="1">
      <c r="A125" s="368" t="s">
        <v>180</v>
      </c>
      <c r="B125" s="369">
        <v>4120</v>
      </c>
      <c r="C125" s="370" t="s">
        <v>257</v>
      </c>
      <c r="D125" s="371">
        <v>1393</v>
      </c>
    </row>
    <row r="126" spans="1:4" s="6" customFormat="1">
      <c r="A126" s="362" t="s">
        <v>71</v>
      </c>
      <c r="B126" s="380" t="s">
        <v>180</v>
      </c>
      <c r="C126" s="264" t="s">
        <v>72</v>
      </c>
      <c r="D126" s="363">
        <f>D127+D143</f>
        <v>8821988</v>
      </c>
    </row>
    <row r="127" spans="1:4" s="5" customFormat="1">
      <c r="A127" s="364">
        <v>15013</v>
      </c>
      <c r="B127" s="365" t="s">
        <v>180</v>
      </c>
      <c r="C127" s="366" t="s">
        <v>73</v>
      </c>
      <c r="D127" s="367">
        <f>SUM(D128:D142)</f>
        <v>8755500</v>
      </c>
    </row>
    <row r="128" spans="1:4" s="6" customFormat="1" ht="60">
      <c r="A128" s="368" t="s">
        <v>180</v>
      </c>
      <c r="B128" s="369">
        <v>2007</v>
      </c>
      <c r="C128" s="370" t="s">
        <v>252</v>
      </c>
      <c r="D128" s="371">
        <v>5766633</v>
      </c>
    </row>
    <row r="129" spans="1:4" s="6" customFormat="1" ht="60">
      <c r="A129" s="368" t="s">
        <v>180</v>
      </c>
      <c r="B129" s="369">
        <v>2009</v>
      </c>
      <c r="C129" s="370" t="s">
        <v>252</v>
      </c>
      <c r="D129" s="371">
        <v>2487924</v>
      </c>
    </row>
    <row r="130" spans="1:4" s="6" customFormat="1" ht="60">
      <c r="A130" s="368" t="s">
        <v>180</v>
      </c>
      <c r="B130" s="369">
        <v>2059</v>
      </c>
      <c r="C130" s="370" t="s">
        <v>381</v>
      </c>
      <c r="D130" s="371">
        <v>450000</v>
      </c>
    </row>
    <row r="131" spans="1:4" s="6" customFormat="1">
      <c r="A131" s="368" t="s">
        <v>180</v>
      </c>
      <c r="B131" s="369">
        <v>4017</v>
      </c>
      <c r="C131" s="370" t="s">
        <v>254</v>
      </c>
      <c r="D131" s="371">
        <v>19878</v>
      </c>
    </row>
    <row r="132" spans="1:4" s="6" customFormat="1">
      <c r="A132" s="368" t="s">
        <v>180</v>
      </c>
      <c r="B132" s="369">
        <v>4019</v>
      </c>
      <c r="C132" s="370" t="s">
        <v>254</v>
      </c>
      <c r="D132" s="371">
        <v>1049</v>
      </c>
    </row>
    <row r="133" spans="1:4" s="6" customFormat="1">
      <c r="A133" s="368" t="s">
        <v>180</v>
      </c>
      <c r="B133" s="369">
        <v>4117</v>
      </c>
      <c r="C133" s="370" t="s">
        <v>256</v>
      </c>
      <c r="D133" s="371">
        <v>3426</v>
      </c>
    </row>
    <row r="134" spans="1:4" s="6" customFormat="1">
      <c r="A134" s="368" t="s">
        <v>180</v>
      </c>
      <c r="B134" s="369">
        <v>4119</v>
      </c>
      <c r="C134" s="370" t="s">
        <v>256</v>
      </c>
      <c r="D134" s="371">
        <v>180</v>
      </c>
    </row>
    <row r="135" spans="1:4" s="6" customFormat="1">
      <c r="A135" s="368" t="s">
        <v>180</v>
      </c>
      <c r="B135" s="369">
        <v>4127</v>
      </c>
      <c r="C135" s="370" t="s">
        <v>257</v>
      </c>
      <c r="D135" s="371">
        <v>488</v>
      </c>
    </row>
    <row r="136" spans="1:4" s="6" customFormat="1">
      <c r="A136" s="368" t="s">
        <v>180</v>
      </c>
      <c r="B136" s="369">
        <v>4129</v>
      </c>
      <c r="C136" s="370" t="s">
        <v>257</v>
      </c>
      <c r="D136" s="371">
        <v>26</v>
      </c>
    </row>
    <row r="137" spans="1:4" s="6" customFormat="1">
      <c r="A137" s="368" t="s">
        <v>180</v>
      </c>
      <c r="B137" s="369">
        <v>4170</v>
      </c>
      <c r="C137" s="370" t="s">
        <v>258</v>
      </c>
      <c r="D137" s="371">
        <v>5000</v>
      </c>
    </row>
    <row r="138" spans="1:4" s="6" customFormat="1">
      <c r="A138" s="368" t="s">
        <v>180</v>
      </c>
      <c r="B138" s="369">
        <v>4177</v>
      </c>
      <c r="C138" s="370" t="s">
        <v>258</v>
      </c>
      <c r="D138" s="371">
        <v>5440</v>
      </c>
    </row>
    <row r="139" spans="1:4" s="6" customFormat="1">
      <c r="A139" s="368" t="s">
        <v>180</v>
      </c>
      <c r="B139" s="369">
        <v>4179</v>
      </c>
      <c r="C139" s="370" t="s">
        <v>258</v>
      </c>
      <c r="D139" s="371">
        <v>320</v>
      </c>
    </row>
    <row r="140" spans="1:4" s="6" customFormat="1">
      <c r="A140" s="368" t="s">
        <v>180</v>
      </c>
      <c r="B140" s="369">
        <v>4300</v>
      </c>
      <c r="C140" s="370" t="s">
        <v>264</v>
      </c>
      <c r="D140" s="371">
        <v>15000</v>
      </c>
    </row>
    <row r="141" spans="1:4" s="6" customFormat="1">
      <c r="A141" s="368" t="s">
        <v>180</v>
      </c>
      <c r="B141" s="369">
        <v>4717</v>
      </c>
      <c r="C141" s="370" t="s">
        <v>294</v>
      </c>
      <c r="D141" s="371">
        <v>129</v>
      </c>
    </row>
    <row r="142" spans="1:4" s="6" customFormat="1">
      <c r="A142" s="368" t="s">
        <v>180</v>
      </c>
      <c r="B142" s="369">
        <v>4719</v>
      </c>
      <c r="C142" s="370" t="s">
        <v>294</v>
      </c>
      <c r="D142" s="371">
        <v>7</v>
      </c>
    </row>
    <row r="143" spans="1:4" s="5" customFormat="1">
      <c r="A143" s="364">
        <v>15095</v>
      </c>
      <c r="B143" s="365" t="s">
        <v>180</v>
      </c>
      <c r="C143" s="366" t="s">
        <v>46</v>
      </c>
      <c r="D143" s="367">
        <f>SUM(D144:D159)</f>
        <v>66488</v>
      </c>
    </row>
    <row r="144" spans="1:4" s="6" customFormat="1">
      <c r="A144" s="368" t="s">
        <v>180</v>
      </c>
      <c r="B144" s="369">
        <v>4018</v>
      </c>
      <c r="C144" s="370" t="s">
        <v>254</v>
      </c>
      <c r="D144" s="371">
        <v>24741</v>
      </c>
    </row>
    <row r="145" spans="1:4" s="6" customFormat="1">
      <c r="A145" s="368" t="s">
        <v>180</v>
      </c>
      <c r="B145" s="369">
        <v>4019</v>
      </c>
      <c r="C145" s="370" t="s">
        <v>254</v>
      </c>
      <c r="D145" s="371">
        <v>4366</v>
      </c>
    </row>
    <row r="146" spans="1:4" s="6" customFormat="1">
      <c r="A146" s="368" t="s">
        <v>180</v>
      </c>
      <c r="B146" s="369">
        <v>4048</v>
      </c>
      <c r="C146" s="370" t="s">
        <v>255</v>
      </c>
      <c r="D146" s="371">
        <v>3825</v>
      </c>
    </row>
    <row r="147" spans="1:4" s="6" customFormat="1">
      <c r="A147" s="368" t="s">
        <v>180</v>
      </c>
      <c r="B147" s="369">
        <v>4049</v>
      </c>
      <c r="C147" s="370" t="s">
        <v>255</v>
      </c>
      <c r="D147" s="371">
        <v>675</v>
      </c>
    </row>
    <row r="148" spans="1:4" s="6" customFormat="1">
      <c r="A148" s="368" t="s">
        <v>180</v>
      </c>
      <c r="B148" s="369">
        <v>4118</v>
      </c>
      <c r="C148" s="370" t="s">
        <v>256</v>
      </c>
      <c r="D148" s="371">
        <v>4910</v>
      </c>
    </row>
    <row r="149" spans="1:4" s="6" customFormat="1">
      <c r="A149" s="368" t="s">
        <v>180</v>
      </c>
      <c r="B149" s="369">
        <v>4119</v>
      </c>
      <c r="C149" s="370" t="s">
        <v>256</v>
      </c>
      <c r="D149" s="371">
        <v>867</v>
      </c>
    </row>
    <row r="150" spans="1:4" s="6" customFormat="1">
      <c r="A150" s="368" t="s">
        <v>180</v>
      </c>
      <c r="B150" s="369">
        <v>4128</v>
      </c>
      <c r="C150" s="370" t="s">
        <v>257</v>
      </c>
      <c r="D150" s="371">
        <v>700</v>
      </c>
    </row>
    <row r="151" spans="1:4" s="6" customFormat="1">
      <c r="A151" s="368" t="s">
        <v>180</v>
      </c>
      <c r="B151" s="369">
        <v>4129</v>
      </c>
      <c r="C151" s="370" t="s">
        <v>257</v>
      </c>
      <c r="D151" s="371">
        <v>124</v>
      </c>
    </row>
    <row r="152" spans="1:4" s="6" customFormat="1">
      <c r="A152" s="368" t="s">
        <v>180</v>
      </c>
      <c r="B152" s="369">
        <v>4228</v>
      </c>
      <c r="C152" s="370" t="s">
        <v>261</v>
      </c>
      <c r="D152" s="371">
        <v>340</v>
      </c>
    </row>
    <row r="153" spans="1:4" s="6" customFormat="1">
      <c r="A153" s="368" t="s">
        <v>180</v>
      </c>
      <c r="B153" s="369">
        <v>4229</v>
      </c>
      <c r="C153" s="370" t="s">
        <v>261</v>
      </c>
      <c r="D153" s="371">
        <v>60</v>
      </c>
    </row>
    <row r="154" spans="1:4" s="6" customFormat="1">
      <c r="A154" s="372" t="s">
        <v>180</v>
      </c>
      <c r="B154" s="373">
        <v>4308</v>
      </c>
      <c r="C154" s="374" t="s">
        <v>264</v>
      </c>
      <c r="D154" s="375">
        <v>10524</v>
      </c>
    </row>
    <row r="155" spans="1:4" s="6" customFormat="1">
      <c r="A155" s="376" t="s">
        <v>180</v>
      </c>
      <c r="B155" s="377">
        <v>4309</v>
      </c>
      <c r="C155" s="378" t="s">
        <v>264</v>
      </c>
      <c r="D155" s="379">
        <v>1856</v>
      </c>
    </row>
    <row r="156" spans="1:4" s="6" customFormat="1">
      <c r="A156" s="368" t="s">
        <v>180</v>
      </c>
      <c r="B156" s="369">
        <v>4428</v>
      </c>
      <c r="C156" s="370" t="s">
        <v>268</v>
      </c>
      <c r="D156" s="371">
        <v>11305</v>
      </c>
    </row>
    <row r="157" spans="1:4" s="6" customFormat="1">
      <c r="A157" s="368" t="s">
        <v>180</v>
      </c>
      <c r="B157" s="369">
        <v>4429</v>
      </c>
      <c r="C157" s="370" t="s">
        <v>268</v>
      </c>
      <c r="D157" s="371">
        <v>1995</v>
      </c>
    </row>
    <row r="158" spans="1:4" s="6" customFormat="1">
      <c r="A158" s="368" t="s">
        <v>180</v>
      </c>
      <c r="B158" s="369">
        <v>4438</v>
      </c>
      <c r="C158" s="370" t="s">
        <v>269</v>
      </c>
      <c r="D158" s="371">
        <v>170</v>
      </c>
    </row>
    <row r="159" spans="1:4" s="6" customFormat="1">
      <c r="A159" s="368" t="s">
        <v>180</v>
      </c>
      <c r="B159" s="369">
        <v>4439</v>
      </c>
      <c r="C159" s="370" t="s">
        <v>269</v>
      </c>
      <c r="D159" s="371">
        <v>30</v>
      </c>
    </row>
    <row r="160" spans="1:4" s="5" customFormat="1">
      <c r="A160" s="362" t="s">
        <v>74</v>
      </c>
      <c r="B160" s="380" t="s">
        <v>180</v>
      </c>
      <c r="C160" s="264" t="s">
        <v>75</v>
      </c>
      <c r="D160" s="363">
        <f>D161</f>
        <v>10382416</v>
      </c>
    </row>
    <row r="161" spans="1:4" s="5" customFormat="1">
      <c r="A161" s="364">
        <v>50005</v>
      </c>
      <c r="B161" s="365" t="s">
        <v>180</v>
      </c>
      <c r="C161" s="366" t="s">
        <v>76</v>
      </c>
      <c r="D161" s="367">
        <f>SUM(D162:D190)</f>
        <v>10382416</v>
      </c>
    </row>
    <row r="162" spans="1:4" s="6" customFormat="1">
      <c r="A162" s="368" t="s">
        <v>180</v>
      </c>
      <c r="B162" s="369">
        <v>4017</v>
      </c>
      <c r="C162" s="370" t="s">
        <v>254</v>
      </c>
      <c r="D162" s="371">
        <v>675362</v>
      </c>
    </row>
    <row r="163" spans="1:4" s="6" customFormat="1">
      <c r="A163" s="368" t="s">
        <v>180</v>
      </c>
      <c r="B163" s="369">
        <v>4019</v>
      </c>
      <c r="C163" s="370" t="s">
        <v>254</v>
      </c>
      <c r="D163" s="371">
        <v>75040</v>
      </c>
    </row>
    <row r="164" spans="1:4" s="6" customFormat="1">
      <c r="A164" s="368" t="s">
        <v>180</v>
      </c>
      <c r="B164" s="369">
        <v>4047</v>
      </c>
      <c r="C164" s="370" t="s">
        <v>255</v>
      </c>
      <c r="D164" s="371">
        <v>57623</v>
      </c>
    </row>
    <row r="165" spans="1:4" s="6" customFormat="1">
      <c r="A165" s="368" t="s">
        <v>180</v>
      </c>
      <c r="B165" s="369">
        <v>4049</v>
      </c>
      <c r="C165" s="370" t="s">
        <v>255</v>
      </c>
      <c r="D165" s="371">
        <v>6403</v>
      </c>
    </row>
    <row r="166" spans="1:4" s="6" customFormat="1">
      <c r="A166" s="368" t="s">
        <v>180</v>
      </c>
      <c r="B166" s="369">
        <v>4117</v>
      </c>
      <c r="C166" s="370" t="s">
        <v>256</v>
      </c>
      <c r="D166" s="371">
        <v>157330</v>
      </c>
    </row>
    <row r="167" spans="1:4" s="6" customFormat="1">
      <c r="A167" s="368" t="s">
        <v>180</v>
      </c>
      <c r="B167" s="369">
        <v>4119</v>
      </c>
      <c r="C167" s="370" t="s">
        <v>256</v>
      </c>
      <c r="D167" s="371">
        <v>17482</v>
      </c>
    </row>
    <row r="168" spans="1:4" s="6" customFormat="1">
      <c r="A168" s="368" t="s">
        <v>180</v>
      </c>
      <c r="B168" s="369">
        <v>4127</v>
      </c>
      <c r="C168" s="370" t="s">
        <v>257</v>
      </c>
      <c r="D168" s="371">
        <v>22410</v>
      </c>
    </row>
    <row r="169" spans="1:4" s="6" customFormat="1">
      <c r="A169" s="368" t="s">
        <v>180</v>
      </c>
      <c r="B169" s="369">
        <v>4129</v>
      </c>
      <c r="C169" s="370" t="s">
        <v>257</v>
      </c>
      <c r="D169" s="371">
        <v>2490</v>
      </c>
    </row>
    <row r="170" spans="1:4" s="6" customFormat="1">
      <c r="A170" s="368" t="s">
        <v>180</v>
      </c>
      <c r="B170" s="369">
        <v>4177</v>
      </c>
      <c r="C170" s="370" t="s">
        <v>258</v>
      </c>
      <c r="D170" s="371">
        <v>23175</v>
      </c>
    </row>
    <row r="171" spans="1:4" s="6" customFormat="1">
      <c r="A171" s="368" t="s">
        <v>180</v>
      </c>
      <c r="B171" s="369">
        <v>4179</v>
      </c>
      <c r="C171" s="370" t="s">
        <v>258</v>
      </c>
      <c r="D171" s="371">
        <v>2575</v>
      </c>
    </row>
    <row r="172" spans="1:4" s="6" customFormat="1">
      <c r="A172" s="368" t="s">
        <v>180</v>
      </c>
      <c r="B172" s="369">
        <v>4217</v>
      </c>
      <c r="C172" s="370" t="s">
        <v>260</v>
      </c>
      <c r="D172" s="371">
        <v>147140</v>
      </c>
    </row>
    <row r="173" spans="1:4" s="6" customFormat="1">
      <c r="A173" s="368" t="s">
        <v>180</v>
      </c>
      <c r="B173" s="369">
        <v>4219</v>
      </c>
      <c r="C173" s="370" t="s">
        <v>260</v>
      </c>
      <c r="D173" s="371">
        <v>16348</v>
      </c>
    </row>
    <row r="174" spans="1:4" s="6" customFormat="1">
      <c r="A174" s="368" t="s">
        <v>180</v>
      </c>
      <c r="B174" s="369">
        <v>4227</v>
      </c>
      <c r="C174" s="370" t="s">
        <v>261</v>
      </c>
      <c r="D174" s="371">
        <v>900</v>
      </c>
    </row>
    <row r="175" spans="1:4" s="6" customFormat="1">
      <c r="A175" s="368" t="s">
        <v>180</v>
      </c>
      <c r="B175" s="369">
        <v>4229</v>
      </c>
      <c r="C175" s="370" t="s">
        <v>261</v>
      </c>
      <c r="D175" s="371">
        <v>100</v>
      </c>
    </row>
    <row r="176" spans="1:4" s="6" customFormat="1">
      <c r="A176" s="368" t="s">
        <v>180</v>
      </c>
      <c r="B176" s="369">
        <v>4307</v>
      </c>
      <c r="C176" s="370" t="s">
        <v>264</v>
      </c>
      <c r="D176" s="371">
        <v>6211607</v>
      </c>
    </row>
    <row r="177" spans="1:4" s="6" customFormat="1">
      <c r="A177" s="368" t="s">
        <v>180</v>
      </c>
      <c r="B177" s="369">
        <v>4309</v>
      </c>
      <c r="C177" s="370" t="s">
        <v>264</v>
      </c>
      <c r="D177" s="371">
        <v>690178</v>
      </c>
    </row>
    <row r="178" spans="1:4" s="6" customFormat="1">
      <c r="A178" s="368" t="s">
        <v>180</v>
      </c>
      <c r="B178" s="369">
        <v>4387</v>
      </c>
      <c r="C178" s="370" t="s">
        <v>382</v>
      </c>
      <c r="D178" s="371">
        <v>9000</v>
      </c>
    </row>
    <row r="179" spans="1:4" s="6" customFormat="1">
      <c r="A179" s="368" t="s">
        <v>180</v>
      </c>
      <c r="B179" s="369">
        <v>4389</v>
      </c>
      <c r="C179" s="370" t="s">
        <v>382</v>
      </c>
      <c r="D179" s="371">
        <v>1000</v>
      </c>
    </row>
    <row r="180" spans="1:4" s="6" customFormat="1">
      <c r="A180" s="368" t="s">
        <v>180</v>
      </c>
      <c r="B180" s="369">
        <v>4397</v>
      </c>
      <c r="C180" s="370" t="s">
        <v>281</v>
      </c>
      <c r="D180" s="371">
        <v>450000</v>
      </c>
    </row>
    <row r="181" spans="1:4" s="6" customFormat="1">
      <c r="A181" s="368" t="s">
        <v>180</v>
      </c>
      <c r="B181" s="369">
        <v>4399</v>
      </c>
      <c r="C181" s="370" t="s">
        <v>281</v>
      </c>
      <c r="D181" s="371">
        <v>50000</v>
      </c>
    </row>
    <row r="182" spans="1:4" s="6" customFormat="1">
      <c r="A182" s="368" t="s">
        <v>180</v>
      </c>
      <c r="B182" s="369">
        <v>4417</v>
      </c>
      <c r="C182" s="370" t="s">
        <v>267</v>
      </c>
      <c r="D182" s="371">
        <v>27000</v>
      </c>
    </row>
    <row r="183" spans="1:4" s="6" customFormat="1">
      <c r="A183" s="368" t="s">
        <v>180</v>
      </c>
      <c r="B183" s="369">
        <v>4419</v>
      </c>
      <c r="C183" s="370" t="s">
        <v>267</v>
      </c>
      <c r="D183" s="371">
        <v>3000</v>
      </c>
    </row>
    <row r="184" spans="1:4" s="6" customFormat="1">
      <c r="A184" s="368" t="s">
        <v>180</v>
      </c>
      <c r="B184" s="369">
        <v>4707</v>
      </c>
      <c r="C184" s="370" t="s">
        <v>270</v>
      </c>
      <c r="D184" s="371">
        <v>45000</v>
      </c>
    </row>
    <row r="185" spans="1:4" s="6" customFormat="1">
      <c r="A185" s="368" t="s">
        <v>180</v>
      </c>
      <c r="B185" s="369">
        <v>4709</v>
      </c>
      <c r="C185" s="370" t="s">
        <v>270</v>
      </c>
      <c r="D185" s="371">
        <v>5000</v>
      </c>
    </row>
    <row r="186" spans="1:4" s="6" customFormat="1">
      <c r="A186" s="368" t="s">
        <v>180</v>
      </c>
      <c r="B186" s="369">
        <v>4717</v>
      </c>
      <c r="C186" s="370" t="s">
        <v>294</v>
      </c>
      <c r="D186" s="371">
        <v>1980</v>
      </c>
    </row>
    <row r="187" spans="1:4" s="6" customFormat="1">
      <c r="A187" s="368" t="s">
        <v>180</v>
      </c>
      <c r="B187" s="369">
        <v>4719</v>
      </c>
      <c r="C187" s="370" t="s">
        <v>294</v>
      </c>
      <c r="D187" s="371">
        <v>220</v>
      </c>
    </row>
    <row r="188" spans="1:4" s="6" customFormat="1">
      <c r="A188" s="368" t="s">
        <v>180</v>
      </c>
      <c r="B188" s="369">
        <v>6050</v>
      </c>
      <c r="C188" s="370" t="s">
        <v>282</v>
      </c>
      <c r="D188" s="371">
        <v>854053</v>
      </c>
    </row>
    <row r="189" spans="1:4" s="6" customFormat="1">
      <c r="A189" s="368" t="s">
        <v>180</v>
      </c>
      <c r="B189" s="369">
        <v>6057</v>
      </c>
      <c r="C189" s="370" t="s">
        <v>282</v>
      </c>
      <c r="D189" s="371">
        <v>747000</v>
      </c>
    </row>
    <row r="190" spans="1:4" s="6" customFormat="1">
      <c r="A190" s="368" t="s">
        <v>180</v>
      </c>
      <c r="B190" s="369">
        <v>6059</v>
      </c>
      <c r="C190" s="370" t="s">
        <v>282</v>
      </c>
      <c r="D190" s="371">
        <v>83000</v>
      </c>
    </row>
    <row r="191" spans="1:4" s="6" customFormat="1">
      <c r="A191" s="362" t="s">
        <v>23</v>
      </c>
      <c r="B191" s="380" t="s">
        <v>180</v>
      </c>
      <c r="C191" s="264" t="s">
        <v>24</v>
      </c>
      <c r="D191" s="363">
        <f>D192+D200+D210+D214+D216+D242+D245+D248+D250+D252</f>
        <v>682215266</v>
      </c>
    </row>
    <row r="192" spans="1:4" s="5" customFormat="1">
      <c r="A192" s="364">
        <v>60001</v>
      </c>
      <c r="B192" s="365" t="s">
        <v>180</v>
      </c>
      <c r="C192" s="366" t="s">
        <v>77</v>
      </c>
      <c r="D192" s="367">
        <f>SUM(D193:D199)</f>
        <v>170981000</v>
      </c>
    </row>
    <row r="193" spans="1:4" s="6" customFormat="1" ht="30">
      <c r="A193" s="368" t="s">
        <v>180</v>
      </c>
      <c r="B193" s="369">
        <v>2630</v>
      </c>
      <c r="C193" s="370" t="s">
        <v>284</v>
      </c>
      <c r="D193" s="371">
        <v>135761000</v>
      </c>
    </row>
    <row r="194" spans="1:4" s="6" customFormat="1">
      <c r="A194" s="368" t="s">
        <v>180</v>
      </c>
      <c r="B194" s="369">
        <v>4110</v>
      </c>
      <c r="C194" s="370" t="s">
        <v>256</v>
      </c>
      <c r="D194" s="371">
        <v>7185</v>
      </c>
    </row>
    <row r="195" spans="1:4" s="6" customFormat="1">
      <c r="A195" s="368" t="s">
        <v>180</v>
      </c>
      <c r="B195" s="369">
        <v>4120</v>
      </c>
      <c r="C195" s="370" t="s">
        <v>257</v>
      </c>
      <c r="D195" s="371">
        <v>1025</v>
      </c>
    </row>
    <row r="196" spans="1:4" s="6" customFormat="1">
      <c r="A196" s="368" t="s">
        <v>180</v>
      </c>
      <c r="B196" s="369">
        <v>4170</v>
      </c>
      <c r="C196" s="370" t="s">
        <v>258</v>
      </c>
      <c r="D196" s="371">
        <v>41790</v>
      </c>
    </row>
    <row r="197" spans="1:4" s="6" customFormat="1">
      <c r="A197" s="368" t="s">
        <v>180</v>
      </c>
      <c r="B197" s="369">
        <v>4270</v>
      </c>
      <c r="C197" s="370" t="s">
        <v>263</v>
      </c>
      <c r="D197" s="371">
        <v>24000000</v>
      </c>
    </row>
    <row r="198" spans="1:4" s="6" customFormat="1">
      <c r="A198" s="368" t="s">
        <v>180</v>
      </c>
      <c r="B198" s="369">
        <v>4300</v>
      </c>
      <c r="C198" s="370" t="s">
        <v>264</v>
      </c>
      <c r="D198" s="371">
        <v>200000</v>
      </c>
    </row>
    <row r="199" spans="1:4" s="6" customFormat="1">
      <c r="A199" s="368" t="s">
        <v>180</v>
      </c>
      <c r="B199" s="369">
        <v>6060</v>
      </c>
      <c r="C199" s="370" t="s">
        <v>295</v>
      </c>
      <c r="D199" s="371">
        <v>10970000</v>
      </c>
    </row>
    <row r="200" spans="1:4" s="5" customFormat="1">
      <c r="A200" s="364">
        <v>60002</v>
      </c>
      <c r="B200" s="365" t="s">
        <v>180</v>
      </c>
      <c r="C200" s="366" t="s">
        <v>78</v>
      </c>
      <c r="D200" s="367">
        <f>SUM(D201:D209)</f>
        <v>5199912</v>
      </c>
    </row>
    <row r="201" spans="1:4" s="6" customFormat="1">
      <c r="A201" s="368" t="s">
        <v>180</v>
      </c>
      <c r="B201" s="369">
        <v>4117</v>
      </c>
      <c r="C201" s="370" t="s">
        <v>256</v>
      </c>
      <c r="D201" s="371">
        <v>12233</v>
      </c>
    </row>
    <row r="202" spans="1:4" s="6" customFormat="1">
      <c r="A202" s="368" t="s">
        <v>180</v>
      </c>
      <c r="B202" s="369">
        <v>4119</v>
      </c>
      <c r="C202" s="370" t="s">
        <v>256</v>
      </c>
      <c r="D202" s="371">
        <v>2159</v>
      </c>
    </row>
    <row r="203" spans="1:4" s="6" customFormat="1">
      <c r="A203" s="368" t="s">
        <v>180</v>
      </c>
      <c r="B203" s="369">
        <v>4127</v>
      </c>
      <c r="C203" s="370" t="s">
        <v>257</v>
      </c>
      <c r="D203" s="371">
        <v>1771</v>
      </c>
    </row>
    <row r="204" spans="1:4" s="6" customFormat="1">
      <c r="A204" s="368" t="s">
        <v>180</v>
      </c>
      <c r="B204" s="369">
        <v>4129</v>
      </c>
      <c r="C204" s="370" t="s">
        <v>257</v>
      </c>
      <c r="D204" s="371">
        <v>313</v>
      </c>
    </row>
    <row r="205" spans="1:4" s="6" customFormat="1">
      <c r="A205" s="368" t="s">
        <v>180</v>
      </c>
      <c r="B205" s="369">
        <v>4177</v>
      </c>
      <c r="C205" s="370" t="s">
        <v>258</v>
      </c>
      <c r="D205" s="371">
        <v>71164</v>
      </c>
    </row>
    <row r="206" spans="1:4" s="6" customFormat="1">
      <c r="A206" s="368" t="s">
        <v>180</v>
      </c>
      <c r="B206" s="369">
        <v>4179</v>
      </c>
      <c r="C206" s="370" t="s">
        <v>258</v>
      </c>
      <c r="D206" s="371">
        <v>12558</v>
      </c>
    </row>
    <row r="207" spans="1:4" s="6" customFormat="1">
      <c r="A207" s="368" t="s">
        <v>180</v>
      </c>
      <c r="B207" s="369">
        <v>6050</v>
      </c>
      <c r="C207" s="370" t="s">
        <v>282</v>
      </c>
      <c r="D207" s="371">
        <v>200000</v>
      </c>
    </row>
    <row r="208" spans="1:4" s="6" customFormat="1">
      <c r="A208" s="368" t="s">
        <v>180</v>
      </c>
      <c r="B208" s="369">
        <v>6057</v>
      </c>
      <c r="C208" s="370" t="s">
        <v>282</v>
      </c>
      <c r="D208" s="371">
        <v>4164757</v>
      </c>
    </row>
    <row r="209" spans="1:4" s="6" customFormat="1">
      <c r="A209" s="368" t="s">
        <v>180</v>
      </c>
      <c r="B209" s="369">
        <v>6059</v>
      </c>
      <c r="C209" s="370" t="s">
        <v>282</v>
      </c>
      <c r="D209" s="371">
        <v>734957</v>
      </c>
    </row>
    <row r="210" spans="1:4" s="5" customFormat="1">
      <c r="A210" s="364">
        <v>60003</v>
      </c>
      <c r="B210" s="365" t="s">
        <v>180</v>
      </c>
      <c r="C210" s="366" t="s">
        <v>49</v>
      </c>
      <c r="D210" s="367">
        <f>SUM(D211:D213)</f>
        <v>36443000</v>
      </c>
    </row>
    <row r="211" spans="1:4" s="6" customFormat="1" ht="33" customHeight="1">
      <c r="A211" s="368" t="s">
        <v>180</v>
      </c>
      <c r="B211" s="369">
        <v>2310</v>
      </c>
      <c r="C211" s="370" t="s">
        <v>275</v>
      </c>
      <c r="D211" s="371">
        <v>1110000</v>
      </c>
    </row>
    <row r="212" spans="1:4" s="6" customFormat="1" ht="33" customHeight="1">
      <c r="A212" s="372" t="s">
        <v>180</v>
      </c>
      <c r="B212" s="373">
        <v>2320</v>
      </c>
      <c r="C212" s="374" t="s">
        <v>285</v>
      </c>
      <c r="D212" s="375">
        <v>3110000</v>
      </c>
    </row>
    <row r="213" spans="1:4" s="6" customFormat="1" ht="32.25" customHeight="1">
      <c r="A213" s="376" t="s">
        <v>180</v>
      </c>
      <c r="B213" s="377">
        <v>2830</v>
      </c>
      <c r="C213" s="378" t="s">
        <v>251</v>
      </c>
      <c r="D213" s="379">
        <v>32223000</v>
      </c>
    </row>
    <row r="214" spans="1:4" s="5" customFormat="1">
      <c r="A214" s="364">
        <v>60004</v>
      </c>
      <c r="B214" s="365" t="s">
        <v>180</v>
      </c>
      <c r="C214" s="366" t="s">
        <v>79</v>
      </c>
      <c r="D214" s="367">
        <f>D215</f>
        <v>3836361</v>
      </c>
    </row>
    <row r="215" spans="1:4" s="6" customFormat="1" ht="32.25" customHeight="1">
      <c r="A215" s="368" t="s">
        <v>180</v>
      </c>
      <c r="B215" s="369">
        <v>2830</v>
      </c>
      <c r="C215" s="370" t="s">
        <v>251</v>
      </c>
      <c r="D215" s="371">
        <v>3836361</v>
      </c>
    </row>
    <row r="216" spans="1:4" s="5" customFormat="1">
      <c r="A216" s="364">
        <v>60013</v>
      </c>
      <c r="B216" s="365" t="s">
        <v>180</v>
      </c>
      <c r="C216" s="366" t="s">
        <v>80</v>
      </c>
      <c r="D216" s="367">
        <f>SUM(D217:D241)</f>
        <v>446203248</v>
      </c>
    </row>
    <row r="217" spans="1:4" s="6" customFormat="1" ht="15.75" customHeight="1">
      <c r="A217" s="368" t="s">
        <v>180</v>
      </c>
      <c r="B217" s="369">
        <v>4017</v>
      </c>
      <c r="C217" s="370" t="s">
        <v>254</v>
      </c>
      <c r="D217" s="371">
        <v>548597</v>
      </c>
    </row>
    <row r="218" spans="1:4" s="6" customFormat="1" ht="15.75" customHeight="1">
      <c r="A218" s="368" t="s">
        <v>180</v>
      </c>
      <c r="B218" s="369">
        <v>4019</v>
      </c>
      <c r="C218" s="370" t="s">
        <v>254</v>
      </c>
      <c r="D218" s="371">
        <v>130303</v>
      </c>
    </row>
    <row r="219" spans="1:4" s="6" customFormat="1" ht="15.75" customHeight="1">
      <c r="A219" s="368" t="s">
        <v>180</v>
      </c>
      <c r="B219" s="369">
        <v>4047</v>
      </c>
      <c r="C219" s="370" t="s">
        <v>255</v>
      </c>
      <c r="D219" s="371">
        <v>32921</v>
      </c>
    </row>
    <row r="220" spans="1:4" s="6" customFormat="1" ht="15.75" customHeight="1">
      <c r="A220" s="368" t="s">
        <v>180</v>
      </c>
      <c r="B220" s="369">
        <v>4049</v>
      </c>
      <c r="C220" s="370" t="s">
        <v>255</v>
      </c>
      <c r="D220" s="371">
        <v>11306</v>
      </c>
    </row>
    <row r="221" spans="1:4" s="6" customFormat="1" ht="15.75" customHeight="1">
      <c r="A221" s="368" t="s">
        <v>180</v>
      </c>
      <c r="B221" s="369">
        <v>4117</v>
      </c>
      <c r="C221" s="370" t="s">
        <v>256</v>
      </c>
      <c r="D221" s="371">
        <v>100997</v>
      </c>
    </row>
    <row r="222" spans="1:4" s="6" customFormat="1" ht="15.75" customHeight="1">
      <c r="A222" s="368" t="s">
        <v>180</v>
      </c>
      <c r="B222" s="369">
        <v>4119</v>
      </c>
      <c r="C222" s="370" t="s">
        <v>256</v>
      </c>
      <c r="D222" s="371">
        <v>24519</v>
      </c>
    </row>
    <row r="223" spans="1:4" s="6" customFormat="1" ht="15.75" customHeight="1">
      <c r="A223" s="368" t="s">
        <v>180</v>
      </c>
      <c r="B223" s="369">
        <v>4127</v>
      </c>
      <c r="C223" s="370" t="s">
        <v>257</v>
      </c>
      <c r="D223" s="371">
        <v>14207</v>
      </c>
    </row>
    <row r="224" spans="1:4" s="6" customFormat="1" ht="15.75" customHeight="1">
      <c r="A224" s="368" t="s">
        <v>180</v>
      </c>
      <c r="B224" s="369">
        <v>4129</v>
      </c>
      <c r="C224" s="370" t="s">
        <v>257</v>
      </c>
      <c r="D224" s="371">
        <v>3450</v>
      </c>
    </row>
    <row r="225" spans="1:4" s="6" customFormat="1" ht="15.75" customHeight="1">
      <c r="A225" s="368" t="s">
        <v>180</v>
      </c>
      <c r="B225" s="369">
        <v>4210</v>
      </c>
      <c r="C225" s="370" t="s">
        <v>260</v>
      </c>
      <c r="D225" s="371">
        <v>3500000</v>
      </c>
    </row>
    <row r="226" spans="1:4" s="6" customFormat="1" ht="15.75" customHeight="1">
      <c r="A226" s="368" t="s">
        <v>180</v>
      </c>
      <c r="B226" s="369">
        <v>4260</v>
      </c>
      <c r="C226" s="370" t="s">
        <v>262</v>
      </c>
      <c r="D226" s="371">
        <v>200000</v>
      </c>
    </row>
    <row r="227" spans="1:4" s="6" customFormat="1" ht="15.75" customHeight="1">
      <c r="A227" s="368" t="s">
        <v>180</v>
      </c>
      <c r="B227" s="369">
        <v>4270</v>
      </c>
      <c r="C227" s="370" t="s">
        <v>263</v>
      </c>
      <c r="D227" s="371">
        <v>12500000</v>
      </c>
    </row>
    <row r="228" spans="1:4" s="6" customFormat="1" ht="15.75" customHeight="1">
      <c r="A228" s="368" t="s">
        <v>180</v>
      </c>
      <c r="B228" s="369">
        <v>4300</v>
      </c>
      <c r="C228" s="370" t="s">
        <v>264</v>
      </c>
      <c r="D228" s="371">
        <v>17167859</v>
      </c>
    </row>
    <row r="229" spans="1:4" s="6" customFormat="1" ht="15.75" customHeight="1">
      <c r="A229" s="368" t="s">
        <v>180</v>
      </c>
      <c r="B229" s="369">
        <v>4390</v>
      </c>
      <c r="C229" s="370" t="s">
        <v>281</v>
      </c>
      <c r="D229" s="371">
        <v>200000</v>
      </c>
    </row>
    <row r="230" spans="1:4" s="6" customFormat="1" ht="15.75" customHeight="1">
      <c r="A230" s="368" t="s">
        <v>180</v>
      </c>
      <c r="B230" s="369">
        <v>4430</v>
      </c>
      <c r="C230" s="370" t="s">
        <v>269</v>
      </c>
      <c r="D230" s="371">
        <v>798825</v>
      </c>
    </row>
    <row r="231" spans="1:4" s="6" customFormat="1" ht="15.75" customHeight="1">
      <c r="A231" s="368" t="s">
        <v>180</v>
      </c>
      <c r="B231" s="369">
        <v>4510</v>
      </c>
      <c r="C231" s="370" t="s">
        <v>292</v>
      </c>
      <c r="D231" s="371">
        <v>13316</v>
      </c>
    </row>
    <row r="232" spans="1:4" s="6" customFormat="1" ht="15.75" customHeight="1">
      <c r="A232" s="368" t="s">
        <v>180</v>
      </c>
      <c r="B232" s="369">
        <v>4520</v>
      </c>
      <c r="C232" s="370" t="s">
        <v>293</v>
      </c>
      <c r="D232" s="371">
        <v>620000</v>
      </c>
    </row>
    <row r="233" spans="1:4" s="6" customFormat="1" ht="15.75" customHeight="1">
      <c r="A233" s="368" t="s">
        <v>180</v>
      </c>
      <c r="B233" s="369">
        <v>4717</v>
      </c>
      <c r="C233" s="370" t="s">
        <v>294</v>
      </c>
      <c r="D233" s="371">
        <v>7999</v>
      </c>
    </row>
    <row r="234" spans="1:4" s="6" customFormat="1" ht="15.75" customHeight="1">
      <c r="A234" s="368" t="s">
        <v>180</v>
      </c>
      <c r="B234" s="369">
        <v>4719</v>
      </c>
      <c r="C234" s="370" t="s">
        <v>294</v>
      </c>
      <c r="D234" s="371">
        <v>1927</v>
      </c>
    </row>
    <row r="235" spans="1:4" s="6" customFormat="1" ht="15.75" customHeight="1">
      <c r="A235" s="368" t="s">
        <v>180</v>
      </c>
      <c r="B235" s="369">
        <v>6050</v>
      </c>
      <c r="C235" s="370" t="s">
        <v>282</v>
      </c>
      <c r="D235" s="371">
        <v>162317785</v>
      </c>
    </row>
    <row r="236" spans="1:4" s="6" customFormat="1" ht="15.75" customHeight="1">
      <c r="A236" s="368" t="s">
        <v>180</v>
      </c>
      <c r="B236" s="369">
        <v>6057</v>
      </c>
      <c r="C236" s="370" t="s">
        <v>282</v>
      </c>
      <c r="D236" s="371">
        <v>194252009</v>
      </c>
    </row>
    <row r="237" spans="1:4" s="6" customFormat="1" ht="15.75" customHeight="1">
      <c r="A237" s="368" t="s">
        <v>180</v>
      </c>
      <c r="B237" s="369">
        <v>6059</v>
      </c>
      <c r="C237" s="370" t="s">
        <v>282</v>
      </c>
      <c r="D237" s="371">
        <v>45419140</v>
      </c>
    </row>
    <row r="238" spans="1:4" s="6" customFormat="1" ht="15.75" customHeight="1">
      <c r="A238" s="368" t="s">
        <v>180</v>
      </c>
      <c r="B238" s="369">
        <v>6060</v>
      </c>
      <c r="C238" s="370" t="s">
        <v>295</v>
      </c>
      <c r="D238" s="371">
        <v>5180000</v>
      </c>
    </row>
    <row r="239" spans="1:4" s="6" customFormat="1" ht="32.25" customHeight="1">
      <c r="A239" s="368" t="s">
        <v>180</v>
      </c>
      <c r="B239" s="369">
        <v>6610</v>
      </c>
      <c r="C239" s="370" t="s">
        <v>274</v>
      </c>
      <c r="D239" s="371">
        <v>1495544</v>
      </c>
    </row>
    <row r="240" spans="1:4" s="6" customFormat="1" ht="32.25" customHeight="1">
      <c r="A240" s="368" t="s">
        <v>180</v>
      </c>
      <c r="B240" s="369">
        <v>6619</v>
      </c>
      <c r="C240" s="370" t="s">
        <v>274</v>
      </c>
      <c r="D240" s="371">
        <v>885588</v>
      </c>
    </row>
    <row r="241" spans="1:4" s="6" customFormat="1" ht="47.1" customHeight="1">
      <c r="A241" s="368" t="s">
        <v>180</v>
      </c>
      <c r="B241" s="369">
        <v>6629</v>
      </c>
      <c r="C241" s="370" t="s">
        <v>296</v>
      </c>
      <c r="D241" s="371">
        <v>776956</v>
      </c>
    </row>
    <row r="242" spans="1:4" s="5" customFormat="1">
      <c r="A242" s="364">
        <v>60014</v>
      </c>
      <c r="B242" s="365" t="s">
        <v>180</v>
      </c>
      <c r="C242" s="366" t="s">
        <v>81</v>
      </c>
      <c r="D242" s="367">
        <f>D243+D244</f>
        <v>3823853</v>
      </c>
    </row>
    <row r="243" spans="1:4" s="6" customFormat="1" ht="63" customHeight="1">
      <c r="A243" s="368" t="s">
        <v>180</v>
      </c>
      <c r="B243" s="369">
        <v>6259</v>
      </c>
      <c r="C243" s="370" t="s">
        <v>183</v>
      </c>
      <c r="D243" s="371">
        <v>223853</v>
      </c>
    </row>
    <row r="244" spans="1:4" s="6" customFormat="1" ht="47.1" customHeight="1">
      <c r="A244" s="368" t="s">
        <v>180</v>
      </c>
      <c r="B244" s="369">
        <v>6300</v>
      </c>
      <c r="C244" s="370" t="s">
        <v>297</v>
      </c>
      <c r="D244" s="371">
        <v>3600000</v>
      </c>
    </row>
    <row r="245" spans="1:4" s="5" customFormat="1">
      <c r="A245" s="364">
        <v>60016</v>
      </c>
      <c r="B245" s="365" t="s">
        <v>180</v>
      </c>
      <c r="C245" s="366" t="s">
        <v>384</v>
      </c>
      <c r="D245" s="367">
        <f>D246+D247</f>
        <v>1103984</v>
      </c>
    </row>
    <row r="246" spans="1:4" s="6" customFormat="1" ht="63" customHeight="1">
      <c r="A246" s="368" t="s">
        <v>180</v>
      </c>
      <c r="B246" s="369">
        <v>6259</v>
      </c>
      <c r="C246" s="370" t="s">
        <v>183</v>
      </c>
      <c r="D246" s="371">
        <v>814000</v>
      </c>
    </row>
    <row r="247" spans="1:4" s="6" customFormat="1" ht="47.1" customHeight="1">
      <c r="A247" s="368" t="s">
        <v>180</v>
      </c>
      <c r="B247" s="369">
        <v>6300</v>
      </c>
      <c r="C247" s="370" t="s">
        <v>297</v>
      </c>
      <c r="D247" s="371">
        <v>289984</v>
      </c>
    </row>
    <row r="248" spans="1:4" s="5" customFormat="1">
      <c r="A248" s="364">
        <v>60017</v>
      </c>
      <c r="B248" s="365" t="s">
        <v>180</v>
      </c>
      <c r="C248" s="366" t="s">
        <v>385</v>
      </c>
      <c r="D248" s="367">
        <f>D249</f>
        <v>3749599</v>
      </c>
    </row>
    <row r="249" spans="1:4" s="6" customFormat="1" ht="32.25" customHeight="1">
      <c r="A249" s="368" t="s">
        <v>180</v>
      </c>
      <c r="B249" s="369">
        <v>6220</v>
      </c>
      <c r="C249" s="370" t="s">
        <v>300</v>
      </c>
      <c r="D249" s="371">
        <v>3749599</v>
      </c>
    </row>
    <row r="250" spans="1:4" s="5" customFormat="1">
      <c r="A250" s="364">
        <v>60041</v>
      </c>
      <c r="B250" s="365" t="s">
        <v>180</v>
      </c>
      <c r="C250" s="366" t="s">
        <v>386</v>
      </c>
      <c r="D250" s="367">
        <f>D251</f>
        <v>10000000</v>
      </c>
    </row>
    <row r="251" spans="1:4" s="6" customFormat="1">
      <c r="A251" s="368" t="s">
        <v>180</v>
      </c>
      <c r="B251" s="369">
        <v>6010</v>
      </c>
      <c r="C251" s="370" t="s">
        <v>299</v>
      </c>
      <c r="D251" s="371">
        <v>10000000</v>
      </c>
    </row>
    <row r="252" spans="1:4" s="5" customFormat="1">
      <c r="A252" s="364">
        <v>60095</v>
      </c>
      <c r="B252" s="365" t="s">
        <v>180</v>
      </c>
      <c r="C252" s="366" t="s">
        <v>46</v>
      </c>
      <c r="D252" s="367">
        <f>SUM(D253:D261)</f>
        <v>874309</v>
      </c>
    </row>
    <row r="253" spans="1:4" s="6" customFormat="1" ht="45">
      <c r="A253" s="372" t="s">
        <v>180</v>
      </c>
      <c r="B253" s="373">
        <v>2330</v>
      </c>
      <c r="C253" s="374" t="s">
        <v>283</v>
      </c>
      <c r="D253" s="375">
        <v>50000</v>
      </c>
    </row>
    <row r="254" spans="1:4" s="6" customFormat="1">
      <c r="A254" s="376" t="s">
        <v>180</v>
      </c>
      <c r="B254" s="377">
        <v>4010</v>
      </c>
      <c r="C254" s="378" t="s">
        <v>254</v>
      </c>
      <c r="D254" s="379">
        <v>134774</v>
      </c>
    </row>
    <row r="255" spans="1:4" s="6" customFormat="1">
      <c r="A255" s="368" t="s">
        <v>180</v>
      </c>
      <c r="B255" s="369">
        <v>4040</v>
      </c>
      <c r="C255" s="370" t="s">
        <v>255</v>
      </c>
      <c r="D255" s="371">
        <v>10830</v>
      </c>
    </row>
    <row r="256" spans="1:4" s="6" customFormat="1">
      <c r="A256" s="368" t="s">
        <v>180</v>
      </c>
      <c r="B256" s="369">
        <v>4110</v>
      </c>
      <c r="C256" s="370" t="s">
        <v>256</v>
      </c>
      <c r="D256" s="371">
        <v>25029</v>
      </c>
    </row>
    <row r="257" spans="1:4" s="6" customFormat="1">
      <c r="A257" s="368" t="s">
        <v>180</v>
      </c>
      <c r="B257" s="369">
        <v>4120</v>
      </c>
      <c r="C257" s="370" t="s">
        <v>257</v>
      </c>
      <c r="D257" s="371">
        <v>3567</v>
      </c>
    </row>
    <row r="258" spans="1:4" s="6" customFormat="1">
      <c r="A258" s="368" t="s">
        <v>180</v>
      </c>
      <c r="B258" s="369">
        <v>4210</v>
      </c>
      <c r="C258" s="370" t="s">
        <v>260</v>
      </c>
      <c r="D258" s="371">
        <v>1000</v>
      </c>
    </row>
    <row r="259" spans="1:4" s="6" customFormat="1">
      <c r="A259" s="368" t="s">
        <v>180</v>
      </c>
      <c r="B259" s="369">
        <v>4300</v>
      </c>
      <c r="C259" s="370" t="s">
        <v>264</v>
      </c>
      <c r="D259" s="371">
        <v>617800</v>
      </c>
    </row>
    <row r="260" spans="1:4" s="6" customFormat="1">
      <c r="A260" s="368" t="s">
        <v>180</v>
      </c>
      <c r="B260" s="369">
        <v>4410</v>
      </c>
      <c r="C260" s="370" t="s">
        <v>267</v>
      </c>
      <c r="D260" s="371">
        <v>1000</v>
      </c>
    </row>
    <row r="261" spans="1:4" s="6" customFormat="1">
      <c r="A261" s="368" t="s">
        <v>180</v>
      </c>
      <c r="B261" s="369">
        <v>4430</v>
      </c>
      <c r="C261" s="370" t="s">
        <v>269</v>
      </c>
      <c r="D261" s="371">
        <v>30309</v>
      </c>
    </row>
    <row r="262" spans="1:4" s="5" customFormat="1">
      <c r="A262" s="362" t="s">
        <v>55</v>
      </c>
      <c r="B262" s="380" t="s">
        <v>180</v>
      </c>
      <c r="C262" s="385" t="s">
        <v>56</v>
      </c>
      <c r="D262" s="363">
        <f>D263</f>
        <v>1412023</v>
      </c>
    </row>
    <row r="263" spans="1:4" s="5" customFormat="1">
      <c r="A263" s="364">
        <v>63095</v>
      </c>
      <c r="B263" s="365" t="s">
        <v>180</v>
      </c>
      <c r="C263" s="366" t="s">
        <v>46</v>
      </c>
      <c r="D263" s="367">
        <f>SUM(D264:D302)</f>
        <v>1412023</v>
      </c>
    </row>
    <row r="264" spans="1:4" s="6" customFormat="1" ht="45">
      <c r="A264" s="368" t="s">
        <v>180</v>
      </c>
      <c r="B264" s="369">
        <v>2360</v>
      </c>
      <c r="C264" s="370" t="s">
        <v>298</v>
      </c>
      <c r="D264" s="371">
        <v>150000</v>
      </c>
    </row>
    <row r="265" spans="1:4" s="6" customFormat="1">
      <c r="A265" s="368" t="s">
        <v>180</v>
      </c>
      <c r="B265" s="369">
        <v>3038</v>
      </c>
      <c r="C265" s="370" t="s">
        <v>280</v>
      </c>
      <c r="D265" s="371">
        <v>4250</v>
      </c>
    </row>
    <row r="266" spans="1:4" s="6" customFormat="1">
      <c r="A266" s="368" t="s">
        <v>180</v>
      </c>
      <c r="B266" s="369">
        <v>3039</v>
      </c>
      <c r="C266" s="370" t="s">
        <v>280</v>
      </c>
      <c r="D266" s="371">
        <v>750</v>
      </c>
    </row>
    <row r="267" spans="1:4" s="6" customFormat="1">
      <c r="A267" s="368" t="s">
        <v>180</v>
      </c>
      <c r="B267" s="369">
        <v>4010</v>
      </c>
      <c r="C267" s="370" t="s">
        <v>254</v>
      </c>
      <c r="D267" s="371">
        <v>139725</v>
      </c>
    </row>
    <row r="268" spans="1:4" s="6" customFormat="1">
      <c r="A268" s="368" t="s">
        <v>180</v>
      </c>
      <c r="B268" s="369">
        <v>4018</v>
      </c>
      <c r="C268" s="370" t="s">
        <v>254</v>
      </c>
      <c r="D268" s="371">
        <v>88403</v>
      </c>
    </row>
    <row r="269" spans="1:4" s="6" customFormat="1">
      <c r="A269" s="368" t="s">
        <v>180</v>
      </c>
      <c r="B269" s="369">
        <v>4019</v>
      </c>
      <c r="C269" s="370" t="s">
        <v>254</v>
      </c>
      <c r="D269" s="371">
        <v>15600</v>
      </c>
    </row>
    <row r="270" spans="1:4" s="6" customFormat="1">
      <c r="A270" s="368" t="s">
        <v>180</v>
      </c>
      <c r="B270" s="369">
        <v>4040</v>
      </c>
      <c r="C270" s="370" t="s">
        <v>255</v>
      </c>
      <c r="D270" s="371">
        <v>17450</v>
      </c>
    </row>
    <row r="271" spans="1:4" s="6" customFormat="1">
      <c r="A271" s="368" t="s">
        <v>180</v>
      </c>
      <c r="B271" s="369">
        <v>4048</v>
      </c>
      <c r="C271" s="370" t="s">
        <v>255</v>
      </c>
      <c r="D271" s="371">
        <v>15173</v>
      </c>
    </row>
    <row r="272" spans="1:4" s="6" customFormat="1">
      <c r="A272" s="368" t="s">
        <v>180</v>
      </c>
      <c r="B272" s="369">
        <v>4049</v>
      </c>
      <c r="C272" s="370" t="s">
        <v>255</v>
      </c>
      <c r="D272" s="371">
        <v>2678</v>
      </c>
    </row>
    <row r="273" spans="1:4" s="6" customFormat="1">
      <c r="A273" s="368" t="s">
        <v>180</v>
      </c>
      <c r="B273" s="369">
        <v>4110</v>
      </c>
      <c r="C273" s="370" t="s">
        <v>256</v>
      </c>
      <c r="D273" s="371">
        <v>27155</v>
      </c>
    </row>
    <row r="274" spans="1:4" s="6" customFormat="1" ht="15.75" customHeight="1">
      <c r="A274" s="368" t="s">
        <v>180</v>
      </c>
      <c r="B274" s="369">
        <v>4118</v>
      </c>
      <c r="C274" s="370" t="s">
        <v>256</v>
      </c>
      <c r="D274" s="371">
        <v>17806</v>
      </c>
    </row>
    <row r="275" spans="1:4" s="6" customFormat="1" ht="15.75" customHeight="1">
      <c r="A275" s="368" t="s">
        <v>180</v>
      </c>
      <c r="B275" s="369">
        <v>4119</v>
      </c>
      <c r="C275" s="370" t="s">
        <v>256</v>
      </c>
      <c r="D275" s="371">
        <v>3142</v>
      </c>
    </row>
    <row r="276" spans="1:4" s="6" customFormat="1" ht="15.75" customHeight="1">
      <c r="A276" s="368" t="s">
        <v>180</v>
      </c>
      <c r="B276" s="369">
        <v>4120</v>
      </c>
      <c r="C276" s="370" t="s">
        <v>257</v>
      </c>
      <c r="D276" s="371">
        <v>3870</v>
      </c>
    </row>
    <row r="277" spans="1:4" s="6" customFormat="1" ht="15.75" customHeight="1">
      <c r="A277" s="368" t="s">
        <v>180</v>
      </c>
      <c r="B277" s="369">
        <v>4128</v>
      </c>
      <c r="C277" s="370" t="s">
        <v>257</v>
      </c>
      <c r="D277" s="371">
        <v>2538</v>
      </c>
    </row>
    <row r="278" spans="1:4" s="6" customFormat="1" ht="15.75" customHeight="1">
      <c r="A278" s="368" t="s">
        <v>180</v>
      </c>
      <c r="B278" s="369">
        <v>4129</v>
      </c>
      <c r="C278" s="370" t="s">
        <v>257</v>
      </c>
      <c r="D278" s="371">
        <v>448</v>
      </c>
    </row>
    <row r="279" spans="1:4" s="6" customFormat="1" ht="15.75" customHeight="1">
      <c r="A279" s="368" t="s">
        <v>180</v>
      </c>
      <c r="B279" s="369">
        <v>4170</v>
      </c>
      <c r="C279" s="370" t="s">
        <v>258</v>
      </c>
      <c r="D279" s="371">
        <v>1000</v>
      </c>
    </row>
    <row r="280" spans="1:4" s="6" customFormat="1" ht="15.75" customHeight="1">
      <c r="A280" s="368" t="s">
        <v>180</v>
      </c>
      <c r="B280" s="369">
        <v>4190</v>
      </c>
      <c r="C280" s="370" t="s">
        <v>259</v>
      </c>
      <c r="D280" s="371">
        <v>5000</v>
      </c>
    </row>
    <row r="281" spans="1:4" s="6" customFormat="1" ht="15.75" customHeight="1">
      <c r="A281" s="368" t="s">
        <v>180</v>
      </c>
      <c r="B281" s="369">
        <v>4210</v>
      </c>
      <c r="C281" s="370" t="s">
        <v>260</v>
      </c>
      <c r="D281" s="371">
        <v>16000</v>
      </c>
    </row>
    <row r="282" spans="1:4" s="6" customFormat="1" ht="15.75" customHeight="1">
      <c r="A282" s="368" t="s">
        <v>180</v>
      </c>
      <c r="B282" s="369">
        <v>4218</v>
      </c>
      <c r="C282" s="370" t="s">
        <v>260</v>
      </c>
      <c r="D282" s="371">
        <v>6800</v>
      </c>
    </row>
    <row r="283" spans="1:4" s="6" customFormat="1" ht="15.75" customHeight="1">
      <c r="A283" s="368" t="s">
        <v>180</v>
      </c>
      <c r="B283" s="369">
        <v>4219</v>
      </c>
      <c r="C283" s="370" t="s">
        <v>260</v>
      </c>
      <c r="D283" s="371">
        <v>1200</v>
      </c>
    </row>
    <row r="284" spans="1:4" s="6" customFormat="1" ht="15.75" customHeight="1">
      <c r="A284" s="368" t="s">
        <v>180</v>
      </c>
      <c r="B284" s="369">
        <v>4228</v>
      </c>
      <c r="C284" s="370" t="s">
        <v>261</v>
      </c>
      <c r="D284" s="371">
        <v>1615</v>
      </c>
    </row>
    <row r="285" spans="1:4" s="6" customFormat="1" ht="15.75" customHeight="1">
      <c r="A285" s="368" t="s">
        <v>180</v>
      </c>
      <c r="B285" s="369">
        <v>4229</v>
      </c>
      <c r="C285" s="370" t="s">
        <v>261</v>
      </c>
      <c r="D285" s="371">
        <v>285</v>
      </c>
    </row>
    <row r="286" spans="1:4" s="6" customFormat="1" ht="15.75" customHeight="1">
      <c r="A286" s="368" t="s">
        <v>180</v>
      </c>
      <c r="B286" s="369">
        <v>4300</v>
      </c>
      <c r="C286" s="370" t="s">
        <v>264</v>
      </c>
      <c r="D286" s="371">
        <v>273250</v>
      </c>
    </row>
    <row r="287" spans="1:4" s="6" customFormat="1" ht="15.75" customHeight="1">
      <c r="A287" s="368" t="s">
        <v>180</v>
      </c>
      <c r="B287" s="369">
        <v>4308</v>
      </c>
      <c r="C287" s="370" t="s">
        <v>264</v>
      </c>
      <c r="D287" s="371">
        <v>101122</v>
      </c>
    </row>
    <row r="288" spans="1:4" s="6" customFormat="1" ht="15.75" customHeight="1">
      <c r="A288" s="368" t="s">
        <v>180</v>
      </c>
      <c r="B288" s="369">
        <v>4309</v>
      </c>
      <c r="C288" s="370" t="s">
        <v>264</v>
      </c>
      <c r="D288" s="371">
        <v>17844</v>
      </c>
    </row>
    <row r="289" spans="1:4" s="6" customFormat="1" ht="15.75" customHeight="1">
      <c r="A289" s="368" t="s">
        <v>180</v>
      </c>
      <c r="B289" s="369">
        <v>4388</v>
      </c>
      <c r="C289" s="370" t="s">
        <v>382</v>
      </c>
      <c r="D289" s="371">
        <v>5738</v>
      </c>
    </row>
    <row r="290" spans="1:4" s="6" customFormat="1" ht="15.75" customHeight="1">
      <c r="A290" s="368" t="s">
        <v>180</v>
      </c>
      <c r="B290" s="369">
        <v>4389</v>
      </c>
      <c r="C290" s="370" t="s">
        <v>382</v>
      </c>
      <c r="D290" s="371">
        <v>1013</v>
      </c>
    </row>
    <row r="291" spans="1:4" s="6" customFormat="1" ht="15.75" customHeight="1">
      <c r="A291" s="368" t="s">
        <v>180</v>
      </c>
      <c r="B291" s="369">
        <v>4390</v>
      </c>
      <c r="C291" s="370" t="s">
        <v>281</v>
      </c>
      <c r="D291" s="371">
        <v>20000</v>
      </c>
    </row>
    <row r="292" spans="1:4" s="6" customFormat="1" ht="15.75" customHeight="1">
      <c r="A292" s="368" t="s">
        <v>180</v>
      </c>
      <c r="B292" s="369">
        <v>4418</v>
      </c>
      <c r="C292" s="370" t="s">
        <v>267</v>
      </c>
      <c r="D292" s="371">
        <v>1275</v>
      </c>
    </row>
    <row r="293" spans="1:4" s="6" customFormat="1" ht="15.75" customHeight="1">
      <c r="A293" s="368" t="s">
        <v>180</v>
      </c>
      <c r="B293" s="369">
        <v>4419</v>
      </c>
      <c r="C293" s="370" t="s">
        <v>267</v>
      </c>
      <c r="D293" s="371">
        <v>225</v>
      </c>
    </row>
    <row r="294" spans="1:4" s="6" customFormat="1" ht="15.75" customHeight="1">
      <c r="A294" s="368" t="s">
        <v>180</v>
      </c>
      <c r="B294" s="369">
        <v>4428</v>
      </c>
      <c r="C294" s="370" t="s">
        <v>268</v>
      </c>
      <c r="D294" s="371">
        <v>25159</v>
      </c>
    </row>
    <row r="295" spans="1:4" s="6" customFormat="1" ht="15.75" customHeight="1">
      <c r="A295" s="368" t="s">
        <v>180</v>
      </c>
      <c r="B295" s="369">
        <v>4429</v>
      </c>
      <c r="C295" s="370" t="s">
        <v>268</v>
      </c>
      <c r="D295" s="371">
        <v>4440</v>
      </c>
    </row>
    <row r="296" spans="1:4" s="6" customFormat="1" ht="15.75" customHeight="1">
      <c r="A296" s="368" t="s">
        <v>180</v>
      </c>
      <c r="B296" s="369">
        <v>4430</v>
      </c>
      <c r="C296" s="370" t="s">
        <v>269</v>
      </c>
      <c r="D296" s="371">
        <v>414903</v>
      </c>
    </row>
    <row r="297" spans="1:4" s="6" customFormat="1" ht="15.75" customHeight="1">
      <c r="A297" s="368" t="s">
        <v>180</v>
      </c>
      <c r="B297" s="369">
        <v>4438</v>
      </c>
      <c r="C297" s="370" t="s">
        <v>269</v>
      </c>
      <c r="D297" s="371">
        <v>425</v>
      </c>
    </row>
    <row r="298" spans="1:4" s="6" customFormat="1" ht="15.75" customHeight="1">
      <c r="A298" s="368" t="s">
        <v>180</v>
      </c>
      <c r="B298" s="369">
        <v>4439</v>
      </c>
      <c r="C298" s="370" t="s">
        <v>269</v>
      </c>
      <c r="D298" s="371">
        <v>75</v>
      </c>
    </row>
    <row r="299" spans="1:4" s="6" customFormat="1" ht="15.75" customHeight="1">
      <c r="A299" s="368" t="s">
        <v>180</v>
      </c>
      <c r="B299" s="369">
        <v>4540</v>
      </c>
      <c r="C299" s="370" t="s">
        <v>277</v>
      </c>
      <c r="D299" s="371">
        <v>23666</v>
      </c>
    </row>
    <row r="300" spans="1:4" s="6" customFormat="1" ht="15.75" customHeight="1">
      <c r="A300" s="368" t="s">
        <v>180</v>
      </c>
      <c r="B300" s="369">
        <v>4710</v>
      </c>
      <c r="C300" s="370" t="s">
        <v>294</v>
      </c>
      <c r="D300" s="371">
        <v>800</v>
      </c>
    </row>
    <row r="301" spans="1:4" s="6" customFormat="1" ht="15.75" customHeight="1">
      <c r="A301" s="368" t="s">
        <v>180</v>
      </c>
      <c r="B301" s="369">
        <v>4718</v>
      </c>
      <c r="C301" s="370" t="s">
        <v>294</v>
      </c>
      <c r="D301" s="371">
        <v>1020</v>
      </c>
    </row>
    <row r="302" spans="1:4" s="6" customFormat="1" ht="15.75" customHeight="1">
      <c r="A302" s="372" t="s">
        <v>180</v>
      </c>
      <c r="B302" s="373">
        <v>4719</v>
      </c>
      <c r="C302" s="374" t="s">
        <v>294</v>
      </c>
      <c r="D302" s="375">
        <v>180</v>
      </c>
    </row>
    <row r="303" spans="1:4" s="6" customFormat="1">
      <c r="A303" s="362" t="s">
        <v>25</v>
      </c>
      <c r="B303" s="380" t="s">
        <v>180</v>
      </c>
      <c r="C303" s="264" t="s">
        <v>26</v>
      </c>
      <c r="D303" s="363">
        <f>D304+D326</f>
        <v>1512272</v>
      </c>
    </row>
    <row r="304" spans="1:4" s="5" customFormat="1">
      <c r="A304" s="364">
        <v>70005</v>
      </c>
      <c r="B304" s="365" t="s">
        <v>180</v>
      </c>
      <c r="C304" s="366" t="s">
        <v>82</v>
      </c>
      <c r="D304" s="367">
        <f>SUM(D305:D325)</f>
        <v>1362272</v>
      </c>
    </row>
    <row r="305" spans="1:4" s="6" customFormat="1">
      <c r="A305" s="368" t="s">
        <v>180</v>
      </c>
      <c r="B305" s="369">
        <v>4017</v>
      </c>
      <c r="C305" s="370" t="s">
        <v>254</v>
      </c>
      <c r="D305" s="371">
        <v>17813</v>
      </c>
    </row>
    <row r="306" spans="1:4" s="6" customFormat="1">
      <c r="A306" s="368" t="s">
        <v>180</v>
      </c>
      <c r="B306" s="369">
        <v>4019</v>
      </c>
      <c r="C306" s="370" t="s">
        <v>254</v>
      </c>
      <c r="D306" s="371">
        <v>937</v>
      </c>
    </row>
    <row r="307" spans="1:4" s="6" customFormat="1">
      <c r="A307" s="368" t="s">
        <v>180</v>
      </c>
      <c r="B307" s="369">
        <v>4117</v>
      </c>
      <c r="C307" s="370" t="s">
        <v>256</v>
      </c>
      <c r="D307" s="371">
        <v>3062</v>
      </c>
    </row>
    <row r="308" spans="1:4" s="6" customFormat="1">
      <c r="A308" s="368" t="s">
        <v>180</v>
      </c>
      <c r="B308" s="369">
        <v>4119</v>
      </c>
      <c r="C308" s="370" t="s">
        <v>256</v>
      </c>
      <c r="D308" s="371">
        <v>161</v>
      </c>
    </row>
    <row r="309" spans="1:4" s="6" customFormat="1">
      <c r="A309" s="368" t="s">
        <v>180</v>
      </c>
      <c r="B309" s="369">
        <v>4127</v>
      </c>
      <c r="C309" s="370" t="s">
        <v>257</v>
      </c>
      <c r="D309" s="371">
        <v>436</v>
      </c>
    </row>
    <row r="310" spans="1:4" s="6" customFormat="1">
      <c r="A310" s="368" t="s">
        <v>180</v>
      </c>
      <c r="B310" s="369">
        <v>4129</v>
      </c>
      <c r="C310" s="370" t="s">
        <v>257</v>
      </c>
      <c r="D310" s="371">
        <v>24</v>
      </c>
    </row>
    <row r="311" spans="1:4" s="6" customFormat="1">
      <c r="A311" s="368" t="s">
        <v>180</v>
      </c>
      <c r="B311" s="369">
        <v>4210</v>
      </c>
      <c r="C311" s="370" t="s">
        <v>260</v>
      </c>
      <c r="D311" s="371">
        <v>3000</v>
      </c>
    </row>
    <row r="312" spans="1:4" s="6" customFormat="1">
      <c r="A312" s="372" t="s">
        <v>180</v>
      </c>
      <c r="B312" s="373">
        <v>4260</v>
      </c>
      <c r="C312" s="374" t="s">
        <v>262</v>
      </c>
      <c r="D312" s="375">
        <v>125000</v>
      </c>
    </row>
    <row r="313" spans="1:4" s="6" customFormat="1">
      <c r="A313" s="376" t="s">
        <v>180</v>
      </c>
      <c r="B313" s="377">
        <v>4270</v>
      </c>
      <c r="C313" s="378" t="s">
        <v>263</v>
      </c>
      <c r="D313" s="379">
        <v>22500</v>
      </c>
    </row>
    <row r="314" spans="1:4" s="6" customFormat="1">
      <c r="A314" s="368" t="s">
        <v>180</v>
      </c>
      <c r="B314" s="369">
        <v>4300</v>
      </c>
      <c r="C314" s="370" t="s">
        <v>264</v>
      </c>
      <c r="D314" s="371">
        <v>259000</v>
      </c>
    </row>
    <row r="315" spans="1:4" s="6" customFormat="1">
      <c r="A315" s="368" t="s">
        <v>180</v>
      </c>
      <c r="B315" s="369">
        <v>4307</v>
      </c>
      <c r="C315" s="370" t="s">
        <v>264</v>
      </c>
      <c r="D315" s="371">
        <v>950</v>
      </c>
    </row>
    <row r="316" spans="1:4" s="6" customFormat="1">
      <c r="A316" s="368" t="s">
        <v>180</v>
      </c>
      <c r="B316" s="369">
        <v>4309</v>
      </c>
      <c r="C316" s="370" t="s">
        <v>264</v>
      </c>
      <c r="D316" s="371">
        <v>50</v>
      </c>
    </row>
    <row r="317" spans="1:4" s="6" customFormat="1">
      <c r="A317" s="368" t="s">
        <v>180</v>
      </c>
      <c r="B317" s="369">
        <v>4430</v>
      </c>
      <c r="C317" s="370" t="s">
        <v>269</v>
      </c>
      <c r="D317" s="371">
        <v>30000</v>
      </c>
    </row>
    <row r="318" spans="1:4" s="6" customFormat="1">
      <c r="A318" s="368" t="s">
        <v>180</v>
      </c>
      <c r="B318" s="369">
        <v>4480</v>
      </c>
      <c r="C318" s="370" t="s">
        <v>290</v>
      </c>
      <c r="D318" s="371">
        <v>125700</v>
      </c>
    </row>
    <row r="319" spans="1:4" s="6" customFormat="1">
      <c r="A319" s="368" t="s">
        <v>180</v>
      </c>
      <c r="B319" s="369">
        <v>4500</v>
      </c>
      <c r="C319" s="370" t="s">
        <v>291</v>
      </c>
      <c r="D319" s="371">
        <v>1000</v>
      </c>
    </row>
    <row r="320" spans="1:4" s="6" customFormat="1">
      <c r="A320" s="368" t="s">
        <v>180</v>
      </c>
      <c r="B320" s="369">
        <v>4510</v>
      </c>
      <c r="C320" s="370" t="s">
        <v>292</v>
      </c>
      <c r="D320" s="371">
        <v>15000</v>
      </c>
    </row>
    <row r="321" spans="1:4" s="6" customFormat="1">
      <c r="A321" s="368" t="s">
        <v>180</v>
      </c>
      <c r="B321" s="369">
        <v>4520</v>
      </c>
      <c r="C321" s="370" t="s">
        <v>293</v>
      </c>
      <c r="D321" s="371">
        <v>16000</v>
      </c>
    </row>
    <row r="322" spans="1:4" s="6" customFormat="1">
      <c r="A322" s="368" t="s">
        <v>180</v>
      </c>
      <c r="B322" s="369">
        <v>4530</v>
      </c>
      <c r="C322" s="370" t="s">
        <v>276</v>
      </c>
      <c r="D322" s="371">
        <v>5300</v>
      </c>
    </row>
    <row r="323" spans="1:4" s="6" customFormat="1">
      <c r="A323" s="368" t="s">
        <v>180</v>
      </c>
      <c r="B323" s="369">
        <v>6050</v>
      </c>
      <c r="C323" s="370" t="s">
        <v>282</v>
      </c>
      <c r="D323" s="371">
        <v>56395</v>
      </c>
    </row>
    <row r="324" spans="1:4" s="6" customFormat="1">
      <c r="A324" s="368" t="s">
        <v>180</v>
      </c>
      <c r="B324" s="369">
        <v>6057</v>
      </c>
      <c r="C324" s="370" t="s">
        <v>282</v>
      </c>
      <c r="D324" s="371">
        <v>645946</v>
      </c>
    </row>
    <row r="325" spans="1:4" s="6" customFormat="1">
      <c r="A325" s="368" t="s">
        <v>180</v>
      </c>
      <c r="B325" s="369">
        <v>6059</v>
      </c>
      <c r="C325" s="370" t="s">
        <v>282</v>
      </c>
      <c r="D325" s="371">
        <v>33998</v>
      </c>
    </row>
    <row r="326" spans="1:4" s="5" customFormat="1">
      <c r="A326" s="364">
        <v>70007</v>
      </c>
      <c r="B326" s="365" t="s">
        <v>180</v>
      </c>
      <c r="C326" s="366" t="s">
        <v>387</v>
      </c>
      <c r="D326" s="367">
        <f>D327</f>
        <v>150000</v>
      </c>
    </row>
    <row r="327" spans="1:4" s="6" customFormat="1" ht="45">
      <c r="A327" s="368" t="s">
        <v>180</v>
      </c>
      <c r="B327" s="369">
        <v>6300</v>
      </c>
      <c r="C327" s="370" t="s">
        <v>297</v>
      </c>
      <c r="D327" s="371">
        <v>150000</v>
      </c>
    </row>
    <row r="328" spans="1:4" s="5" customFormat="1">
      <c r="A328" s="362" t="s">
        <v>27</v>
      </c>
      <c r="B328" s="380" t="s">
        <v>180</v>
      </c>
      <c r="C328" s="264" t="s">
        <v>28</v>
      </c>
      <c r="D328" s="363">
        <f>D329+D352+D357+D363+D369</f>
        <v>5581255</v>
      </c>
    </row>
    <row r="329" spans="1:4" s="5" customFormat="1">
      <c r="A329" s="364">
        <v>71003</v>
      </c>
      <c r="B329" s="365" t="s">
        <v>180</v>
      </c>
      <c r="C329" s="366" t="s">
        <v>83</v>
      </c>
      <c r="D329" s="367">
        <f>SUM(D330:D351)</f>
        <v>5018355</v>
      </c>
    </row>
    <row r="330" spans="1:4" s="6" customFormat="1">
      <c r="A330" s="368" t="s">
        <v>180</v>
      </c>
      <c r="B330" s="369">
        <v>3020</v>
      </c>
      <c r="C330" s="370" t="s">
        <v>286</v>
      </c>
      <c r="D330" s="371">
        <v>4500</v>
      </c>
    </row>
    <row r="331" spans="1:4" s="6" customFormat="1">
      <c r="A331" s="368" t="s">
        <v>180</v>
      </c>
      <c r="B331" s="369">
        <v>4010</v>
      </c>
      <c r="C331" s="370" t="s">
        <v>254</v>
      </c>
      <c r="D331" s="371">
        <v>3396416</v>
      </c>
    </row>
    <row r="332" spans="1:4" s="6" customFormat="1">
      <c r="A332" s="368" t="s">
        <v>180</v>
      </c>
      <c r="B332" s="369">
        <v>4040</v>
      </c>
      <c r="C332" s="370" t="s">
        <v>255</v>
      </c>
      <c r="D332" s="371">
        <v>276862</v>
      </c>
    </row>
    <row r="333" spans="1:4" s="6" customFormat="1">
      <c r="A333" s="368" t="s">
        <v>180</v>
      </c>
      <c r="B333" s="369">
        <v>4110</v>
      </c>
      <c r="C333" s="370" t="s">
        <v>256</v>
      </c>
      <c r="D333" s="371">
        <v>612575</v>
      </c>
    </row>
    <row r="334" spans="1:4" s="6" customFormat="1">
      <c r="A334" s="368" t="s">
        <v>180</v>
      </c>
      <c r="B334" s="369">
        <v>4120</v>
      </c>
      <c r="C334" s="370" t="s">
        <v>257</v>
      </c>
      <c r="D334" s="371">
        <v>72233</v>
      </c>
    </row>
    <row r="335" spans="1:4" s="6" customFormat="1">
      <c r="A335" s="368" t="s">
        <v>180</v>
      </c>
      <c r="B335" s="369">
        <v>4140</v>
      </c>
      <c r="C335" s="370" t="s">
        <v>287</v>
      </c>
      <c r="D335" s="371">
        <v>90000</v>
      </c>
    </row>
    <row r="336" spans="1:4" s="6" customFormat="1">
      <c r="A336" s="368" t="s">
        <v>180</v>
      </c>
      <c r="B336" s="369">
        <v>4170</v>
      </c>
      <c r="C336" s="370" t="s">
        <v>258</v>
      </c>
      <c r="D336" s="371">
        <v>6000</v>
      </c>
    </row>
    <row r="337" spans="1:4" s="6" customFormat="1">
      <c r="A337" s="368" t="s">
        <v>180</v>
      </c>
      <c r="B337" s="369">
        <v>4210</v>
      </c>
      <c r="C337" s="370" t="s">
        <v>260</v>
      </c>
      <c r="D337" s="371">
        <v>85700</v>
      </c>
    </row>
    <row r="338" spans="1:4" s="6" customFormat="1">
      <c r="A338" s="368" t="s">
        <v>180</v>
      </c>
      <c r="B338" s="369">
        <v>4220</v>
      </c>
      <c r="C338" s="370" t="s">
        <v>261</v>
      </c>
      <c r="D338" s="371">
        <v>1000</v>
      </c>
    </row>
    <row r="339" spans="1:4" s="6" customFormat="1">
      <c r="A339" s="368" t="s">
        <v>180</v>
      </c>
      <c r="B339" s="369">
        <v>4260</v>
      </c>
      <c r="C339" s="370" t="s">
        <v>262</v>
      </c>
      <c r="D339" s="371">
        <v>100000</v>
      </c>
    </row>
    <row r="340" spans="1:4" s="6" customFormat="1">
      <c r="A340" s="368" t="s">
        <v>180</v>
      </c>
      <c r="B340" s="369">
        <v>4270</v>
      </c>
      <c r="C340" s="370" t="s">
        <v>263</v>
      </c>
      <c r="D340" s="371">
        <v>29000</v>
      </c>
    </row>
    <row r="341" spans="1:4" s="6" customFormat="1">
      <c r="A341" s="368" t="s">
        <v>180</v>
      </c>
      <c r="B341" s="369">
        <v>4280</v>
      </c>
      <c r="C341" s="370" t="s">
        <v>288</v>
      </c>
      <c r="D341" s="371">
        <v>3000</v>
      </c>
    </row>
    <row r="342" spans="1:4" s="6" customFormat="1">
      <c r="A342" s="368" t="s">
        <v>180</v>
      </c>
      <c r="B342" s="369">
        <v>4300</v>
      </c>
      <c r="C342" s="370" t="s">
        <v>264</v>
      </c>
      <c r="D342" s="371">
        <v>122800</v>
      </c>
    </row>
    <row r="343" spans="1:4" s="6" customFormat="1">
      <c r="A343" s="368" t="s">
        <v>180</v>
      </c>
      <c r="B343" s="369">
        <v>4360</v>
      </c>
      <c r="C343" s="370" t="s">
        <v>265</v>
      </c>
      <c r="D343" s="371">
        <v>41800</v>
      </c>
    </row>
    <row r="344" spans="1:4" s="6" customFormat="1">
      <c r="A344" s="368" t="s">
        <v>180</v>
      </c>
      <c r="B344" s="369">
        <v>4410</v>
      </c>
      <c r="C344" s="370" t="s">
        <v>267</v>
      </c>
      <c r="D344" s="371">
        <v>9000</v>
      </c>
    </row>
    <row r="345" spans="1:4" s="6" customFormat="1">
      <c r="A345" s="368" t="s">
        <v>180</v>
      </c>
      <c r="B345" s="369">
        <v>4430</v>
      </c>
      <c r="C345" s="370" t="s">
        <v>269</v>
      </c>
      <c r="D345" s="371">
        <v>8000</v>
      </c>
    </row>
    <row r="346" spans="1:4" s="6" customFormat="1" ht="15.75" customHeight="1">
      <c r="A346" s="368" t="s">
        <v>180</v>
      </c>
      <c r="B346" s="369">
        <v>4440</v>
      </c>
      <c r="C346" s="370" t="s">
        <v>289</v>
      </c>
      <c r="D346" s="371">
        <v>88969</v>
      </c>
    </row>
    <row r="347" spans="1:4" s="6" customFormat="1" ht="15.75" customHeight="1">
      <c r="A347" s="368" t="s">
        <v>180</v>
      </c>
      <c r="B347" s="369">
        <v>4480</v>
      </c>
      <c r="C347" s="370" t="s">
        <v>290</v>
      </c>
      <c r="D347" s="371">
        <v>3000</v>
      </c>
    </row>
    <row r="348" spans="1:4" s="6" customFormat="1" ht="15.75" customHeight="1">
      <c r="A348" s="368" t="s">
        <v>180</v>
      </c>
      <c r="B348" s="369">
        <v>4520</v>
      </c>
      <c r="C348" s="370" t="s">
        <v>293</v>
      </c>
      <c r="D348" s="371">
        <v>17000</v>
      </c>
    </row>
    <row r="349" spans="1:4" s="6" customFormat="1" ht="15.75" customHeight="1">
      <c r="A349" s="368" t="s">
        <v>180</v>
      </c>
      <c r="B349" s="369">
        <v>4700</v>
      </c>
      <c r="C349" s="370" t="s">
        <v>270</v>
      </c>
      <c r="D349" s="371">
        <v>11000</v>
      </c>
    </row>
    <row r="350" spans="1:4" s="6" customFormat="1" ht="15.75" customHeight="1">
      <c r="A350" s="368" t="s">
        <v>180</v>
      </c>
      <c r="B350" s="369">
        <v>4710</v>
      </c>
      <c r="C350" s="370" t="s">
        <v>294</v>
      </c>
      <c r="D350" s="371">
        <v>10500</v>
      </c>
    </row>
    <row r="351" spans="1:4" s="6" customFormat="1" ht="15.75" customHeight="1">
      <c r="A351" s="368" t="s">
        <v>180</v>
      </c>
      <c r="B351" s="369">
        <v>6060</v>
      </c>
      <c r="C351" s="370" t="s">
        <v>295</v>
      </c>
      <c r="D351" s="371">
        <v>29000</v>
      </c>
    </row>
    <row r="352" spans="1:4" s="5" customFormat="1" ht="15.75" customHeight="1">
      <c r="A352" s="364">
        <v>71004</v>
      </c>
      <c r="B352" s="365" t="s">
        <v>180</v>
      </c>
      <c r="C352" s="366" t="s">
        <v>84</v>
      </c>
      <c r="D352" s="367">
        <f>SUM(D353:D356)</f>
        <v>20000</v>
      </c>
    </row>
    <row r="353" spans="1:4" s="6" customFormat="1" ht="15.75" customHeight="1">
      <c r="A353" s="368" t="s">
        <v>180</v>
      </c>
      <c r="B353" s="369">
        <v>4110</v>
      </c>
      <c r="C353" s="370" t="s">
        <v>256</v>
      </c>
      <c r="D353" s="371">
        <v>100</v>
      </c>
    </row>
    <row r="354" spans="1:4" s="6" customFormat="1" ht="15.75" customHeight="1">
      <c r="A354" s="368" t="s">
        <v>180</v>
      </c>
      <c r="B354" s="369">
        <v>4170</v>
      </c>
      <c r="C354" s="370" t="s">
        <v>258</v>
      </c>
      <c r="D354" s="371">
        <v>400</v>
      </c>
    </row>
    <row r="355" spans="1:4" s="6" customFormat="1" ht="15.75" customHeight="1">
      <c r="A355" s="368" t="s">
        <v>180</v>
      </c>
      <c r="B355" s="369">
        <v>4210</v>
      </c>
      <c r="C355" s="370" t="s">
        <v>260</v>
      </c>
      <c r="D355" s="371">
        <v>3000</v>
      </c>
    </row>
    <row r="356" spans="1:4" s="6" customFormat="1" ht="15.75" customHeight="1">
      <c r="A356" s="368" t="s">
        <v>180</v>
      </c>
      <c r="B356" s="369">
        <v>4300</v>
      </c>
      <c r="C356" s="370" t="s">
        <v>264</v>
      </c>
      <c r="D356" s="371">
        <v>16500</v>
      </c>
    </row>
    <row r="357" spans="1:4" s="5" customFormat="1" ht="15.75" customHeight="1">
      <c r="A357" s="364">
        <v>71005</v>
      </c>
      <c r="B357" s="365" t="s">
        <v>180</v>
      </c>
      <c r="C357" s="366" t="s">
        <v>50</v>
      </c>
      <c r="D357" s="367">
        <f>SUM(D358:D362)</f>
        <v>269000</v>
      </c>
    </row>
    <row r="358" spans="1:4" s="6" customFormat="1" ht="15.75" customHeight="1">
      <c r="A358" s="368" t="s">
        <v>180</v>
      </c>
      <c r="B358" s="369">
        <v>4010</v>
      </c>
      <c r="C358" s="370" t="s">
        <v>254</v>
      </c>
      <c r="D358" s="371">
        <v>203691</v>
      </c>
    </row>
    <row r="359" spans="1:4" s="6" customFormat="1" ht="15.75" customHeight="1">
      <c r="A359" s="368" t="s">
        <v>180</v>
      </c>
      <c r="B359" s="369">
        <v>4040</v>
      </c>
      <c r="C359" s="370" t="s">
        <v>255</v>
      </c>
      <c r="D359" s="371">
        <v>20000</v>
      </c>
    </row>
    <row r="360" spans="1:4" s="6" customFormat="1" ht="15.75" customHeight="1">
      <c r="A360" s="368" t="s">
        <v>180</v>
      </c>
      <c r="B360" s="369">
        <v>4110</v>
      </c>
      <c r="C360" s="370" t="s">
        <v>256</v>
      </c>
      <c r="D360" s="371">
        <v>38600</v>
      </c>
    </row>
    <row r="361" spans="1:4" s="6" customFormat="1" ht="15.75" customHeight="1">
      <c r="A361" s="368" t="s">
        <v>180</v>
      </c>
      <c r="B361" s="369">
        <v>4120</v>
      </c>
      <c r="C361" s="370" t="s">
        <v>257</v>
      </c>
      <c r="D361" s="371">
        <v>5509</v>
      </c>
    </row>
    <row r="362" spans="1:4" s="6" customFormat="1" ht="15.75" customHeight="1">
      <c r="A362" s="368" t="s">
        <v>180</v>
      </c>
      <c r="B362" s="369">
        <v>4710</v>
      </c>
      <c r="C362" s="370" t="s">
        <v>294</v>
      </c>
      <c r="D362" s="371">
        <v>1200</v>
      </c>
    </row>
    <row r="363" spans="1:4" s="5" customFormat="1">
      <c r="A363" s="364">
        <v>71012</v>
      </c>
      <c r="B363" s="365" t="s">
        <v>180</v>
      </c>
      <c r="C363" s="366" t="s">
        <v>51</v>
      </c>
      <c r="D363" s="367">
        <f>SUM(D364:D368)</f>
        <v>170000</v>
      </c>
    </row>
    <row r="364" spans="1:4" s="6" customFormat="1">
      <c r="A364" s="368" t="s">
        <v>180</v>
      </c>
      <c r="B364" s="369">
        <v>4210</v>
      </c>
      <c r="C364" s="370" t="s">
        <v>260</v>
      </c>
      <c r="D364" s="371">
        <v>34500</v>
      </c>
    </row>
    <row r="365" spans="1:4" s="6" customFormat="1">
      <c r="A365" s="368" t="s">
        <v>180</v>
      </c>
      <c r="B365" s="369">
        <v>4270</v>
      </c>
      <c r="C365" s="370" t="s">
        <v>263</v>
      </c>
      <c r="D365" s="371">
        <v>2000</v>
      </c>
    </row>
    <row r="366" spans="1:4" s="6" customFormat="1">
      <c r="A366" s="368" t="s">
        <v>180</v>
      </c>
      <c r="B366" s="369">
        <v>4300</v>
      </c>
      <c r="C366" s="370" t="s">
        <v>264</v>
      </c>
      <c r="D366" s="371">
        <v>127000</v>
      </c>
    </row>
    <row r="367" spans="1:4" s="6" customFormat="1">
      <c r="A367" s="368" t="s">
        <v>180</v>
      </c>
      <c r="B367" s="369">
        <v>4410</v>
      </c>
      <c r="C367" s="370" t="s">
        <v>267</v>
      </c>
      <c r="D367" s="371">
        <v>500</v>
      </c>
    </row>
    <row r="368" spans="1:4" s="6" customFormat="1">
      <c r="A368" s="368" t="s">
        <v>180</v>
      </c>
      <c r="B368" s="369">
        <v>4700</v>
      </c>
      <c r="C368" s="370" t="s">
        <v>270</v>
      </c>
      <c r="D368" s="371">
        <v>6000</v>
      </c>
    </row>
    <row r="369" spans="1:4" s="5" customFormat="1">
      <c r="A369" s="364">
        <v>71095</v>
      </c>
      <c r="B369" s="365" t="s">
        <v>180</v>
      </c>
      <c r="C369" s="366" t="s">
        <v>46</v>
      </c>
      <c r="D369" s="367">
        <f>SUM(D370:D371)</f>
        <v>103900</v>
      </c>
    </row>
    <row r="370" spans="1:4" s="6" customFormat="1">
      <c r="A370" s="368" t="s">
        <v>180</v>
      </c>
      <c r="B370" s="369">
        <v>4300</v>
      </c>
      <c r="C370" s="370" t="s">
        <v>264</v>
      </c>
      <c r="D370" s="371">
        <v>3000</v>
      </c>
    </row>
    <row r="371" spans="1:4" s="6" customFormat="1">
      <c r="A371" s="368" t="s">
        <v>180</v>
      </c>
      <c r="B371" s="369">
        <v>6010</v>
      </c>
      <c r="C371" s="370" t="s">
        <v>299</v>
      </c>
      <c r="D371" s="371">
        <v>100900</v>
      </c>
    </row>
    <row r="372" spans="1:4" s="5" customFormat="1">
      <c r="A372" s="362" t="s">
        <v>85</v>
      </c>
      <c r="B372" s="380" t="s">
        <v>180</v>
      </c>
      <c r="C372" s="264" t="s">
        <v>86</v>
      </c>
      <c r="D372" s="363">
        <f>D373</f>
        <v>73782108</v>
      </c>
    </row>
    <row r="373" spans="1:4" s="5" customFormat="1">
      <c r="A373" s="381">
        <v>72095</v>
      </c>
      <c r="B373" s="382" t="s">
        <v>180</v>
      </c>
      <c r="C373" s="383" t="s">
        <v>46</v>
      </c>
      <c r="D373" s="384">
        <f>SUM(D374:D413)</f>
        <v>73782108</v>
      </c>
    </row>
    <row r="374" spans="1:4" s="6" customFormat="1">
      <c r="A374" s="368" t="s">
        <v>180</v>
      </c>
      <c r="B374" s="369">
        <v>4017</v>
      </c>
      <c r="C374" s="370" t="s">
        <v>254</v>
      </c>
      <c r="D374" s="371">
        <v>1419500</v>
      </c>
    </row>
    <row r="375" spans="1:4" s="6" customFormat="1">
      <c r="A375" s="368" t="s">
        <v>180</v>
      </c>
      <c r="B375" s="369">
        <v>4019</v>
      </c>
      <c r="C375" s="370" t="s">
        <v>254</v>
      </c>
      <c r="D375" s="371">
        <v>250500</v>
      </c>
    </row>
    <row r="376" spans="1:4" s="6" customFormat="1">
      <c r="A376" s="368" t="s">
        <v>180</v>
      </c>
      <c r="B376" s="369">
        <v>4047</v>
      </c>
      <c r="C376" s="370" t="s">
        <v>255</v>
      </c>
      <c r="D376" s="371">
        <v>120700</v>
      </c>
    </row>
    <row r="377" spans="1:4" s="6" customFormat="1">
      <c r="A377" s="368" t="s">
        <v>180</v>
      </c>
      <c r="B377" s="369">
        <v>4049</v>
      </c>
      <c r="C377" s="370" t="s">
        <v>255</v>
      </c>
      <c r="D377" s="371">
        <v>20550</v>
      </c>
    </row>
    <row r="378" spans="1:4" s="6" customFormat="1">
      <c r="A378" s="368" t="s">
        <v>180</v>
      </c>
      <c r="B378" s="369">
        <v>4117</v>
      </c>
      <c r="C378" s="370" t="s">
        <v>256</v>
      </c>
      <c r="D378" s="371">
        <v>342008</v>
      </c>
    </row>
    <row r="379" spans="1:4" s="6" customFormat="1">
      <c r="A379" s="368" t="s">
        <v>180</v>
      </c>
      <c r="B379" s="369">
        <v>4119</v>
      </c>
      <c r="C379" s="370" t="s">
        <v>256</v>
      </c>
      <c r="D379" s="371">
        <v>60355</v>
      </c>
    </row>
    <row r="380" spans="1:4" s="6" customFormat="1">
      <c r="A380" s="368" t="s">
        <v>180</v>
      </c>
      <c r="B380" s="369">
        <v>4127</v>
      </c>
      <c r="C380" s="370" t="s">
        <v>257</v>
      </c>
      <c r="D380" s="371">
        <v>46635</v>
      </c>
    </row>
    <row r="381" spans="1:4" s="6" customFormat="1">
      <c r="A381" s="368" t="s">
        <v>180</v>
      </c>
      <c r="B381" s="369">
        <v>4129</v>
      </c>
      <c r="C381" s="370" t="s">
        <v>257</v>
      </c>
      <c r="D381" s="371">
        <v>8230</v>
      </c>
    </row>
    <row r="382" spans="1:4" s="6" customFormat="1">
      <c r="A382" s="368" t="s">
        <v>180</v>
      </c>
      <c r="B382" s="369">
        <v>4150</v>
      </c>
      <c r="C382" s="370" t="s">
        <v>388</v>
      </c>
      <c r="D382" s="371">
        <v>1500000</v>
      </c>
    </row>
    <row r="383" spans="1:4" s="6" customFormat="1">
      <c r="A383" s="368" t="s">
        <v>180</v>
      </c>
      <c r="B383" s="369">
        <v>4177</v>
      </c>
      <c r="C383" s="370" t="s">
        <v>258</v>
      </c>
      <c r="D383" s="371">
        <v>255000</v>
      </c>
    </row>
    <row r="384" spans="1:4" s="6" customFormat="1">
      <c r="A384" s="368" t="s">
        <v>180</v>
      </c>
      <c r="B384" s="369">
        <v>4179</v>
      </c>
      <c r="C384" s="370" t="s">
        <v>258</v>
      </c>
      <c r="D384" s="371">
        <v>45000</v>
      </c>
    </row>
    <row r="385" spans="1:4" s="6" customFormat="1">
      <c r="A385" s="368" t="s">
        <v>180</v>
      </c>
      <c r="B385" s="369">
        <v>4217</v>
      </c>
      <c r="C385" s="370" t="s">
        <v>260</v>
      </c>
      <c r="D385" s="371">
        <v>18700</v>
      </c>
    </row>
    <row r="386" spans="1:4" s="6" customFormat="1">
      <c r="A386" s="368" t="s">
        <v>180</v>
      </c>
      <c r="B386" s="369">
        <v>4219</v>
      </c>
      <c r="C386" s="370" t="s">
        <v>260</v>
      </c>
      <c r="D386" s="371">
        <v>3300</v>
      </c>
    </row>
    <row r="387" spans="1:4" s="6" customFormat="1">
      <c r="A387" s="368" t="s">
        <v>180</v>
      </c>
      <c r="B387" s="369">
        <v>4227</v>
      </c>
      <c r="C387" s="370" t="s">
        <v>261</v>
      </c>
      <c r="D387" s="371">
        <v>4250</v>
      </c>
    </row>
    <row r="388" spans="1:4" s="6" customFormat="1">
      <c r="A388" s="368" t="s">
        <v>180</v>
      </c>
      <c r="B388" s="369">
        <v>4229</v>
      </c>
      <c r="C388" s="370" t="s">
        <v>261</v>
      </c>
      <c r="D388" s="371">
        <v>750</v>
      </c>
    </row>
    <row r="389" spans="1:4" s="6" customFormat="1">
      <c r="A389" s="368" t="s">
        <v>180</v>
      </c>
      <c r="B389" s="369">
        <v>4267</v>
      </c>
      <c r="C389" s="370" t="s">
        <v>262</v>
      </c>
      <c r="D389" s="371">
        <v>51000</v>
      </c>
    </row>
    <row r="390" spans="1:4" s="6" customFormat="1">
      <c r="A390" s="368" t="s">
        <v>180</v>
      </c>
      <c r="B390" s="369">
        <v>4269</v>
      </c>
      <c r="C390" s="370" t="s">
        <v>262</v>
      </c>
      <c r="D390" s="371">
        <v>9000</v>
      </c>
    </row>
    <row r="391" spans="1:4" s="6" customFormat="1">
      <c r="A391" s="368" t="s">
        <v>180</v>
      </c>
      <c r="B391" s="369">
        <v>4300</v>
      </c>
      <c r="C391" s="370" t="s">
        <v>264</v>
      </c>
      <c r="D391" s="371">
        <v>10000</v>
      </c>
    </row>
    <row r="392" spans="1:4" s="6" customFormat="1">
      <c r="A392" s="368" t="s">
        <v>180</v>
      </c>
      <c r="B392" s="369">
        <v>4307</v>
      </c>
      <c r="C392" s="370" t="s">
        <v>264</v>
      </c>
      <c r="D392" s="371">
        <v>1570611</v>
      </c>
    </row>
    <row r="393" spans="1:4" s="6" customFormat="1">
      <c r="A393" s="368" t="s">
        <v>180</v>
      </c>
      <c r="B393" s="369">
        <v>4309</v>
      </c>
      <c r="C393" s="370" t="s">
        <v>264</v>
      </c>
      <c r="D393" s="371">
        <v>277167</v>
      </c>
    </row>
    <row r="394" spans="1:4" s="6" customFormat="1">
      <c r="A394" s="368" t="s">
        <v>180</v>
      </c>
      <c r="B394" s="369">
        <v>4397</v>
      </c>
      <c r="C394" s="370" t="s">
        <v>281</v>
      </c>
      <c r="D394" s="371">
        <v>85000</v>
      </c>
    </row>
    <row r="395" spans="1:4" s="6" customFormat="1">
      <c r="A395" s="368" t="s">
        <v>180</v>
      </c>
      <c r="B395" s="369">
        <v>4399</v>
      </c>
      <c r="C395" s="370" t="s">
        <v>281</v>
      </c>
      <c r="D395" s="371">
        <v>15000</v>
      </c>
    </row>
    <row r="396" spans="1:4" s="6" customFormat="1" ht="15" customHeight="1">
      <c r="A396" s="368" t="s">
        <v>180</v>
      </c>
      <c r="B396" s="369">
        <v>4400</v>
      </c>
      <c r="C396" s="370" t="s">
        <v>266</v>
      </c>
      <c r="D396" s="371">
        <v>44000</v>
      </c>
    </row>
    <row r="397" spans="1:4" s="6" customFormat="1" ht="15" customHeight="1">
      <c r="A397" s="368" t="s">
        <v>180</v>
      </c>
      <c r="B397" s="369">
        <v>4407</v>
      </c>
      <c r="C397" s="370" t="s">
        <v>266</v>
      </c>
      <c r="D397" s="371">
        <v>177170</v>
      </c>
    </row>
    <row r="398" spans="1:4" s="6" customFormat="1" ht="15" customHeight="1">
      <c r="A398" s="368" t="s">
        <v>180</v>
      </c>
      <c r="B398" s="369">
        <v>4409</v>
      </c>
      <c r="C398" s="370" t="s">
        <v>266</v>
      </c>
      <c r="D398" s="371">
        <v>31266</v>
      </c>
    </row>
    <row r="399" spans="1:4" s="6" customFormat="1">
      <c r="A399" s="368" t="s">
        <v>180</v>
      </c>
      <c r="B399" s="369">
        <v>4417</v>
      </c>
      <c r="C399" s="370" t="s">
        <v>267</v>
      </c>
      <c r="D399" s="371">
        <v>1275</v>
      </c>
    </row>
    <row r="400" spans="1:4" s="6" customFormat="1">
      <c r="A400" s="368" t="s">
        <v>180</v>
      </c>
      <c r="B400" s="369">
        <v>4419</v>
      </c>
      <c r="C400" s="370" t="s">
        <v>267</v>
      </c>
      <c r="D400" s="371">
        <v>225</v>
      </c>
    </row>
    <row r="401" spans="1:4" s="6" customFormat="1">
      <c r="A401" s="368" t="s">
        <v>180</v>
      </c>
      <c r="B401" s="369">
        <v>4510</v>
      </c>
      <c r="C401" s="370" t="s">
        <v>292</v>
      </c>
      <c r="D401" s="371">
        <v>123760</v>
      </c>
    </row>
    <row r="402" spans="1:4" s="6" customFormat="1">
      <c r="A402" s="368" t="s">
        <v>180</v>
      </c>
      <c r="B402" s="369">
        <v>4707</v>
      </c>
      <c r="C402" s="370" t="s">
        <v>270</v>
      </c>
      <c r="D402" s="371">
        <v>218450</v>
      </c>
    </row>
    <row r="403" spans="1:4" s="6" customFormat="1">
      <c r="A403" s="368" t="s">
        <v>180</v>
      </c>
      <c r="B403" s="369">
        <v>4709</v>
      </c>
      <c r="C403" s="370" t="s">
        <v>270</v>
      </c>
      <c r="D403" s="371">
        <v>38550</v>
      </c>
    </row>
    <row r="404" spans="1:4" s="6" customFormat="1">
      <c r="A404" s="368" t="s">
        <v>180</v>
      </c>
      <c r="B404" s="369">
        <v>4717</v>
      </c>
      <c r="C404" s="370" t="s">
        <v>294</v>
      </c>
      <c r="D404" s="371">
        <v>8670</v>
      </c>
    </row>
    <row r="405" spans="1:4" s="6" customFormat="1">
      <c r="A405" s="368" t="s">
        <v>180</v>
      </c>
      <c r="B405" s="369">
        <v>4719</v>
      </c>
      <c r="C405" s="370" t="s">
        <v>294</v>
      </c>
      <c r="D405" s="371">
        <v>1530</v>
      </c>
    </row>
    <row r="406" spans="1:4" s="6" customFormat="1">
      <c r="A406" s="368" t="s">
        <v>180</v>
      </c>
      <c r="B406" s="369">
        <v>6010</v>
      </c>
      <c r="C406" s="370" t="s">
        <v>299</v>
      </c>
      <c r="D406" s="371">
        <v>1944211</v>
      </c>
    </row>
    <row r="407" spans="1:4" s="6" customFormat="1">
      <c r="A407" s="368" t="s">
        <v>180</v>
      </c>
      <c r="B407" s="369">
        <v>6057</v>
      </c>
      <c r="C407" s="370" t="s">
        <v>282</v>
      </c>
      <c r="D407" s="371">
        <v>17273480</v>
      </c>
    </row>
    <row r="408" spans="1:4" s="6" customFormat="1">
      <c r="A408" s="368" t="s">
        <v>180</v>
      </c>
      <c r="B408" s="369">
        <v>6059</v>
      </c>
      <c r="C408" s="370" t="s">
        <v>282</v>
      </c>
      <c r="D408" s="371">
        <v>3090262</v>
      </c>
    </row>
    <row r="409" spans="1:4" s="6" customFormat="1">
      <c r="A409" s="368" t="s">
        <v>180</v>
      </c>
      <c r="B409" s="369">
        <v>6067</v>
      </c>
      <c r="C409" s="370" t="s">
        <v>295</v>
      </c>
      <c r="D409" s="371">
        <v>3111000</v>
      </c>
    </row>
    <row r="410" spans="1:4" s="6" customFormat="1">
      <c r="A410" s="368" t="s">
        <v>180</v>
      </c>
      <c r="B410" s="369">
        <v>6069</v>
      </c>
      <c r="C410" s="370" t="s">
        <v>295</v>
      </c>
      <c r="D410" s="371">
        <v>549000</v>
      </c>
    </row>
    <row r="411" spans="1:4" s="6" customFormat="1" ht="62.25" customHeight="1">
      <c r="A411" s="368" t="s">
        <v>180</v>
      </c>
      <c r="B411" s="369">
        <v>6207</v>
      </c>
      <c r="C411" s="370" t="s">
        <v>279</v>
      </c>
      <c r="D411" s="371">
        <v>28939446</v>
      </c>
    </row>
    <row r="412" spans="1:4" s="6" customFormat="1" ht="32.25" customHeight="1">
      <c r="A412" s="368" t="s">
        <v>180</v>
      </c>
      <c r="B412" s="369">
        <v>6220</v>
      </c>
      <c r="C412" s="370" t="s">
        <v>300</v>
      </c>
      <c r="D412" s="371">
        <v>259442</v>
      </c>
    </row>
    <row r="413" spans="1:4" s="6" customFormat="1" ht="65.25" customHeight="1">
      <c r="A413" s="372" t="s">
        <v>180</v>
      </c>
      <c r="B413" s="373">
        <v>6257</v>
      </c>
      <c r="C413" s="374" t="s">
        <v>183</v>
      </c>
      <c r="D413" s="375">
        <v>11857115</v>
      </c>
    </row>
    <row r="414" spans="1:4" s="6" customFormat="1">
      <c r="A414" s="362" t="s">
        <v>87</v>
      </c>
      <c r="B414" s="380" t="s">
        <v>180</v>
      </c>
      <c r="C414" s="264" t="s">
        <v>88</v>
      </c>
      <c r="D414" s="363">
        <f>D415+D417</f>
        <v>4954277</v>
      </c>
    </row>
    <row r="415" spans="1:4" s="5" customFormat="1">
      <c r="A415" s="364">
        <v>73014</v>
      </c>
      <c r="B415" s="365" t="s">
        <v>180</v>
      </c>
      <c r="C415" s="366" t="s">
        <v>89</v>
      </c>
      <c r="D415" s="367">
        <f>D416</f>
        <v>300000</v>
      </c>
    </row>
    <row r="416" spans="1:4" s="6" customFormat="1" ht="30">
      <c r="A416" s="368" t="s">
        <v>180</v>
      </c>
      <c r="B416" s="369">
        <v>2800</v>
      </c>
      <c r="C416" s="370" t="s">
        <v>278</v>
      </c>
      <c r="D416" s="371">
        <v>300000</v>
      </c>
    </row>
    <row r="417" spans="1:4" s="5" customFormat="1">
      <c r="A417" s="364">
        <v>73095</v>
      </c>
      <c r="B417" s="365" t="s">
        <v>180</v>
      </c>
      <c r="C417" s="366" t="s">
        <v>46</v>
      </c>
      <c r="D417" s="367">
        <f>D418</f>
        <v>4654277</v>
      </c>
    </row>
    <row r="418" spans="1:4" s="6" customFormat="1" ht="32.25" customHeight="1">
      <c r="A418" s="368" t="s">
        <v>180</v>
      </c>
      <c r="B418" s="369">
        <v>6220</v>
      </c>
      <c r="C418" s="370" t="s">
        <v>300</v>
      </c>
      <c r="D418" s="371">
        <v>4654277</v>
      </c>
    </row>
    <row r="419" spans="1:4" s="6" customFormat="1">
      <c r="A419" s="362" t="s">
        <v>29</v>
      </c>
      <c r="B419" s="380" t="s">
        <v>180</v>
      </c>
      <c r="C419" s="264" t="s">
        <v>30</v>
      </c>
      <c r="D419" s="363">
        <f>D420+D434+D518+D531+D572+D585</f>
        <v>174477018</v>
      </c>
    </row>
    <row r="420" spans="1:4" s="5" customFormat="1">
      <c r="A420" s="364">
        <v>75017</v>
      </c>
      <c r="B420" s="365" t="s">
        <v>180</v>
      </c>
      <c r="C420" s="366" t="s">
        <v>90</v>
      </c>
      <c r="D420" s="367">
        <f>SUM(D421:D433)</f>
        <v>1954000</v>
      </c>
    </row>
    <row r="421" spans="1:4" s="6" customFormat="1">
      <c r="A421" s="368" t="s">
        <v>180</v>
      </c>
      <c r="B421" s="369">
        <v>3020</v>
      </c>
      <c r="C421" s="370" t="s">
        <v>286</v>
      </c>
      <c r="D421" s="371">
        <v>15000</v>
      </c>
    </row>
    <row r="422" spans="1:4" s="6" customFormat="1">
      <c r="A422" s="368" t="s">
        <v>180</v>
      </c>
      <c r="B422" s="369">
        <v>3030</v>
      </c>
      <c r="C422" s="370" t="s">
        <v>280</v>
      </c>
      <c r="D422" s="371">
        <v>1500000</v>
      </c>
    </row>
    <row r="423" spans="1:4" s="6" customFormat="1">
      <c r="A423" s="368" t="s">
        <v>180</v>
      </c>
      <c r="B423" s="369">
        <v>4170</v>
      </c>
      <c r="C423" s="370" t="s">
        <v>258</v>
      </c>
      <c r="D423" s="371">
        <v>40000</v>
      </c>
    </row>
    <row r="424" spans="1:4" s="6" customFormat="1">
      <c r="A424" s="368" t="s">
        <v>180</v>
      </c>
      <c r="B424" s="369">
        <v>4190</v>
      </c>
      <c r="C424" s="370" t="s">
        <v>259</v>
      </c>
      <c r="D424" s="371">
        <v>15000</v>
      </c>
    </row>
    <row r="425" spans="1:4" s="6" customFormat="1">
      <c r="A425" s="372" t="s">
        <v>180</v>
      </c>
      <c r="B425" s="373">
        <v>4210</v>
      </c>
      <c r="C425" s="374" t="s">
        <v>260</v>
      </c>
      <c r="D425" s="375">
        <v>63000</v>
      </c>
    </row>
    <row r="426" spans="1:4" s="6" customFormat="1">
      <c r="A426" s="376" t="s">
        <v>180</v>
      </c>
      <c r="B426" s="377">
        <v>4220</v>
      </c>
      <c r="C426" s="378" t="s">
        <v>261</v>
      </c>
      <c r="D426" s="379">
        <v>33000</v>
      </c>
    </row>
    <row r="427" spans="1:4" s="6" customFormat="1">
      <c r="A427" s="368" t="s">
        <v>180</v>
      </c>
      <c r="B427" s="369">
        <v>4270</v>
      </c>
      <c r="C427" s="370" t="s">
        <v>263</v>
      </c>
      <c r="D427" s="371">
        <v>4000</v>
      </c>
    </row>
    <row r="428" spans="1:4" s="6" customFormat="1">
      <c r="A428" s="368" t="s">
        <v>180</v>
      </c>
      <c r="B428" s="369">
        <v>4300</v>
      </c>
      <c r="C428" s="370" t="s">
        <v>264</v>
      </c>
      <c r="D428" s="371">
        <v>257000</v>
      </c>
    </row>
    <row r="429" spans="1:4" s="6" customFormat="1">
      <c r="A429" s="368" t="s">
        <v>180</v>
      </c>
      <c r="B429" s="369">
        <v>4360</v>
      </c>
      <c r="C429" s="370" t="s">
        <v>265</v>
      </c>
      <c r="D429" s="371">
        <v>10000</v>
      </c>
    </row>
    <row r="430" spans="1:4" s="6" customFormat="1">
      <c r="A430" s="368" t="s">
        <v>180</v>
      </c>
      <c r="B430" s="369">
        <v>4380</v>
      </c>
      <c r="C430" s="370" t="s">
        <v>382</v>
      </c>
      <c r="D430" s="371">
        <v>2000</v>
      </c>
    </row>
    <row r="431" spans="1:4" s="6" customFormat="1">
      <c r="A431" s="368" t="s">
        <v>180</v>
      </c>
      <c r="B431" s="369">
        <v>4410</v>
      </c>
      <c r="C431" s="370" t="s">
        <v>267</v>
      </c>
      <c r="D431" s="371">
        <v>3000</v>
      </c>
    </row>
    <row r="432" spans="1:4" s="6" customFormat="1">
      <c r="A432" s="368" t="s">
        <v>180</v>
      </c>
      <c r="B432" s="369">
        <v>4420</v>
      </c>
      <c r="C432" s="370" t="s">
        <v>268</v>
      </c>
      <c r="D432" s="371">
        <v>10000</v>
      </c>
    </row>
    <row r="433" spans="1:4" s="6" customFormat="1">
      <c r="A433" s="368" t="s">
        <v>180</v>
      </c>
      <c r="B433" s="369">
        <v>4430</v>
      </c>
      <c r="C433" s="370" t="s">
        <v>269</v>
      </c>
      <c r="D433" s="371">
        <v>2000</v>
      </c>
    </row>
    <row r="434" spans="1:4" s="5" customFormat="1">
      <c r="A434" s="364">
        <v>75018</v>
      </c>
      <c r="B434" s="365" t="s">
        <v>180</v>
      </c>
      <c r="C434" s="366" t="s">
        <v>91</v>
      </c>
      <c r="D434" s="367">
        <f>SUM(D435:D517)</f>
        <v>133142141</v>
      </c>
    </row>
    <row r="435" spans="1:4" s="6" customFormat="1">
      <c r="A435" s="368" t="s">
        <v>180</v>
      </c>
      <c r="B435" s="369">
        <v>3020</v>
      </c>
      <c r="C435" s="370" t="s">
        <v>286</v>
      </c>
      <c r="D435" s="371">
        <v>151000</v>
      </c>
    </row>
    <row r="436" spans="1:4" s="6" customFormat="1">
      <c r="A436" s="368" t="s">
        <v>180</v>
      </c>
      <c r="B436" s="369">
        <v>3028</v>
      </c>
      <c r="C436" s="370" t="s">
        <v>286</v>
      </c>
      <c r="D436" s="371">
        <v>12750</v>
      </c>
    </row>
    <row r="437" spans="1:4" s="6" customFormat="1">
      <c r="A437" s="368" t="s">
        <v>180</v>
      </c>
      <c r="B437" s="369">
        <v>3029</v>
      </c>
      <c r="C437" s="370" t="s">
        <v>286</v>
      </c>
      <c r="D437" s="371">
        <v>2250</v>
      </c>
    </row>
    <row r="438" spans="1:4" s="6" customFormat="1">
      <c r="A438" s="368" t="s">
        <v>180</v>
      </c>
      <c r="B438" s="369">
        <v>3038</v>
      </c>
      <c r="C438" s="370" t="s">
        <v>280</v>
      </c>
      <c r="D438" s="371">
        <v>6800</v>
      </c>
    </row>
    <row r="439" spans="1:4" s="6" customFormat="1">
      <c r="A439" s="368" t="s">
        <v>180</v>
      </c>
      <c r="B439" s="369">
        <v>3039</v>
      </c>
      <c r="C439" s="370" t="s">
        <v>280</v>
      </c>
      <c r="D439" s="371">
        <v>1200</v>
      </c>
    </row>
    <row r="440" spans="1:4" s="6" customFormat="1">
      <c r="A440" s="368" t="s">
        <v>180</v>
      </c>
      <c r="B440" s="369">
        <v>4010</v>
      </c>
      <c r="C440" s="370" t="s">
        <v>254</v>
      </c>
      <c r="D440" s="371">
        <v>40624965</v>
      </c>
    </row>
    <row r="441" spans="1:4" s="6" customFormat="1">
      <c r="A441" s="368" t="s">
        <v>180</v>
      </c>
      <c r="B441" s="369">
        <v>4018</v>
      </c>
      <c r="C441" s="370" t="s">
        <v>254</v>
      </c>
      <c r="D441" s="371">
        <v>25670000</v>
      </c>
    </row>
    <row r="442" spans="1:4" s="6" customFormat="1">
      <c r="A442" s="368" t="s">
        <v>180</v>
      </c>
      <c r="B442" s="369">
        <v>4019</v>
      </c>
      <c r="C442" s="370" t="s">
        <v>254</v>
      </c>
      <c r="D442" s="371">
        <v>4530000</v>
      </c>
    </row>
    <row r="443" spans="1:4" s="6" customFormat="1">
      <c r="A443" s="368" t="s">
        <v>180</v>
      </c>
      <c r="B443" s="369">
        <v>4040</v>
      </c>
      <c r="C443" s="370" t="s">
        <v>255</v>
      </c>
      <c r="D443" s="371">
        <v>3332182</v>
      </c>
    </row>
    <row r="444" spans="1:4" s="6" customFormat="1">
      <c r="A444" s="368" t="s">
        <v>180</v>
      </c>
      <c r="B444" s="369">
        <v>4048</v>
      </c>
      <c r="C444" s="370" t="s">
        <v>255</v>
      </c>
      <c r="D444" s="371">
        <v>2759100</v>
      </c>
    </row>
    <row r="445" spans="1:4" s="6" customFormat="1">
      <c r="A445" s="368" t="s">
        <v>180</v>
      </c>
      <c r="B445" s="369">
        <v>4049</v>
      </c>
      <c r="C445" s="370" t="s">
        <v>255</v>
      </c>
      <c r="D445" s="371">
        <v>486900</v>
      </c>
    </row>
    <row r="446" spans="1:4" s="6" customFormat="1">
      <c r="A446" s="368" t="s">
        <v>180</v>
      </c>
      <c r="B446" s="369">
        <v>4110</v>
      </c>
      <c r="C446" s="370" t="s">
        <v>256</v>
      </c>
      <c r="D446" s="371">
        <v>7308129</v>
      </c>
    </row>
    <row r="447" spans="1:4" s="6" customFormat="1">
      <c r="A447" s="368" t="s">
        <v>180</v>
      </c>
      <c r="B447" s="369">
        <v>4118</v>
      </c>
      <c r="C447" s="370" t="s">
        <v>256</v>
      </c>
      <c r="D447" s="371">
        <v>4887500</v>
      </c>
    </row>
    <row r="448" spans="1:4" s="6" customFormat="1">
      <c r="A448" s="368" t="s">
        <v>180</v>
      </c>
      <c r="B448" s="369">
        <v>4119</v>
      </c>
      <c r="C448" s="370" t="s">
        <v>256</v>
      </c>
      <c r="D448" s="371">
        <v>862500</v>
      </c>
    </row>
    <row r="449" spans="1:4" s="6" customFormat="1">
      <c r="A449" s="368" t="s">
        <v>180</v>
      </c>
      <c r="B449" s="369">
        <v>4120</v>
      </c>
      <c r="C449" s="370" t="s">
        <v>257</v>
      </c>
      <c r="D449" s="371">
        <v>862913</v>
      </c>
    </row>
    <row r="450" spans="1:4" s="6" customFormat="1">
      <c r="A450" s="368" t="s">
        <v>180</v>
      </c>
      <c r="B450" s="369">
        <v>4128</v>
      </c>
      <c r="C450" s="370" t="s">
        <v>257</v>
      </c>
      <c r="D450" s="371">
        <v>598400</v>
      </c>
    </row>
    <row r="451" spans="1:4" s="6" customFormat="1">
      <c r="A451" s="368" t="s">
        <v>180</v>
      </c>
      <c r="B451" s="369">
        <v>4129</v>
      </c>
      <c r="C451" s="370" t="s">
        <v>257</v>
      </c>
      <c r="D451" s="371">
        <v>105600</v>
      </c>
    </row>
    <row r="452" spans="1:4" s="6" customFormat="1">
      <c r="A452" s="368" t="s">
        <v>180</v>
      </c>
      <c r="B452" s="369">
        <v>4140</v>
      </c>
      <c r="C452" s="370" t="s">
        <v>287</v>
      </c>
      <c r="D452" s="371">
        <v>455000</v>
      </c>
    </row>
    <row r="453" spans="1:4" s="6" customFormat="1">
      <c r="A453" s="368" t="s">
        <v>180</v>
      </c>
      <c r="B453" s="369">
        <v>4170</v>
      </c>
      <c r="C453" s="370" t="s">
        <v>258</v>
      </c>
      <c r="D453" s="371">
        <v>320000</v>
      </c>
    </row>
    <row r="454" spans="1:4" s="6" customFormat="1">
      <c r="A454" s="368" t="s">
        <v>180</v>
      </c>
      <c r="B454" s="369">
        <v>4178</v>
      </c>
      <c r="C454" s="370" t="s">
        <v>258</v>
      </c>
      <c r="D454" s="371">
        <v>671500</v>
      </c>
    </row>
    <row r="455" spans="1:4" s="6" customFormat="1">
      <c r="A455" s="368" t="s">
        <v>180</v>
      </c>
      <c r="B455" s="369">
        <v>4179</v>
      </c>
      <c r="C455" s="370" t="s">
        <v>258</v>
      </c>
      <c r="D455" s="371">
        <v>118500</v>
      </c>
    </row>
    <row r="456" spans="1:4" s="6" customFormat="1">
      <c r="A456" s="368" t="s">
        <v>180</v>
      </c>
      <c r="B456" s="369">
        <v>4198</v>
      </c>
      <c r="C456" s="370" t="s">
        <v>259</v>
      </c>
      <c r="D456" s="371">
        <v>51000</v>
      </c>
    </row>
    <row r="457" spans="1:4" s="6" customFormat="1">
      <c r="A457" s="368" t="s">
        <v>180</v>
      </c>
      <c r="B457" s="369">
        <v>4199</v>
      </c>
      <c r="C457" s="370" t="s">
        <v>259</v>
      </c>
      <c r="D457" s="371">
        <v>9000</v>
      </c>
    </row>
    <row r="458" spans="1:4" s="6" customFormat="1">
      <c r="A458" s="368" t="s">
        <v>180</v>
      </c>
      <c r="B458" s="369">
        <v>4210</v>
      </c>
      <c r="C458" s="370" t="s">
        <v>260</v>
      </c>
      <c r="D458" s="371">
        <v>2351000</v>
      </c>
    </row>
    <row r="459" spans="1:4" s="6" customFormat="1">
      <c r="A459" s="368" t="s">
        <v>180</v>
      </c>
      <c r="B459" s="369">
        <v>4218</v>
      </c>
      <c r="C459" s="370" t="s">
        <v>260</v>
      </c>
      <c r="D459" s="371">
        <v>711159</v>
      </c>
    </row>
    <row r="460" spans="1:4" s="6" customFormat="1">
      <c r="A460" s="368" t="s">
        <v>180</v>
      </c>
      <c r="B460" s="369">
        <v>4219</v>
      </c>
      <c r="C460" s="370" t="s">
        <v>260</v>
      </c>
      <c r="D460" s="371">
        <v>125499</v>
      </c>
    </row>
    <row r="461" spans="1:4" s="6" customFormat="1">
      <c r="A461" s="368" t="s">
        <v>180</v>
      </c>
      <c r="B461" s="369">
        <v>4220</v>
      </c>
      <c r="C461" s="370" t="s">
        <v>261</v>
      </c>
      <c r="D461" s="371">
        <v>70000</v>
      </c>
    </row>
    <row r="462" spans="1:4" s="6" customFormat="1">
      <c r="A462" s="368" t="s">
        <v>180</v>
      </c>
      <c r="B462" s="369">
        <v>4228</v>
      </c>
      <c r="C462" s="370" t="s">
        <v>261</v>
      </c>
      <c r="D462" s="371">
        <v>21250</v>
      </c>
    </row>
    <row r="463" spans="1:4" s="6" customFormat="1">
      <c r="A463" s="368" t="s">
        <v>180</v>
      </c>
      <c r="B463" s="369">
        <v>4229</v>
      </c>
      <c r="C463" s="370" t="s">
        <v>261</v>
      </c>
      <c r="D463" s="371">
        <v>3750</v>
      </c>
    </row>
    <row r="464" spans="1:4" s="6" customFormat="1">
      <c r="A464" s="368" t="s">
        <v>180</v>
      </c>
      <c r="B464" s="369">
        <v>4260</v>
      </c>
      <c r="C464" s="370" t="s">
        <v>262</v>
      </c>
      <c r="D464" s="371">
        <v>1268000</v>
      </c>
    </row>
    <row r="465" spans="1:4" s="6" customFormat="1">
      <c r="A465" s="368" t="s">
        <v>180</v>
      </c>
      <c r="B465" s="369">
        <v>4268</v>
      </c>
      <c r="C465" s="370" t="s">
        <v>262</v>
      </c>
      <c r="D465" s="371">
        <v>700400</v>
      </c>
    </row>
    <row r="466" spans="1:4" s="6" customFormat="1">
      <c r="A466" s="368" t="s">
        <v>180</v>
      </c>
      <c r="B466" s="369">
        <v>4269</v>
      </c>
      <c r="C466" s="370" t="s">
        <v>262</v>
      </c>
      <c r="D466" s="371">
        <v>123600</v>
      </c>
    </row>
    <row r="467" spans="1:4" s="6" customFormat="1">
      <c r="A467" s="368" t="s">
        <v>180</v>
      </c>
      <c r="B467" s="369">
        <v>4270</v>
      </c>
      <c r="C467" s="370" t="s">
        <v>263</v>
      </c>
      <c r="D467" s="371">
        <v>1910000</v>
      </c>
    </row>
    <row r="468" spans="1:4" s="6" customFormat="1">
      <c r="A468" s="368" t="s">
        <v>180</v>
      </c>
      <c r="B468" s="369">
        <v>4278</v>
      </c>
      <c r="C468" s="370" t="s">
        <v>263</v>
      </c>
      <c r="D468" s="371">
        <v>68000</v>
      </c>
    </row>
    <row r="469" spans="1:4" s="6" customFormat="1">
      <c r="A469" s="368" t="s">
        <v>180</v>
      </c>
      <c r="B469" s="369">
        <v>4279</v>
      </c>
      <c r="C469" s="370" t="s">
        <v>263</v>
      </c>
      <c r="D469" s="371">
        <v>12000</v>
      </c>
    </row>
    <row r="470" spans="1:4" s="6" customFormat="1">
      <c r="A470" s="368" t="s">
        <v>180</v>
      </c>
      <c r="B470" s="369">
        <v>4280</v>
      </c>
      <c r="C470" s="370" t="s">
        <v>288</v>
      </c>
      <c r="D470" s="371">
        <v>50380</v>
      </c>
    </row>
    <row r="471" spans="1:4" s="6" customFormat="1">
      <c r="A471" s="368" t="s">
        <v>180</v>
      </c>
      <c r="B471" s="369">
        <v>4288</v>
      </c>
      <c r="C471" s="370" t="s">
        <v>288</v>
      </c>
      <c r="D471" s="371">
        <v>12750</v>
      </c>
    </row>
    <row r="472" spans="1:4" s="6" customFormat="1">
      <c r="A472" s="368" t="s">
        <v>180</v>
      </c>
      <c r="B472" s="369">
        <v>4289</v>
      </c>
      <c r="C472" s="370" t="s">
        <v>288</v>
      </c>
      <c r="D472" s="371">
        <v>2250</v>
      </c>
    </row>
    <row r="473" spans="1:4" s="6" customFormat="1">
      <c r="A473" s="368" t="s">
        <v>180</v>
      </c>
      <c r="B473" s="369">
        <v>4300</v>
      </c>
      <c r="C473" s="370" t="s">
        <v>264</v>
      </c>
      <c r="D473" s="371">
        <v>4719191</v>
      </c>
    </row>
    <row r="474" spans="1:4" s="6" customFormat="1">
      <c r="A474" s="368" t="s">
        <v>180</v>
      </c>
      <c r="B474" s="369">
        <v>4308</v>
      </c>
      <c r="C474" s="370" t="s">
        <v>264</v>
      </c>
      <c r="D474" s="371">
        <v>4217190</v>
      </c>
    </row>
    <row r="475" spans="1:4" s="6" customFormat="1">
      <c r="A475" s="368" t="s">
        <v>180</v>
      </c>
      <c r="B475" s="369">
        <v>4309</v>
      </c>
      <c r="C475" s="370" t="s">
        <v>264</v>
      </c>
      <c r="D475" s="371">
        <v>744210</v>
      </c>
    </row>
    <row r="476" spans="1:4" s="6" customFormat="1">
      <c r="A476" s="368" t="s">
        <v>180</v>
      </c>
      <c r="B476" s="369">
        <v>4360</v>
      </c>
      <c r="C476" s="370" t="s">
        <v>265</v>
      </c>
      <c r="D476" s="371">
        <v>391414</v>
      </c>
    </row>
    <row r="477" spans="1:4" s="6" customFormat="1">
      <c r="A477" s="368" t="s">
        <v>180</v>
      </c>
      <c r="B477" s="369">
        <v>4368</v>
      </c>
      <c r="C477" s="370" t="s">
        <v>265</v>
      </c>
      <c r="D477" s="371">
        <v>136000</v>
      </c>
    </row>
    <row r="478" spans="1:4" s="6" customFormat="1">
      <c r="A478" s="368" t="s">
        <v>180</v>
      </c>
      <c r="B478" s="369">
        <v>4369</v>
      </c>
      <c r="C478" s="370" t="s">
        <v>265</v>
      </c>
      <c r="D478" s="371">
        <v>24000</v>
      </c>
    </row>
    <row r="479" spans="1:4" s="6" customFormat="1">
      <c r="A479" s="368" t="s">
        <v>180</v>
      </c>
      <c r="B479" s="369">
        <v>4380</v>
      </c>
      <c r="C479" s="370" t="s">
        <v>382</v>
      </c>
      <c r="D479" s="371">
        <v>5000</v>
      </c>
    </row>
    <row r="480" spans="1:4" s="6" customFormat="1">
      <c r="A480" s="368" t="s">
        <v>180</v>
      </c>
      <c r="B480" s="369">
        <v>4388</v>
      </c>
      <c r="C480" s="370" t="s">
        <v>382</v>
      </c>
      <c r="D480" s="371">
        <v>6460</v>
      </c>
    </row>
    <row r="481" spans="1:4" s="6" customFormat="1">
      <c r="A481" s="368" t="s">
        <v>180</v>
      </c>
      <c r="B481" s="369">
        <v>4389</v>
      </c>
      <c r="C481" s="370" t="s">
        <v>382</v>
      </c>
      <c r="D481" s="371">
        <v>1140</v>
      </c>
    </row>
    <row r="482" spans="1:4" s="6" customFormat="1">
      <c r="A482" s="368" t="s">
        <v>180</v>
      </c>
      <c r="B482" s="369">
        <v>4390</v>
      </c>
      <c r="C482" s="370" t="s">
        <v>281</v>
      </c>
      <c r="D482" s="371">
        <v>26000</v>
      </c>
    </row>
    <row r="483" spans="1:4" s="6" customFormat="1">
      <c r="A483" s="368" t="s">
        <v>180</v>
      </c>
      <c r="B483" s="369">
        <v>4398</v>
      </c>
      <c r="C483" s="370" t="s">
        <v>281</v>
      </c>
      <c r="D483" s="371">
        <v>1525750</v>
      </c>
    </row>
    <row r="484" spans="1:4" s="6" customFormat="1">
      <c r="A484" s="368" t="s">
        <v>180</v>
      </c>
      <c r="B484" s="369">
        <v>4399</v>
      </c>
      <c r="C484" s="370" t="s">
        <v>281</v>
      </c>
      <c r="D484" s="371">
        <v>269250</v>
      </c>
    </row>
    <row r="485" spans="1:4" s="6" customFormat="1" ht="15" customHeight="1">
      <c r="A485" s="368" t="s">
        <v>180</v>
      </c>
      <c r="B485" s="369">
        <v>4400</v>
      </c>
      <c r="C485" s="370" t="s">
        <v>266</v>
      </c>
      <c r="D485" s="371">
        <v>1500000</v>
      </c>
    </row>
    <row r="486" spans="1:4" s="6" customFormat="1" ht="15" customHeight="1">
      <c r="A486" s="368" t="s">
        <v>180</v>
      </c>
      <c r="B486" s="369">
        <v>4408</v>
      </c>
      <c r="C486" s="370" t="s">
        <v>266</v>
      </c>
      <c r="D486" s="371">
        <v>901850</v>
      </c>
    </row>
    <row r="487" spans="1:4" s="6" customFormat="1" ht="15" customHeight="1">
      <c r="A487" s="368" t="s">
        <v>180</v>
      </c>
      <c r="B487" s="369">
        <v>4409</v>
      </c>
      <c r="C487" s="370" t="s">
        <v>266</v>
      </c>
      <c r="D487" s="371">
        <v>159150</v>
      </c>
    </row>
    <row r="488" spans="1:4" s="6" customFormat="1">
      <c r="A488" s="372" t="s">
        <v>180</v>
      </c>
      <c r="B488" s="373">
        <v>4410</v>
      </c>
      <c r="C488" s="374" t="s">
        <v>267</v>
      </c>
      <c r="D488" s="375">
        <v>156000</v>
      </c>
    </row>
    <row r="489" spans="1:4" s="6" customFormat="1">
      <c r="A489" s="376" t="s">
        <v>180</v>
      </c>
      <c r="B489" s="377">
        <v>4418</v>
      </c>
      <c r="C489" s="378" t="s">
        <v>267</v>
      </c>
      <c r="D489" s="379">
        <v>60350</v>
      </c>
    </row>
    <row r="490" spans="1:4" s="6" customFormat="1">
      <c r="A490" s="368" t="s">
        <v>180</v>
      </c>
      <c r="B490" s="369">
        <v>4419</v>
      </c>
      <c r="C490" s="370" t="s">
        <v>267</v>
      </c>
      <c r="D490" s="371">
        <v>10650</v>
      </c>
    </row>
    <row r="491" spans="1:4" s="6" customFormat="1">
      <c r="A491" s="368" t="s">
        <v>180</v>
      </c>
      <c r="B491" s="369">
        <v>4420</v>
      </c>
      <c r="C491" s="370" t="s">
        <v>268</v>
      </c>
      <c r="D491" s="371">
        <v>150000</v>
      </c>
    </row>
    <row r="492" spans="1:4" s="6" customFormat="1">
      <c r="A492" s="368" t="s">
        <v>180</v>
      </c>
      <c r="B492" s="369">
        <v>4428</v>
      </c>
      <c r="C492" s="370" t="s">
        <v>268</v>
      </c>
      <c r="D492" s="371">
        <v>136000</v>
      </c>
    </row>
    <row r="493" spans="1:4" s="6" customFormat="1">
      <c r="A493" s="368" t="s">
        <v>180</v>
      </c>
      <c r="B493" s="369">
        <v>4429</v>
      </c>
      <c r="C493" s="370" t="s">
        <v>268</v>
      </c>
      <c r="D493" s="371">
        <v>24000</v>
      </c>
    </row>
    <row r="494" spans="1:4" s="6" customFormat="1">
      <c r="A494" s="368" t="s">
        <v>180</v>
      </c>
      <c r="B494" s="369">
        <v>4430</v>
      </c>
      <c r="C494" s="370" t="s">
        <v>269</v>
      </c>
      <c r="D494" s="371">
        <v>140000</v>
      </c>
    </row>
    <row r="495" spans="1:4" s="6" customFormat="1">
      <c r="A495" s="368" t="s">
        <v>180</v>
      </c>
      <c r="B495" s="369">
        <v>4438</v>
      </c>
      <c r="C495" s="370" t="s">
        <v>269</v>
      </c>
      <c r="D495" s="371">
        <v>32300</v>
      </c>
    </row>
    <row r="496" spans="1:4" s="6" customFormat="1" ht="15.75" customHeight="1">
      <c r="A496" s="368" t="s">
        <v>180</v>
      </c>
      <c r="B496" s="369">
        <v>4439</v>
      </c>
      <c r="C496" s="370" t="s">
        <v>269</v>
      </c>
      <c r="D496" s="371">
        <v>5700</v>
      </c>
    </row>
    <row r="497" spans="1:4" s="6" customFormat="1" ht="15.75" customHeight="1">
      <c r="A497" s="368" t="s">
        <v>180</v>
      </c>
      <c r="B497" s="369">
        <v>4440</v>
      </c>
      <c r="C497" s="370" t="s">
        <v>289</v>
      </c>
      <c r="D497" s="371">
        <v>2164908</v>
      </c>
    </row>
    <row r="498" spans="1:4" s="6" customFormat="1" ht="15.75" customHeight="1">
      <c r="A498" s="368" t="s">
        <v>180</v>
      </c>
      <c r="B498" s="369">
        <v>4480</v>
      </c>
      <c r="C498" s="370" t="s">
        <v>290</v>
      </c>
      <c r="D498" s="371">
        <v>101000</v>
      </c>
    </row>
    <row r="499" spans="1:4" s="6" customFormat="1" ht="15.75" customHeight="1">
      <c r="A499" s="368" t="s">
        <v>180</v>
      </c>
      <c r="B499" s="369">
        <v>4500</v>
      </c>
      <c r="C499" s="370" t="s">
        <v>291</v>
      </c>
      <c r="D499" s="371">
        <v>744</v>
      </c>
    </row>
    <row r="500" spans="1:4" s="6" customFormat="1" ht="15.75" customHeight="1">
      <c r="A500" s="368" t="s">
        <v>180</v>
      </c>
      <c r="B500" s="369">
        <v>4510</v>
      </c>
      <c r="C500" s="370" t="s">
        <v>292</v>
      </c>
      <c r="D500" s="371">
        <v>1000</v>
      </c>
    </row>
    <row r="501" spans="1:4" s="6" customFormat="1" ht="15.75" customHeight="1">
      <c r="A501" s="368" t="s">
        <v>180</v>
      </c>
      <c r="B501" s="369">
        <v>4520</v>
      </c>
      <c r="C501" s="370" t="s">
        <v>293</v>
      </c>
      <c r="D501" s="371">
        <v>106681</v>
      </c>
    </row>
    <row r="502" spans="1:4" s="6" customFormat="1" ht="15.75" customHeight="1">
      <c r="A502" s="368" t="s">
        <v>180</v>
      </c>
      <c r="B502" s="369">
        <v>4530</v>
      </c>
      <c r="C502" s="370" t="s">
        <v>276</v>
      </c>
      <c r="D502" s="371">
        <v>250</v>
      </c>
    </row>
    <row r="503" spans="1:4" s="6" customFormat="1" ht="15.75" customHeight="1">
      <c r="A503" s="368" t="s">
        <v>180</v>
      </c>
      <c r="B503" s="369">
        <v>4610</v>
      </c>
      <c r="C503" s="370" t="s">
        <v>272</v>
      </c>
      <c r="D503" s="371">
        <v>45000</v>
      </c>
    </row>
    <row r="504" spans="1:4" s="6" customFormat="1" ht="15.75" customHeight="1">
      <c r="A504" s="368" t="s">
        <v>180</v>
      </c>
      <c r="B504" s="369">
        <v>4618</v>
      </c>
      <c r="C504" s="370" t="s">
        <v>272</v>
      </c>
      <c r="D504" s="371">
        <v>212500</v>
      </c>
    </row>
    <row r="505" spans="1:4" s="6" customFormat="1" ht="15.75" customHeight="1">
      <c r="A505" s="368" t="s">
        <v>180</v>
      </c>
      <c r="B505" s="369">
        <v>4619</v>
      </c>
      <c r="C505" s="370" t="s">
        <v>272</v>
      </c>
      <c r="D505" s="371">
        <v>37500</v>
      </c>
    </row>
    <row r="506" spans="1:4" s="6" customFormat="1">
      <c r="A506" s="368" t="s">
        <v>180</v>
      </c>
      <c r="B506" s="369">
        <v>4700</v>
      </c>
      <c r="C506" s="370" t="s">
        <v>270</v>
      </c>
      <c r="D506" s="371">
        <v>103000</v>
      </c>
    </row>
    <row r="507" spans="1:4" s="6" customFormat="1" ht="15.75" customHeight="1">
      <c r="A507" s="368" t="s">
        <v>180</v>
      </c>
      <c r="B507" s="369">
        <v>4708</v>
      </c>
      <c r="C507" s="370" t="s">
        <v>270</v>
      </c>
      <c r="D507" s="371">
        <v>631250</v>
      </c>
    </row>
    <row r="508" spans="1:4" s="6" customFormat="1" ht="15.75" customHeight="1">
      <c r="A508" s="368" t="s">
        <v>180</v>
      </c>
      <c r="B508" s="369">
        <v>4709</v>
      </c>
      <c r="C508" s="370" t="s">
        <v>270</v>
      </c>
      <c r="D508" s="371">
        <v>111396</v>
      </c>
    </row>
    <row r="509" spans="1:4" s="6" customFormat="1" ht="15.75" customHeight="1">
      <c r="A509" s="368" t="s">
        <v>180</v>
      </c>
      <c r="B509" s="369">
        <v>4710</v>
      </c>
      <c r="C509" s="370" t="s">
        <v>294</v>
      </c>
      <c r="D509" s="371">
        <v>259772</v>
      </c>
    </row>
    <row r="510" spans="1:4" s="6" customFormat="1" ht="15.75" customHeight="1">
      <c r="A510" s="368" t="s">
        <v>180</v>
      </c>
      <c r="B510" s="369">
        <v>4718</v>
      </c>
      <c r="C510" s="370" t="s">
        <v>294</v>
      </c>
      <c r="D510" s="371">
        <v>85000</v>
      </c>
    </row>
    <row r="511" spans="1:4" s="6" customFormat="1" ht="15.75" customHeight="1">
      <c r="A511" s="368" t="s">
        <v>180</v>
      </c>
      <c r="B511" s="369">
        <v>4719</v>
      </c>
      <c r="C511" s="370" t="s">
        <v>294</v>
      </c>
      <c r="D511" s="371">
        <v>15000</v>
      </c>
    </row>
    <row r="512" spans="1:4" s="6" customFormat="1" ht="15.75" customHeight="1">
      <c r="A512" s="368" t="s">
        <v>180</v>
      </c>
      <c r="B512" s="369">
        <v>6050</v>
      </c>
      <c r="C512" s="370" t="s">
        <v>282</v>
      </c>
      <c r="D512" s="371">
        <v>5500000</v>
      </c>
    </row>
    <row r="513" spans="1:4" s="6" customFormat="1" ht="15.75" customHeight="1">
      <c r="A513" s="368" t="s">
        <v>180</v>
      </c>
      <c r="B513" s="369">
        <v>6058</v>
      </c>
      <c r="C513" s="370" t="s">
        <v>282</v>
      </c>
      <c r="D513" s="371">
        <v>5022063</v>
      </c>
    </row>
    <row r="514" spans="1:4" s="6" customFormat="1" ht="15.75" customHeight="1">
      <c r="A514" s="368" t="s">
        <v>180</v>
      </c>
      <c r="B514" s="369">
        <v>6059</v>
      </c>
      <c r="C514" s="370" t="s">
        <v>282</v>
      </c>
      <c r="D514" s="371">
        <v>886245</v>
      </c>
    </row>
    <row r="515" spans="1:4" s="6" customFormat="1" ht="15.75" customHeight="1">
      <c r="A515" s="368" t="s">
        <v>180</v>
      </c>
      <c r="B515" s="369">
        <v>6060</v>
      </c>
      <c r="C515" s="370" t="s">
        <v>295</v>
      </c>
      <c r="D515" s="371">
        <v>1160000</v>
      </c>
    </row>
    <row r="516" spans="1:4" s="6" customFormat="1" ht="15.75" customHeight="1">
      <c r="A516" s="368" t="s">
        <v>180</v>
      </c>
      <c r="B516" s="369">
        <v>6068</v>
      </c>
      <c r="C516" s="370" t="s">
        <v>295</v>
      </c>
      <c r="D516" s="371">
        <v>85000</v>
      </c>
    </row>
    <row r="517" spans="1:4" s="6" customFormat="1" ht="15.75" customHeight="1">
      <c r="A517" s="368" t="s">
        <v>180</v>
      </c>
      <c r="B517" s="369">
        <v>6069</v>
      </c>
      <c r="C517" s="370" t="s">
        <v>295</v>
      </c>
      <c r="D517" s="371">
        <v>15000</v>
      </c>
    </row>
    <row r="518" spans="1:4" s="5" customFormat="1" ht="18" customHeight="1">
      <c r="A518" s="364">
        <v>75058</v>
      </c>
      <c r="B518" s="365" t="s">
        <v>180</v>
      </c>
      <c r="C518" s="366" t="s">
        <v>92</v>
      </c>
      <c r="D518" s="367">
        <f>SUM(D519:D530)</f>
        <v>450000</v>
      </c>
    </row>
    <row r="519" spans="1:4" s="6" customFormat="1" ht="16.5" customHeight="1">
      <c r="A519" s="368" t="s">
        <v>180</v>
      </c>
      <c r="B519" s="369">
        <v>4170</v>
      </c>
      <c r="C519" s="370" t="s">
        <v>258</v>
      </c>
      <c r="D519" s="371">
        <v>3000</v>
      </c>
    </row>
    <row r="520" spans="1:4" s="6" customFormat="1" ht="16.5" customHeight="1">
      <c r="A520" s="368" t="s">
        <v>180</v>
      </c>
      <c r="B520" s="369">
        <v>4210</v>
      </c>
      <c r="C520" s="370" t="s">
        <v>260</v>
      </c>
      <c r="D520" s="371">
        <v>12000</v>
      </c>
    </row>
    <row r="521" spans="1:4" s="6" customFormat="1" ht="16.5" customHeight="1">
      <c r="A521" s="368" t="s">
        <v>180</v>
      </c>
      <c r="B521" s="369">
        <v>4220</v>
      </c>
      <c r="C521" s="370" t="s">
        <v>261</v>
      </c>
      <c r="D521" s="371">
        <v>3000</v>
      </c>
    </row>
    <row r="522" spans="1:4" s="6" customFormat="1" ht="16.5" customHeight="1">
      <c r="A522" s="368" t="s">
        <v>180</v>
      </c>
      <c r="B522" s="369">
        <v>4260</v>
      </c>
      <c r="C522" s="370" t="s">
        <v>262</v>
      </c>
      <c r="D522" s="371">
        <v>14100</v>
      </c>
    </row>
    <row r="523" spans="1:4" s="6" customFormat="1" ht="16.5" customHeight="1">
      <c r="A523" s="368" t="s">
        <v>180</v>
      </c>
      <c r="B523" s="369">
        <v>4300</v>
      </c>
      <c r="C523" s="370" t="s">
        <v>264</v>
      </c>
      <c r="D523" s="371">
        <v>20000</v>
      </c>
    </row>
    <row r="524" spans="1:4" s="6" customFormat="1" ht="16.5" customHeight="1">
      <c r="A524" s="368" t="s">
        <v>180</v>
      </c>
      <c r="B524" s="369">
        <v>4360</v>
      </c>
      <c r="C524" s="370" t="s">
        <v>265</v>
      </c>
      <c r="D524" s="371">
        <v>17500</v>
      </c>
    </row>
    <row r="525" spans="1:4" s="6" customFormat="1" ht="16.5" customHeight="1">
      <c r="A525" s="368" t="s">
        <v>180</v>
      </c>
      <c r="B525" s="369">
        <v>4380</v>
      </c>
      <c r="C525" s="370" t="s">
        <v>382</v>
      </c>
      <c r="D525" s="371">
        <v>800</v>
      </c>
    </row>
    <row r="526" spans="1:4" s="6" customFormat="1" ht="16.5" customHeight="1">
      <c r="A526" s="368" t="s">
        <v>180</v>
      </c>
      <c r="B526" s="369">
        <v>4400</v>
      </c>
      <c r="C526" s="370" t="s">
        <v>266</v>
      </c>
      <c r="D526" s="371">
        <v>153300</v>
      </c>
    </row>
    <row r="527" spans="1:4" s="6" customFormat="1" ht="16.5" customHeight="1">
      <c r="A527" s="368" t="s">
        <v>180</v>
      </c>
      <c r="B527" s="369">
        <v>4420</v>
      </c>
      <c r="C527" s="370" t="s">
        <v>268</v>
      </c>
      <c r="D527" s="371">
        <v>5000</v>
      </c>
    </row>
    <row r="528" spans="1:4" s="6" customFormat="1" ht="16.5" customHeight="1">
      <c r="A528" s="368" t="s">
        <v>180</v>
      </c>
      <c r="B528" s="369">
        <v>4430</v>
      </c>
      <c r="C528" s="370" t="s">
        <v>269</v>
      </c>
      <c r="D528" s="371">
        <v>217800</v>
      </c>
    </row>
    <row r="529" spans="1:4" s="6" customFormat="1" ht="16.5" customHeight="1">
      <c r="A529" s="368" t="s">
        <v>180</v>
      </c>
      <c r="B529" s="369">
        <v>4480</v>
      </c>
      <c r="C529" s="370" t="s">
        <v>290</v>
      </c>
      <c r="D529" s="371">
        <v>3000</v>
      </c>
    </row>
    <row r="530" spans="1:4" s="6" customFormat="1" ht="16.5" customHeight="1">
      <c r="A530" s="368" t="s">
        <v>180</v>
      </c>
      <c r="B530" s="369">
        <v>4530</v>
      </c>
      <c r="C530" s="370" t="s">
        <v>276</v>
      </c>
      <c r="D530" s="371">
        <v>500</v>
      </c>
    </row>
    <row r="531" spans="1:4" s="5" customFormat="1">
      <c r="A531" s="364">
        <v>75075</v>
      </c>
      <c r="B531" s="365" t="s">
        <v>180</v>
      </c>
      <c r="C531" s="366" t="s">
        <v>93</v>
      </c>
      <c r="D531" s="367">
        <f>SUM(D532:D571)</f>
        <v>34508830</v>
      </c>
    </row>
    <row r="532" spans="1:4" s="6" customFormat="1" ht="60">
      <c r="A532" s="368" t="s">
        <v>180</v>
      </c>
      <c r="B532" s="369">
        <v>2007</v>
      </c>
      <c r="C532" s="370" t="s">
        <v>252</v>
      </c>
      <c r="D532" s="371">
        <v>5401120</v>
      </c>
    </row>
    <row r="533" spans="1:4" s="6" customFormat="1" ht="60">
      <c r="A533" s="368" t="s">
        <v>180</v>
      </c>
      <c r="B533" s="369">
        <v>2057</v>
      </c>
      <c r="C533" s="370" t="s">
        <v>381</v>
      </c>
      <c r="D533" s="371">
        <v>355000</v>
      </c>
    </row>
    <row r="534" spans="1:4" s="6" customFormat="1">
      <c r="A534" s="368" t="s">
        <v>180</v>
      </c>
      <c r="B534" s="369">
        <v>4017</v>
      </c>
      <c r="C534" s="370" t="s">
        <v>254</v>
      </c>
      <c r="D534" s="371">
        <v>446244</v>
      </c>
    </row>
    <row r="535" spans="1:4" s="6" customFormat="1">
      <c r="A535" s="368" t="s">
        <v>180</v>
      </c>
      <c r="B535" s="369">
        <v>4019</v>
      </c>
      <c r="C535" s="370" t="s">
        <v>254</v>
      </c>
      <c r="D535" s="371">
        <v>70205</v>
      </c>
    </row>
    <row r="536" spans="1:4" s="6" customFormat="1">
      <c r="A536" s="368" t="s">
        <v>180</v>
      </c>
      <c r="B536" s="369">
        <v>4047</v>
      </c>
      <c r="C536" s="370" t="s">
        <v>255</v>
      </c>
      <c r="D536" s="371">
        <v>39574</v>
      </c>
    </row>
    <row r="537" spans="1:4" s="6" customFormat="1">
      <c r="A537" s="368" t="s">
        <v>180</v>
      </c>
      <c r="B537" s="369">
        <v>4049</v>
      </c>
      <c r="C537" s="370" t="s">
        <v>255</v>
      </c>
      <c r="D537" s="371">
        <v>5984</v>
      </c>
    </row>
    <row r="538" spans="1:4" s="6" customFormat="1">
      <c r="A538" s="368" t="s">
        <v>180</v>
      </c>
      <c r="B538" s="369">
        <v>4117</v>
      </c>
      <c r="C538" s="370" t="s">
        <v>256</v>
      </c>
      <c r="D538" s="371">
        <v>79779</v>
      </c>
    </row>
    <row r="539" spans="1:4" s="6" customFormat="1">
      <c r="A539" s="368" t="s">
        <v>180</v>
      </c>
      <c r="B539" s="369">
        <v>4119</v>
      </c>
      <c r="C539" s="370" t="s">
        <v>256</v>
      </c>
      <c r="D539" s="371">
        <v>13891</v>
      </c>
    </row>
    <row r="540" spans="1:4" s="6" customFormat="1">
      <c r="A540" s="368" t="s">
        <v>180</v>
      </c>
      <c r="B540" s="369">
        <v>4127</v>
      </c>
      <c r="C540" s="370" t="s">
        <v>257</v>
      </c>
      <c r="D540" s="371">
        <v>11391</v>
      </c>
    </row>
    <row r="541" spans="1:4" s="6" customFormat="1">
      <c r="A541" s="368" t="s">
        <v>180</v>
      </c>
      <c r="B541" s="369">
        <v>4129</v>
      </c>
      <c r="C541" s="370" t="s">
        <v>257</v>
      </c>
      <c r="D541" s="371">
        <v>1761</v>
      </c>
    </row>
    <row r="542" spans="1:4" s="6" customFormat="1">
      <c r="A542" s="372" t="s">
        <v>180</v>
      </c>
      <c r="B542" s="373">
        <v>4170</v>
      </c>
      <c r="C542" s="374" t="s">
        <v>258</v>
      </c>
      <c r="D542" s="375">
        <v>100000</v>
      </c>
    </row>
    <row r="543" spans="1:4" s="6" customFormat="1">
      <c r="A543" s="376" t="s">
        <v>180</v>
      </c>
      <c r="B543" s="377">
        <v>4177</v>
      </c>
      <c r="C543" s="378" t="s">
        <v>258</v>
      </c>
      <c r="D543" s="379">
        <v>3278</v>
      </c>
    </row>
    <row r="544" spans="1:4" s="6" customFormat="1">
      <c r="A544" s="368" t="s">
        <v>180</v>
      </c>
      <c r="B544" s="369">
        <v>4179</v>
      </c>
      <c r="C544" s="370" t="s">
        <v>258</v>
      </c>
      <c r="D544" s="371">
        <v>723</v>
      </c>
    </row>
    <row r="545" spans="1:4" s="6" customFormat="1">
      <c r="A545" s="368" t="s">
        <v>180</v>
      </c>
      <c r="B545" s="369">
        <v>4190</v>
      </c>
      <c r="C545" s="370" t="s">
        <v>259</v>
      </c>
      <c r="D545" s="371">
        <v>50000</v>
      </c>
    </row>
    <row r="546" spans="1:4" s="6" customFormat="1">
      <c r="A546" s="368" t="s">
        <v>180</v>
      </c>
      <c r="B546" s="369">
        <v>4210</v>
      </c>
      <c r="C546" s="370" t="s">
        <v>260</v>
      </c>
      <c r="D546" s="371">
        <v>300000</v>
      </c>
    </row>
    <row r="547" spans="1:4" s="6" customFormat="1">
      <c r="A547" s="368" t="s">
        <v>180</v>
      </c>
      <c r="B547" s="369">
        <v>4217</v>
      </c>
      <c r="C547" s="370" t="s">
        <v>260</v>
      </c>
      <c r="D547" s="371">
        <v>30177</v>
      </c>
    </row>
    <row r="548" spans="1:4" s="6" customFormat="1">
      <c r="A548" s="368" t="s">
        <v>180</v>
      </c>
      <c r="B548" s="369">
        <v>4219</v>
      </c>
      <c r="C548" s="370" t="s">
        <v>260</v>
      </c>
      <c r="D548" s="371">
        <v>6973</v>
      </c>
    </row>
    <row r="549" spans="1:4" s="6" customFormat="1">
      <c r="A549" s="368" t="s">
        <v>180</v>
      </c>
      <c r="B549" s="369">
        <v>4220</v>
      </c>
      <c r="C549" s="370" t="s">
        <v>261</v>
      </c>
      <c r="D549" s="371">
        <v>40000</v>
      </c>
    </row>
    <row r="550" spans="1:4" s="6" customFormat="1">
      <c r="A550" s="368" t="s">
        <v>180</v>
      </c>
      <c r="B550" s="369">
        <v>4227</v>
      </c>
      <c r="C550" s="370" t="s">
        <v>261</v>
      </c>
      <c r="D550" s="371">
        <v>6687</v>
      </c>
    </row>
    <row r="551" spans="1:4" s="6" customFormat="1">
      <c r="A551" s="368" t="s">
        <v>180</v>
      </c>
      <c r="B551" s="369">
        <v>4229</v>
      </c>
      <c r="C551" s="370" t="s">
        <v>261</v>
      </c>
      <c r="D551" s="371">
        <v>4513</v>
      </c>
    </row>
    <row r="552" spans="1:4" s="6" customFormat="1">
      <c r="A552" s="368" t="s">
        <v>180</v>
      </c>
      <c r="B552" s="369">
        <v>4267</v>
      </c>
      <c r="C552" s="370" t="s">
        <v>262</v>
      </c>
      <c r="D552" s="371">
        <v>5015</v>
      </c>
    </row>
    <row r="553" spans="1:4" s="6" customFormat="1">
      <c r="A553" s="368" t="s">
        <v>180</v>
      </c>
      <c r="B553" s="369">
        <v>4269</v>
      </c>
      <c r="C553" s="370" t="s">
        <v>262</v>
      </c>
      <c r="D553" s="371">
        <v>885</v>
      </c>
    </row>
    <row r="554" spans="1:4" s="6" customFormat="1">
      <c r="A554" s="368" t="s">
        <v>180</v>
      </c>
      <c r="B554" s="369">
        <v>4300</v>
      </c>
      <c r="C554" s="370" t="s">
        <v>264</v>
      </c>
      <c r="D554" s="371">
        <v>8468000</v>
      </c>
    </row>
    <row r="555" spans="1:4" s="6" customFormat="1" ht="15.75" customHeight="1">
      <c r="A555" s="368" t="s">
        <v>180</v>
      </c>
      <c r="B555" s="369">
        <v>4307</v>
      </c>
      <c r="C555" s="370" t="s">
        <v>264</v>
      </c>
      <c r="D555" s="371">
        <v>15768885</v>
      </c>
    </row>
    <row r="556" spans="1:4" s="6" customFormat="1" ht="15.75" customHeight="1">
      <c r="A556" s="368" t="s">
        <v>180</v>
      </c>
      <c r="B556" s="369">
        <v>4309</v>
      </c>
      <c r="C556" s="370" t="s">
        <v>264</v>
      </c>
      <c r="D556" s="371">
        <v>3104367</v>
      </c>
    </row>
    <row r="557" spans="1:4" s="6" customFormat="1" ht="15.75" customHeight="1">
      <c r="A557" s="368" t="s">
        <v>180</v>
      </c>
      <c r="B557" s="369">
        <v>4367</v>
      </c>
      <c r="C557" s="370" t="s">
        <v>265</v>
      </c>
      <c r="D557" s="371">
        <v>2245</v>
      </c>
    </row>
    <row r="558" spans="1:4" s="6" customFormat="1" ht="15.75" customHeight="1">
      <c r="A558" s="368" t="s">
        <v>180</v>
      </c>
      <c r="B558" s="369">
        <v>4369</v>
      </c>
      <c r="C558" s="370" t="s">
        <v>265</v>
      </c>
      <c r="D558" s="371">
        <v>755</v>
      </c>
    </row>
    <row r="559" spans="1:4" s="6" customFormat="1" ht="16.5" customHeight="1">
      <c r="A559" s="368" t="s">
        <v>180</v>
      </c>
      <c r="B559" s="369">
        <v>4380</v>
      </c>
      <c r="C559" s="370" t="s">
        <v>382</v>
      </c>
      <c r="D559" s="371">
        <v>2000</v>
      </c>
    </row>
    <row r="560" spans="1:4" s="6" customFormat="1" ht="16.5" customHeight="1">
      <c r="A560" s="368" t="s">
        <v>180</v>
      </c>
      <c r="B560" s="369">
        <v>4387</v>
      </c>
      <c r="C560" s="370" t="s">
        <v>382</v>
      </c>
      <c r="D560" s="371">
        <v>5100</v>
      </c>
    </row>
    <row r="561" spans="1:4" s="6" customFormat="1" ht="16.5" customHeight="1">
      <c r="A561" s="368" t="s">
        <v>180</v>
      </c>
      <c r="B561" s="369">
        <v>4389</v>
      </c>
      <c r="C561" s="370" t="s">
        <v>382</v>
      </c>
      <c r="D561" s="371">
        <v>500</v>
      </c>
    </row>
    <row r="562" spans="1:4" s="6" customFormat="1" ht="16.5" customHeight="1">
      <c r="A562" s="368" t="s">
        <v>180</v>
      </c>
      <c r="B562" s="369">
        <v>4417</v>
      </c>
      <c r="C562" s="370" t="s">
        <v>267</v>
      </c>
      <c r="D562" s="371">
        <v>5950</v>
      </c>
    </row>
    <row r="563" spans="1:4" s="6" customFormat="1" ht="16.5" customHeight="1">
      <c r="A563" s="368" t="s">
        <v>180</v>
      </c>
      <c r="B563" s="369">
        <v>4419</v>
      </c>
      <c r="C563" s="370" t="s">
        <v>267</v>
      </c>
      <c r="D563" s="371">
        <v>1050</v>
      </c>
    </row>
    <row r="564" spans="1:4" s="6" customFormat="1" ht="16.5" customHeight="1">
      <c r="A564" s="368" t="s">
        <v>180</v>
      </c>
      <c r="B564" s="369">
        <v>4427</v>
      </c>
      <c r="C564" s="370" t="s">
        <v>268</v>
      </c>
      <c r="D564" s="371">
        <v>50500</v>
      </c>
    </row>
    <row r="565" spans="1:4" s="6" customFormat="1" ht="16.5" customHeight="1">
      <c r="A565" s="368" t="s">
        <v>180</v>
      </c>
      <c r="B565" s="369">
        <v>4429</v>
      </c>
      <c r="C565" s="370" t="s">
        <v>268</v>
      </c>
      <c r="D565" s="371">
        <v>8900</v>
      </c>
    </row>
    <row r="566" spans="1:4" s="6" customFormat="1" ht="16.5" customHeight="1">
      <c r="A566" s="368" t="s">
        <v>180</v>
      </c>
      <c r="B566" s="369">
        <v>4530</v>
      </c>
      <c r="C566" s="370" t="s">
        <v>276</v>
      </c>
      <c r="D566" s="371">
        <v>20000</v>
      </c>
    </row>
    <row r="567" spans="1:4" s="6" customFormat="1" ht="16.5" customHeight="1">
      <c r="A567" s="368" t="s">
        <v>180</v>
      </c>
      <c r="B567" s="369">
        <v>4537</v>
      </c>
      <c r="C567" s="370" t="s">
        <v>276</v>
      </c>
      <c r="D567" s="371">
        <v>37000</v>
      </c>
    </row>
    <row r="568" spans="1:4" s="6" customFormat="1" ht="16.5" customHeight="1">
      <c r="A568" s="368" t="s">
        <v>180</v>
      </c>
      <c r="B568" s="369">
        <v>4539</v>
      </c>
      <c r="C568" s="370" t="s">
        <v>276</v>
      </c>
      <c r="D568" s="371">
        <v>8100</v>
      </c>
    </row>
    <row r="569" spans="1:4" s="6" customFormat="1" ht="16.5" customHeight="1">
      <c r="A569" s="368" t="s">
        <v>180</v>
      </c>
      <c r="B569" s="369">
        <v>4700</v>
      </c>
      <c r="C569" s="370" t="s">
        <v>270</v>
      </c>
      <c r="D569" s="371">
        <v>20000</v>
      </c>
    </row>
    <row r="570" spans="1:4" s="6" customFormat="1" ht="16.5" customHeight="1">
      <c r="A570" s="368" t="s">
        <v>180</v>
      </c>
      <c r="B570" s="369">
        <v>4707</v>
      </c>
      <c r="C570" s="370" t="s">
        <v>270</v>
      </c>
      <c r="D570" s="371">
        <v>27436</v>
      </c>
    </row>
    <row r="571" spans="1:4" s="6" customFormat="1" ht="16.5" customHeight="1">
      <c r="A571" s="368" t="s">
        <v>180</v>
      </c>
      <c r="B571" s="369">
        <v>4709</v>
      </c>
      <c r="C571" s="370" t="s">
        <v>270</v>
      </c>
      <c r="D571" s="371">
        <v>4842</v>
      </c>
    </row>
    <row r="572" spans="1:4" s="5" customFormat="1" ht="16.5" customHeight="1">
      <c r="A572" s="364">
        <v>75084</v>
      </c>
      <c r="B572" s="365" t="s">
        <v>180</v>
      </c>
      <c r="C572" s="366" t="s">
        <v>220</v>
      </c>
      <c r="D572" s="367">
        <f>SUM(D573:D584)</f>
        <v>202000</v>
      </c>
    </row>
    <row r="573" spans="1:4" s="6" customFormat="1" ht="16.5" customHeight="1">
      <c r="A573" s="368" t="s">
        <v>180</v>
      </c>
      <c r="B573" s="369">
        <v>3030</v>
      </c>
      <c r="C573" s="370" t="s">
        <v>280</v>
      </c>
      <c r="D573" s="371">
        <v>2000</v>
      </c>
    </row>
    <row r="574" spans="1:4" s="6" customFormat="1" ht="16.5" customHeight="1">
      <c r="A574" s="368" t="s">
        <v>180</v>
      </c>
      <c r="B574" s="369">
        <v>4010</v>
      </c>
      <c r="C574" s="370" t="s">
        <v>254</v>
      </c>
      <c r="D574" s="371">
        <v>66000</v>
      </c>
    </row>
    <row r="575" spans="1:4" s="6" customFormat="1" ht="16.5" customHeight="1">
      <c r="A575" s="368" t="s">
        <v>180</v>
      </c>
      <c r="B575" s="369">
        <v>4040</v>
      </c>
      <c r="C575" s="370" t="s">
        <v>255</v>
      </c>
      <c r="D575" s="371">
        <v>6250</v>
      </c>
    </row>
    <row r="576" spans="1:4" s="6" customFormat="1" ht="16.5" customHeight="1">
      <c r="A576" s="368" t="s">
        <v>180</v>
      </c>
      <c r="B576" s="369">
        <v>4110</v>
      </c>
      <c r="C576" s="370" t="s">
        <v>256</v>
      </c>
      <c r="D576" s="371">
        <v>15000</v>
      </c>
    </row>
    <row r="577" spans="1:4" s="6" customFormat="1" ht="16.5" customHeight="1">
      <c r="A577" s="368" t="s">
        <v>180</v>
      </c>
      <c r="B577" s="369">
        <v>4120</v>
      </c>
      <c r="C577" s="370" t="s">
        <v>257</v>
      </c>
      <c r="D577" s="371">
        <v>2200</v>
      </c>
    </row>
    <row r="578" spans="1:4" s="6" customFormat="1" ht="16.5" customHeight="1">
      <c r="A578" s="368" t="s">
        <v>180</v>
      </c>
      <c r="B578" s="369">
        <v>4170</v>
      </c>
      <c r="C578" s="370" t="s">
        <v>258</v>
      </c>
      <c r="D578" s="371">
        <v>20000</v>
      </c>
    </row>
    <row r="579" spans="1:4" s="6" customFormat="1" ht="16.5" customHeight="1">
      <c r="A579" s="368" t="s">
        <v>180</v>
      </c>
      <c r="B579" s="369">
        <v>4210</v>
      </c>
      <c r="C579" s="370" t="s">
        <v>260</v>
      </c>
      <c r="D579" s="371">
        <v>16500</v>
      </c>
    </row>
    <row r="580" spans="1:4" s="6" customFormat="1" ht="16.5" customHeight="1">
      <c r="A580" s="368" t="s">
        <v>180</v>
      </c>
      <c r="B580" s="369">
        <v>4220</v>
      </c>
      <c r="C580" s="370" t="s">
        <v>261</v>
      </c>
      <c r="D580" s="371">
        <v>8000</v>
      </c>
    </row>
    <row r="581" spans="1:4" s="6" customFormat="1" ht="16.5" customHeight="1">
      <c r="A581" s="368" t="s">
        <v>180</v>
      </c>
      <c r="B581" s="369">
        <v>4300</v>
      </c>
      <c r="C581" s="370" t="s">
        <v>264</v>
      </c>
      <c r="D581" s="371">
        <v>64000</v>
      </c>
    </row>
    <row r="582" spans="1:4" s="6" customFormat="1" ht="16.5" customHeight="1">
      <c r="A582" s="368" t="s">
        <v>180</v>
      </c>
      <c r="B582" s="369">
        <v>4410</v>
      </c>
      <c r="C582" s="370" t="s">
        <v>267</v>
      </c>
      <c r="D582" s="371">
        <v>500</v>
      </c>
    </row>
    <row r="583" spans="1:4" s="6" customFormat="1" ht="16.5" customHeight="1">
      <c r="A583" s="368" t="s">
        <v>180</v>
      </c>
      <c r="B583" s="369">
        <v>4700</v>
      </c>
      <c r="C583" s="370" t="s">
        <v>270</v>
      </c>
      <c r="D583" s="371">
        <v>400</v>
      </c>
    </row>
    <row r="584" spans="1:4" s="6" customFormat="1" ht="15.75" customHeight="1">
      <c r="A584" s="368" t="s">
        <v>180</v>
      </c>
      <c r="B584" s="369">
        <v>4710</v>
      </c>
      <c r="C584" s="370" t="s">
        <v>294</v>
      </c>
      <c r="D584" s="371">
        <v>1150</v>
      </c>
    </row>
    <row r="585" spans="1:4" s="5" customFormat="1">
      <c r="A585" s="364">
        <v>75095</v>
      </c>
      <c r="B585" s="365" t="s">
        <v>180</v>
      </c>
      <c r="C585" s="366" t="s">
        <v>46</v>
      </c>
      <c r="D585" s="367">
        <f>SUM(D586:D642)</f>
        <v>4220047</v>
      </c>
    </row>
    <row r="586" spans="1:4" s="6" customFormat="1" ht="45">
      <c r="A586" s="368" t="s">
        <v>180</v>
      </c>
      <c r="B586" s="369">
        <v>2360</v>
      </c>
      <c r="C586" s="370" t="s">
        <v>298</v>
      </c>
      <c r="D586" s="371">
        <v>135000</v>
      </c>
    </row>
    <row r="587" spans="1:4" s="6" customFormat="1">
      <c r="A587" s="368" t="s">
        <v>180</v>
      </c>
      <c r="B587" s="369">
        <v>3028</v>
      </c>
      <c r="C587" s="370" t="s">
        <v>286</v>
      </c>
      <c r="D587" s="371">
        <v>850</v>
      </c>
    </row>
    <row r="588" spans="1:4" s="6" customFormat="1">
      <c r="A588" s="368" t="s">
        <v>180</v>
      </c>
      <c r="B588" s="369">
        <v>3029</v>
      </c>
      <c r="C588" s="370" t="s">
        <v>286</v>
      </c>
      <c r="D588" s="371">
        <v>150</v>
      </c>
    </row>
    <row r="589" spans="1:4" s="6" customFormat="1">
      <c r="A589" s="368" t="s">
        <v>180</v>
      </c>
      <c r="B589" s="369">
        <v>3030</v>
      </c>
      <c r="C589" s="370" t="s">
        <v>280</v>
      </c>
      <c r="D589" s="371">
        <v>7000</v>
      </c>
    </row>
    <row r="590" spans="1:4" s="6" customFormat="1">
      <c r="A590" s="368" t="s">
        <v>180</v>
      </c>
      <c r="B590" s="369">
        <v>3040</v>
      </c>
      <c r="C590" s="370" t="s">
        <v>301</v>
      </c>
      <c r="D590" s="371">
        <v>200000</v>
      </c>
    </row>
    <row r="591" spans="1:4" s="6" customFormat="1">
      <c r="A591" s="368" t="s">
        <v>180</v>
      </c>
      <c r="B591" s="369">
        <v>4017</v>
      </c>
      <c r="C591" s="370" t="s">
        <v>254</v>
      </c>
      <c r="D591" s="371">
        <v>19202</v>
      </c>
    </row>
    <row r="592" spans="1:4" s="6" customFormat="1">
      <c r="A592" s="368" t="s">
        <v>180</v>
      </c>
      <c r="B592" s="369">
        <v>4018</v>
      </c>
      <c r="C592" s="370" t="s">
        <v>254</v>
      </c>
      <c r="D592" s="371">
        <v>735450</v>
      </c>
    </row>
    <row r="593" spans="1:4" s="6" customFormat="1">
      <c r="A593" s="368" t="s">
        <v>180</v>
      </c>
      <c r="B593" s="369">
        <v>4019</v>
      </c>
      <c r="C593" s="370" t="s">
        <v>254</v>
      </c>
      <c r="D593" s="371">
        <v>135495</v>
      </c>
    </row>
    <row r="594" spans="1:4" s="6" customFormat="1">
      <c r="A594" s="368" t="s">
        <v>180</v>
      </c>
      <c r="B594" s="369">
        <v>4047</v>
      </c>
      <c r="C594" s="370" t="s">
        <v>255</v>
      </c>
      <c r="D594" s="371">
        <v>1599</v>
      </c>
    </row>
    <row r="595" spans="1:4" s="6" customFormat="1">
      <c r="A595" s="368" t="s">
        <v>180</v>
      </c>
      <c r="B595" s="369">
        <v>4048</v>
      </c>
      <c r="C595" s="370" t="s">
        <v>255</v>
      </c>
      <c r="D595" s="371">
        <v>66300</v>
      </c>
    </row>
    <row r="596" spans="1:4" s="6" customFormat="1">
      <c r="A596" s="368" t="s">
        <v>180</v>
      </c>
      <c r="B596" s="369">
        <v>4049</v>
      </c>
      <c r="C596" s="370" t="s">
        <v>255</v>
      </c>
      <c r="D596" s="371">
        <v>11809</v>
      </c>
    </row>
    <row r="597" spans="1:4" s="6" customFormat="1">
      <c r="A597" s="368" t="s">
        <v>180</v>
      </c>
      <c r="B597" s="369">
        <v>4110</v>
      </c>
      <c r="C597" s="370" t="s">
        <v>256</v>
      </c>
      <c r="D597" s="371">
        <v>2000</v>
      </c>
    </row>
    <row r="598" spans="1:4" s="6" customFormat="1">
      <c r="A598" s="368" t="s">
        <v>180</v>
      </c>
      <c r="B598" s="369">
        <v>4117</v>
      </c>
      <c r="C598" s="370" t="s">
        <v>256</v>
      </c>
      <c r="D598" s="371">
        <v>10549</v>
      </c>
    </row>
    <row r="599" spans="1:4" s="6" customFormat="1">
      <c r="A599" s="368" t="s">
        <v>180</v>
      </c>
      <c r="B599" s="369">
        <v>4118</v>
      </c>
      <c r="C599" s="370" t="s">
        <v>256</v>
      </c>
      <c r="D599" s="371">
        <v>137822</v>
      </c>
    </row>
    <row r="600" spans="1:4" s="6" customFormat="1">
      <c r="A600" s="372" t="s">
        <v>180</v>
      </c>
      <c r="B600" s="373">
        <v>4119</v>
      </c>
      <c r="C600" s="374" t="s">
        <v>256</v>
      </c>
      <c r="D600" s="375">
        <v>25796</v>
      </c>
    </row>
    <row r="601" spans="1:4" s="6" customFormat="1">
      <c r="A601" s="376" t="s">
        <v>180</v>
      </c>
      <c r="B601" s="377">
        <v>4120</v>
      </c>
      <c r="C601" s="378" t="s">
        <v>257</v>
      </c>
      <c r="D601" s="379">
        <v>300</v>
      </c>
    </row>
    <row r="602" spans="1:4" s="6" customFormat="1">
      <c r="A602" s="368" t="s">
        <v>180</v>
      </c>
      <c r="B602" s="369">
        <v>4127</v>
      </c>
      <c r="C602" s="370" t="s">
        <v>257</v>
      </c>
      <c r="D602" s="371">
        <v>640</v>
      </c>
    </row>
    <row r="603" spans="1:4" s="6" customFormat="1">
      <c r="A603" s="368" t="s">
        <v>180</v>
      </c>
      <c r="B603" s="369">
        <v>4128</v>
      </c>
      <c r="C603" s="370" t="s">
        <v>257</v>
      </c>
      <c r="D603" s="371">
        <v>19529</v>
      </c>
    </row>
    <row r="604" spans="1:4" s="6" customFormat="1">
      <c r="A604" s="368" t="s">
        <v>180</v>
      </c>
      <c r="B604" s="369">
        <v>4129</v>
      </c>
      <c r="C604" s="370" t="s">
        <v>257</v>
      </c>
      <c r="D604" s="371">
        <v>3582</v>
      </c>
    </row>
    <row r="605" spans="1:4" s="6" customFormat="1">
      <c r="A605" s="368" t="s">
        <v>180</v>
      </c>
      <c r="B605" s="369">
        <v>4170</v>
      </c>
      <c r="C605" s="370" t="s">
        <v>258</v>
      </c>
      <c r="D605" s="371">
        <v>40000</v>
      </c>
    </row>
    <row r="606" spans="1:4" s="6" customFormat="1">
      <c r="A606" s="368" t="s">
        <v>180</v>
      </c>
      <c r="B606" s="369">
        <v>4178</v>
      </c>
      <c r="C606" s="370" t="s">
        <v>258</v>
      </c>
      <c r="D606" s="371">
        <v>425</v>
      </c>
    </row>
    <row r="607" spans="1:4" s="6" customFormat="1">
      <c r="A607" s="368" t="s">
        <v>180</v>
      </c>
      <c r="B607" s="369">
        <v>4179</v>
      </c>
      <c r="C607" s="370" t="s">
        <v>258</v>
      </c>
      <c r="D607" s="371">
        <v>75</v>
      </c>
    </row>
    <row r="608" spans="1:4" s="6" customFormat="1">
      <c r="A608" s="368" t="s">
        <v>180</v>
      </c>
      <c r="B608" s="369">
        <v>4190</v>
      </c>
      <c r="C608" s="370" t="s">
        <v>259</v>
      </c>
      <c r="D608" s="371">
        <v>68000</v>
      </c>
    </row>
    <row r="609" spans="1:4" s="6" customFormat="1">
      <c r="A609" s="368" t="s">
        <v>180</v>
      </c>
      <c r="B609" s="369">
        <v>4210</v>
      </c>
      <c r="C609" s="370" t="s">
        <v>260</v>
      </c>
      <c r="D609" s="371">
        <v>204000</v>
      </c>
    </row>
    <row r="610" spans="1:4" s="6" customFormat="1">
      <c r="A610" s="368" t="s">
        <v>180</v>
      </c>
      <c r="B610" s="369">
        <v>4217</v>
      </c>
      <c r="C610" s="370" t="s">
        <v>260</v>
      </c>
      <c r="D610" s="371">
        <v>22576</v>
      </c>
    </row>
    <row r="611" spans="1:4" s="6" customFormat="1" ht="17.25" customHeight="1">
      <c r="A611" s="368" t="s">
        <v>180</v>
      </c>
      <c r="B611" s="369">
        <v>4218</v>
      </c>
      <c r="C611" s="370" t="s">
        <v>260</v>
      </c>
      <c r="D611" s="371">
        <v>3400</v>
      </c>
    </row>
    <row r="612" spans="1:4" s="6" customFormat="1" ht="16.5" customHeight="1">
      <c r="A612" s="368" t="s">
        <v>180</v>
      </c>
      <c r="B612" s="369">
        <v>4219</v>
      </c>
      <c r="C612" s="370" t="s">
        <v>260</v>
      </c>
      <c r="D612" s="371">
        <v>2142</v>
      </c>
    </row>
    <row r="613" spans="1:4" s="6" customFormat="1" ht="16.5" customHeight="1">
      <c r="A613" s="368" t="s">
        <v>180</v>
      </c>
      <c r="B613" s="369">
        <v>4220</v>
      </c>
      <c r="C613" s="370" t="s">
        <v>261</v>
      </c>
      <c r="D613" s="371">
        <v>64200</v>
      </c>
    </row>
    <row r="614" spans="1:4" s="6" customFormat="1" ht="16.5" customHeight="1">
      <c r="A614" s="368" t="s">
        <v>180</v>
      </c>
      <c r="B614" s="369">
        <v>4228</v>
      </c>
      <c r="C614" s="370" t="s">
        <v>261</v>
      </c>
      <c r="D614" s="371">
        <v>2380</v>
      </c>
    </row>
    <row r="615" spans="1:4" s="6" customFormat="1" ht="16.5" customHeight="1">
      <c r="A615" s="368" t="s">
        <v>180</v>
      </c>
      <c r="B615" s="369">
        <v>4229</v>
      </c>
      <c r="C615" s="370" t="s">
        <v>261</v>
      </c>
      <c r="D615" s="371">
        <v>420</v>
      </c>
    </row>
    <row r="616" spans="1:4" s="6" customFormat="1" ht="16.5" customHeight="1">
      <c r="A616" s="368" t="s">
        <v>180</v>
      </c>
      <c r="B616" s="369">
        <v>4268</v>
      </c>
      <c r="C616" s="370" t="s">
        <v>262</v>
      </c>
      <c r="D616" s="371">
        <v>24820</v>
      </c>
    </row>
    <row r="617" spans="1:4" s="6" customFormat="1" ht="16.5" customHeight="1">
      <c r="A617" s="368" t="s">
        <v>180</v>
      </c>
      <c r="B617" s="369">
        <v>4269</v>
      </c>
      <c r="C617" s="370" t="s">
        <v>262</v>
      </c>
      <c r="D617" s="371">
        <v>4380</v>
      </c>
    </row>
    <row r="618" spans="1:4" s="6" customFormat="1" ht="16.5" customHeight="1">
      <c r="A618" s="368" t="s">
        <v>180</v>
      </c>
      <c r="B618" s="369">
        <v>4278</v>
      </c>
      <c r="C618" s="370" t="s">
        <v>263</v>
      </c>
      <c r="D618" s="371">
        <v>17000</v>
      </c>
    </row>
    <row r="619" spans="1:4" s="6" customFormat="1" ht="16.5" customHeight="1">
      <c r="A619" s="368" t="s">
        <v>180</v>
      </c>
      <c r="B619" s="369">
        <v>4279</v>
      </c>
      <c r="C619" s="370" t="s">
        <v>263</v>
      </c>
      <c r="D619" s="371">
        <v>3000</v>
      </c>
    </row>
    <row r="620" spans="1:4" s="6" customFormat="1" ht="16.5" customHeight="1">
      <c r="A620" s="368" t="s">
        <v>180</v>
      </c>
      <c r="B620" s="369">
        <v>4288</v>
      </c>
      <c r="C620" s="370" t="s">
        <v>288</v>
      </c>
      <c r="D620" s="371">
        <v>425</v>
      </c>
    </row>
    <row r="621" spans="1:4" s="6" customFormat="1" ht="16.5" customHeight="1">
      <c r="A621" s="368" t="s">
        <v>180</v>
      </c>
      <c r="B621" s="369">
        <v>4289</v>
      </c>
      <c r="C621" s="370" t="s">
        <v>288</v>
      </c>
      <c r="D621" s="371">
        <v>75</v>
      </c>
    </row>
    <row r="622" spans="1:4" s="6" customFormat="1" ht="16.5" customHeight="1">
      <c r="A622" s="368" t="s">
        <v>180</v>
      </c>
      <c r="B622" s="369">
        <v>4300</v>
      </c>
      <c r="C622" s="370" t="s">
        <v>264</v>
      </c>
      <c r="D622" s="371">
        <v>1485764</v>
      </c>
    </row>
    <row r="623" spans="1:4" s="6" customFormat="1" ht="16.5" customHeight="1">
      <c r="A623" s="368" t="s">
        <v>180</v>
      </c>
      <c r="B623" s="369">
        <v>4308</v>
      </c>
      <c r="C623" s="370" t="s">
        <v>264</v>
      </c>
      <c r="D623" s="371">
        <v>376775</v>
      </c>
    </row>
    <row r="624" spans="1:4" s="6" customFormat="1" ht="16.5" customHeight="1">
      <c r="A624" s="368" t="s">
        <v>180</v>
      </c>
      <c r="B624" s="369">
        <v>4309</v>
      </c>
      <c r="C624" s="370" t="s">
        <v>264</v>
      </c>
      <c r="D624" s="371">
        <v>111031</v>
      </c>
    </row>
    <row r="625" spans="1:4" s="6" customFormat="1" ht="16.5" customHeight="1">
      <c r="A625" s="368" t="s">
        <v>180</v>
      </c>
      <c r="B625" s="369">
        <v>4368</v>
      </c>
      <c r="C625" s="370" t="s">
        <v>265</v>
      </c>
      <c r="D625" s="371">
        <v>7310</v>
      </c>
    </row>
    <row r="626" spans="1:4" s="6" customFormat="1" ht="16.5" customHeight="1">
      <c r="A626" s="368" t="s">
        <v>180</v>
      </c>
      <c r="B626" s="369">
        <v>4369</v>
      </c>
      <c r="C626" s="370" t="s">
        <v>265</v>
      </c>
      <c r="D626" s="371">
        <v>1290</v>
      </c>
    </row>
    <row r="627" spans="1:4" s="6" customFormat="1" ht="16.5" customHeight="1">
      <c r="A627" s="368" t="s">
        <v>180</v>
      </c>
      <c r="B627" s="369">
        <v>4380</v>
      </c>
      <c r="C627" s="370" t="s">
        <v>382</v>
      </c>
      <c r="D627" s="371">
        <v>10400</v>
      </c>
    </row>
    <row r="628" spans="1:4" s="6" customFormat="1" ht="16.5" customHeight="1">
      <c r="A628" s="368" t="s">
        <v>180</v>
      </c>
      <c r="B628" s="369">
        <v>4388</v>
      </c>
      <c r="C628" s="370" t="s">
        <v>382</v>
      </c>
      <c r="D628" s="371">
        <v>425</v>
      </c>
    </row>
    <row r="629" spans="1:4" s="6" customFormat="1" ht="16.5" customHeight="1">
      <c r="A629" s="368" t="s">
        <v>180</v>
      </c>
      <c r="B629" s="369">
        <v>4389</v>
      </c>
      <c r="C629" s="370" t="s">
        <v>382</v>
      </c>
      <c r="D629" s="371">
        <v>75</v>
      </c>
    </row>
    <row r="630" spans="1:4" s="6" customFormat="1" ht="16.5" customHeight="1">
      <c r="A630" s="368" t="s">
        <v>180</v>
      </c>
      <c r="B630" s="369">
        <v>4408</v>
      </c>
      <c r="C630" s="370" t="s">
        <v>266</v>
      </c>
      <c r="D630" s="371">
        <v>79050</v>
      </c>
    </row>
    <row r="631" spans="1:4" s="6" customFormat="1" ht="16.5" customHeight="1">
      <c r="A631" s="368" t="s">
        <v>180</v>
      </c>
      <c r="B631" s="369">
        <v>4409</v>
      </c>
      <c r="C631" s="370" t="s">
        <v>266</v>
      </c>
      <c r="D631" s="371">
        <v>13950</v>
      </c>
    </row>
    <row r="632" spans="1:4" s="6" customFormat="1" ht="16.5" customHeight="1">
      <c r="A632" s="368" t="s">
        <v>180</v>
      </c>
      <c r="B632" s="369">
        <v>4410</v>
      </c>
      <c r="C632" s="370" t="s">
        <v>267</v>
      </c>
      <c r="D632" s="371">
        <v>10000</v>
      </c>
    </row>
    <row r="633" spans="1:4" s="6" customFormat="1" ht="16.5" customHeight="1">
      <c r="A633" s="368" t="s">
        <v>180</v>
      </c>
      <c r="B633" s="369">
        <v>4417</v>
      </c>
      <c r="C633" s="370" t="s">
        <v>267</v>
      </c>
      <c r="D633" s="371">
        <v>3558</v>
      </c>
    </row>
    <row r="634" spans="1:4" s="6" customFormat="1" ht="16.5" customHeight="1">
      <c r="A634" s="368" t="s">
        <v>180</v>
      </c>
      <c r="B634" s="369">
        <v>4418</v>
      </c>
      <c r="C634" s="370" t="s">
        <v>267</v>
      </c>
      <c r="D634" s="371">
        <v>15661</v>
      </c>
    </row>
    <row r="635" spans="1:4" s="6" customFormat="1" ht="16.5" customHeight="1">
      <c r="A635" s="368" t="s">
        <v>180</v>
      </c>
      <c r="B635" s="369">
        <v>4419</v>
      </c>
      <c r="C635" s="370" t="s">
        <v>267</v>
      </c>
      <c r="D635" s="371">
        <v>4331</v>
      </c>
    </row>
    <row r="636" spans="1:4" s="6" customFormat="1" ht="16.5" customHeight="1">
      <c r="A636" s="368" t="s">
        <v>180</v>
      </c>
      <c r="B636" s="369">
        <v>4430</v>
      </c>
      <c r="C636" s="370" t="s">
        <v>269</v>
      </c>
      <c r="D636" s="371">
        <v>103620</v>
      </c>
    </row>
    <row r="637" spans="1:4" s="6" customFormat="1" ht="16.5" customHeight="1">
      <c r="A637" s="368" t="s">
        <v>180</v>
      </c>
      <c r="B637" s="369">
        <v>4540</v>
      </c>
      <c r="C637" s="370" t="s">
        <v>277</v>
      </c>
      <c r="D637" s="371">
        <v>8500</v>
      </c>
    </row>
    <row r="638" spans="1:4" s="6" customFormat="1" ht="16.5" customHeight="1">
      <c r="A638" s="368" t="s">
        <v>180</v>
      </c>
      <c r="B638" s="369">
        <v>4707</v>
      </c>
      <c r="C638" s="370" t="s">
        <v>270</v>
      </c>
      <c r="D638" s="371">
        <v>12892</v>
      </c>
    </row>
    <row r="639" spans="1:4" s="6" customFormat="1" ht="16.5" customHeight="1">
      <c r="A639" s="368" t="s">
        <v>180</v>
      </c>
      <c r="B639" s="369">
        <v>4708</v>
      </c>
      <c r="C639" s="370" t="s">
        <v>270</v>
      </c>
      <c r="D639" s="371">
        <v>1700</v>
      </c>
    </row>
    <row r="640" spans="1:4" s="6" customFormat="1" ht="16.5" customHeight="1">
      <c r="A640" s="368" t="s">
        <v>180</v>
      </c>
      <c r="B640" s="369">
        <v>4709</v>
      </c>
      <c r="C640" s="370" t="s">
        <v>270</v>
      </c>
      <c r="D640" s="371">
        <v>1174</v>
      </c>
    </row>
    <row r="641" spans="1:4" s="6" customFormat="1" ht="16.5" customHeight="1">
      <c r="A641" s="368" t="s">
        <v>180</v>
      </c>
      <c r="B641" s="369">
        <v>4718</v>
      </c>
      <c r="C641" s="370" t="s">
        <v>294</v>
      </c>
      <c r="D641" s="371">
        <v>1815</v>
      </c>
    </row>
    <row r="642" spans="1:4" s="6" customFormat="1" ht="15.75" customHeight="1">
      <c r="A642" s="372" t="s">
        <v>180</v>
      </c>
      <c r="B642" s="373">
        <v>4719</v>
      </c>
      <c r="C642" s="374" t="s">
        <v>294</v>
      </c>
      <c r="D642" s="375">
        <v>335</v>
      </c>
    </row>
    <row r="643" spans="1:4" s="5" customFormat="1">
      <c r="A643" s="362" t="s">
        <v>31</v>
      </c>
      <c r="B643" s="380" t="s">
        <v>180</v>
      </c>
      <c r="C643" s="264" t="s">
        <v>32</v>
      </c>
      <c r="D643" s="363">
        <f>D644</f>
        <v>5000</v>
      </c>
    </row>
    <row r="644" spans="1:4" s="5" customFormat="1">
      <c r="A644" s="364">
        <v>75212</v>
      </c>
      <c r="B644" s="365" t="s">
        <v>180</v>
      </c>
      <c r="C644" s="366" t="s">
        <v>59</v>
      </c>
      <c r="D644" s="367">
        <f>D645+D646</f>
        <v>5000</v>
      </c>
    </row>
    <row r="645" spans="1:4" s="6" customFormat="1">
      <c r="A645" s="368" t="s">
        <v>180</v>
      </c>
      <c r="B645" s="369">
        <v>4210</v>
      </c>
      <c r="C645" s="370" t="s">
        <v>260</v>
      </c>
      <c r="D645" s="371">
        <v>1000</v>
      </c>
    </row>
    <row r="646" spans="1:4" s="6" customFormat="1">
      <c r="A646" s="368" t="s">
        <v>180</v>
      </c>
      <c r="B646" s="369">
        <v>4300</v>
      </c>
      <c r="C646" s="370" t="s">
        <v>264</v>
      </c>
      <c r="D646" s="371">
        <v>4000</v>
      </c>
    </row>
    <row r="647" spans="1:4" s="6" customFormat="1" ht="16.5" customHeight="1">
      <c r="A647" s="362" t="s">
        <v>94</v>
      </c>
      <c r="B647" s="380" t="s">
        <v>180</v>
      </c>
      <c r="C647" s="264" t="s">
        <v>95</v>
      </c>
      <c r="D647" s="363">
        <f>D648+D650</f>
        <v>235422</v>
      </c>
    </row>
    <row r="648" spans="1:4" s="5" customFormat="1">
      <c r="A648" s="364">
        <v>75412</v>
      </c>
      <c r="B648" s="365" t="s">
        <v>180</v>
      </c>
      <c r="C648" s="366" t="s">
        <v>389</v>
      </c>
      <c r="D648" s="367">
        <f>D649</f>
        <v>50422</v>
      </c>
    </row>
    <row r="649" spans="1:4" s="6" customFormat="1" ht="60">
      <c r="A649" s="368" t="s">
        <v>180</v>
      </c>
      <c r="B649" s="369">
        <v>6209</v>
      </c>
      <c r="C649" s="370" t="s">
        <v>279</v>
      </c>
      <c r="D649" s="371">
        <v>50422</v>
      </c>
    </row>
    <row r="650" spans="1:4" s="5" customFormat="1" ht="14.25" customHeight="1">
      <c r="A650" s="364">
        <v>75495</v>
      </c>
      <c r="B650" s="365" t="s">
        <v>180</v>
      </c>
      <c r="C650" s="366" t="s">
        <v>46</v>
      </c>
      <c r="D650" s="367">
        <f>SUM(D651:D654)</f>
        <v>185000</v>
      </c>
    </row>
    <row r="651" spans="1:4" s="6" customFormat="1">
      <c r="A651" s="368" t="s">
        <v>180</v>
      </c>
      <c r="B651" s="369">
        <v>4190</v>
      </c>
      <c r="C651" s="370" t="s">
        <v>259</v>
      </c>
      <c r="D651" s="371">
        <v>4000</v>
      </c>
    </row>
    <row r="652" spans="1:4" s="6" customFormat="1">
      <c r="A652" s="368" t="s">
        <v>180</v>
      </c>
      <c r="B652" s="369">
        <v>4210</v>
      </c>
      <c r="C652" s="370" t="s">
        <v>260</v>
      </c>
      <c r="D652" s="371">
        <v>6000</v>
      </c>
    </row>
    <row r="653" spans="1:4" s="6" customFormat="1">
      <c r="A653" s="368" t="s">
        <v>180</v>
      </c>
      <c r="B653" s="369">
        <v>4300</v>
      </c>
      <c r="C653" s="370" t="s">
        <v>264</v>
      </c>
      <c r="D653" s="371">
        <v>135000</v>
      </c>
    </row>
    <row r="654" spans="1:4" s="6" customFormat="1">
      <c r="A654" s="368" t="s">
        <v>180</v>
      </c>
      <c r="B654" s="369">
        <v>4430</v>
      </c>
      <c r="C654" s="370" t="s">
        <v>269</v>
      </c>
      <c r="D654" s="371">
        <v>40000</v>
      </c>
    </row>
    <row r="655" spans="1:4" s="6" customFormat="1">
      <c r="A655" s="362" t="s">
        <v>96</v>
      </c>
      <c r="B655" s="380" t="s">
        <v>180</v>
      </c>
      <c r="C655" s="264" t="s">
        <v>97</v>
      </c>
      <c r="D655" s="363">
        <f>D656+D658</f>
        <v>53488601</v>
      </c>
    </row>
    <row r="656" spans="1:4" s="5" customFormat="1" ht="45">
      <c r="A656" s="381">
        <v>75702</v>
      </c>
      <c r="B656" s="382" t="s">
        <v>180</v>
      </c>
      <c r="C656" s="383" t="s">
        <v>390</v>
      </c>
      <c r="D656" s="384">
        <f>D657</f>
        <v>10748228</v>
      </c>
    </row>
    <row r="657" spans="1:4" s="6" customFormat="1" ht="30">
      <c r="A657" s="368" t="s">
        <v>180</v>
      </c>
      <c r="B657" s="369">
        <v>8110</v>
      </c>
      <c r="C657" s="370" t="s">
        <v>302</v>
      </c>
      <c r="D657" s="371">
        <v>10748228</v>
      </c>
    </row>
    <row r="658" spans="1:4" s="5" customFormat="1" ht="30">
      <c r="A658" s="364">
        <v>75704</v>
      </c>
      <c r="B658" s="365" t="s">
        <v>180</v>
      </c>
      <c r="C658" s="366" t="s">
        <v>98</v>
      </c>
      <c r="D658" s="367">
        <f>D659+D660</f>
        <v>42740373</v>
      </c>
    </row>
    <row r="659" spans="1:4" s="6" customFormat="1">
      <c r="A659" s="368" t="s">
        <v>180</v>
      </c>
      <c r="B659" s="369">
        <v>8020</v>
      </c>
      <c r="C659" s="370" t="s">
        <v>303</v>
      </c>
      <c r="D659" s="371">
        <v>41194123</v>
      </c>
    </row>
    <row r="660" spans="1:4" s="6" customFormat="1">
      <c r="A660" s="368" t="s">
        <v>180</v>
      </c>
      <c r="B660" s="369">
        <v>8030</v>
      </c>
      <c r="C660" s="370" t="s">
        <v>304</v>
      </c>
      <c r="D660" s="371">
        <v>1546250</v>
      </c>
    </row>
    <row r="661" spans="1:4" s="5" customFormat="1">
      <c r="A661" s="362" t="s">
        <v>99</v>
      </c>
      <c r="B661" s="380" t="s">
        <v>180</v>
      </c>
      <c r="C661" s="264" t="s">
        <v>100</v>
      </c>
      <c r="D661" s="363">
        <f>D662</f>
        <v>40850000</v>
      </c>
    </row>
    <row r="662" spans="1:4" s="5" customFormat="1">
      <c r="A662" s="364">
        <v>75818</v>
      </c>
      <c r="B662" s="365" t="s">
        <v>180</v>
      </c>
      <c r="C662" s="366" t="s">
        <v>101</v>
      </c>
      <c r="D662" s="367">
        <f>D663+D664</f>
        <v>40850000</v>
      </c>
    </row>
    <row r="663" spans="1:4" s="6" customFormat="1">
      <c r="A663" s="368" t="s">
        <v>180</v>
      </c>
      <c r="B663" s="369">
        <v>4810</v>
      </c>
      <c r="C663" s="370" t="s">
        <v>305</v>
      </c>
      <c r="D663" s="371">
        <v>31250000</v>
      </c>
    </row>
    <row r="664" spans="1:4" s="6" customFormat="1">
      <c r="A664" s="368" t="s">
        <v>180</v>
      </c>
      <c r="B664" s="369">
        <v>6800</v>
      </c>
      <c r="C664" s="370" t="s">
        <v>306</v>
      </c>
      <c r="D664" s="371">
        <v>9600000</v>
      </c>
    </row>
    <row r="665" spans="1:4" s="5" customFormat="1">
      <c r="A665" s="362" t="s">
        <v>33</v>
      </c>
      <c r="B665" s="380" t="s">
        <v>180</v>
      </c>
      <c r="C665" s="264" t="s">
        <v>34</v>
      </c>
      <c r="D665" s="363">
        <f>D666+D688+D690+D721+D723+D725+D748+D766+D807+D842+D867+D889+D905</f>
        <v>92500862</v>
      </c>
    </row>
    <row r="666" spans="1:4" s="5" customFormat="1">
      <c r="A666" s="364">
        <v>80102</v>
      </c>
      <c r="B666" s="365" t="s">
        <v>180</v>
      </c>
      <c r="C666" s="366" t="s">
        <v>102</v>
      </c>
      <c r="D666" s="367">
        <f>SUM(D667:D687)</f>
        <v>21993761</v>
      </c>
    </row>
    <row r="667" spans="1:4" s="6" customFormat="1">
      <c r="A667" s="368" t="s">
        <v>180</v>
      </c>
      <c r="B667" s="369">
        <v>3020</v>
      </c>
      <c r="C667" s="370" t="s">
        <v>286</v>
      </c>
      <c r="D667" s="371">
        <v>24693</v>
      </c>
    </row>
    <row r="668" spans="1:4" s="6" customFormat="1">
      <c r="A668" s="368" t="s">
        <v>180</v>
      </c>
      <c r="B668" s="369">
        <v>4010</v>
      </c>
      <c r="C668" s="370" t="s">
        <v>254</v>
      </c>
      <c r="D668" s="371">
        <v>1118960</v>
      </c>
    </row>
    <row r="669" spans="1:4" s="6" customFormat="1">
      <c r="A669" s="368" t="s">
        <v>180</v>
      </c>
      <c r="B669" s="369">
        <v>4040</v>
      </c>
      <c r="C669" s="370" t="s">
        <v>255</v>
      </c>
      <c r="D669" s="371">
        <v>90432</v>
      </c>
    </row>
    <row r="670" spans="1:4" s="6" customFormat="1">
      <c r="A670" s="368" t="s">
        <v>180</v>
      </c>
      <c r="B670" s="369">
        <v>4110</v>
      </c>
      <c r="C670" s="370" t="s">
        <v>256</v>
      </c>
      <c r="D670" s="371">
        <v>2871558</v>
      </c>
    </row>
    <row r="671" spans="1:4" s="6" customFormat="1">
      <c r="A671" s="368" t="s">
        <v>180</v>
      </c>
      <c r="B671" s="369">
        <v>4120</v>
      </c>
      <c r="C671" s="370" t="s">
        <v>257</v>
      </c>
      <c r="D671" s="371">
        <v>355496</v>
      </c>
    </row>
    <row r="672" spans="1:4" s="6" customFormat="1">
      <c r="A672" s="368" t="s">
        <v>180</v>
      </c>
      <c r="B672" s="369">
        <v>4170</v>
      </c>
      <c r="C672" s="370" t="s">
        <v>258</v>
      </c>
      <c r="D672" s="371">
        <v>23000</v>
      </c>
    </row>
    <row r="673" spans="1:4" s="6" customFormat="1">
      <c r="A673" s="368" t="s">
        <v>180</v>
      </c>
      <c r="B673" s="369">
        <v>4210</v>
      </c>
      <c r="C673" s="370" t="s">
        <v>260</v>
      </c>
      <c r="D673" s="371">
        <v>273590</v>
      </c>
    </row>
    <row r="674" spans="1:4" s="6" customFormat="1">
      <c r="A674" s="368" t="s">
        <v>180</v>
      </c>
      <c r="B674" s="369">
        <v>4240</v>
      </c>
      <c r="C674" s="370" t="s">
        <v>307</v>
      </c>
      <c r="D674" s="371">
        <v>51501</v>
      </c>
    </row>
    <row r="675" spans="1:4" s="6" customFormat="1">
      <c r="A675" s="368" t="s">
        <v>180</v>
      </c>
      <c r="B675" s="369">
        <v>4260</v>
      </c>
      <c r="C675" s="370" t="s">
        <v>262</v>
      </c>
      <c r="D675" s="371">
        <v>465000</v>
      </c>
    </row>
    <row r="676" spans="1:4" s="6" customFormat="1">
      <c r="A676" s="368" t="s">
        <v>180</v>
      </c>
      <c r="B676" s="369">
        <v>4270</v>
      </c>
      <c r="C676" s="370" t="s">
        <v>263</v>
      </c>
      <c r="D676" s="371">
        <v>63720</v>
      </c>
    </row>
    <row r="677" spans="1:4" s="6" customFormat="1">
      <c r="A677" s="368" t="s">
        <v>180</v>
      </c>
      <c r="B677" s="369">
        <v>4280</v>
      </c>
      <c r="C677" s="370" t="s">
        <v>288</v>
      </c>
      <c r="D677" s="371">
        <v>10680</v>
      </c>
    </row>
    <row r="678" spans="1:4" s="6" customFormat="1">
      <c r="A678" s="368" t="s">
        <v>180</v>
      </c>
      <c r="B678" s="369">
        <v>4300</v>
      </c>
      <c r="C678" s="370" t="s">
        <v>264</v>
      </c>
      <c r="D678" s="371">
        <v>181297</v>
      </c>
    </row>
    <row r="679" spans="1:4" s="6" customFormat="1">
      <c r="A679" s="368" t="s">
        <v>180</v>
      </c>
      <c r="B679" s="369">
        <v>4360</v>
      </c>
      <c r="C679" s="370" t="s">
        <v>265</v>
      </c>
      <c r="D679" s="371">
        <v>17901</v>
      </c>
    </row>
    <row r="680" spans="1:4" s="6" customFormat="1">
      <c r="A680" s="368" t="s">
        <v>180</v>
      </c>
      <c r="B680" s="369">
        <v>4410</v>
      </c>
      <c r="C680" s="370" t="s">
        <v>267</v>
      </c>
      <c r="D680" s="371">
        <v>24453</v>
      </c>
    </row>
    <row r="681" spans="1:4" s="6" customFormat="1">
      <c r="A681" s="368" t="s">
        <v>180</v>
      </c>
      <c r="B681" s="369">
        <v>4430</v>
      </c>
      <c r="C681" s="370" t="s">
        <v>269</v>
      </c>
      <c r="D681" s="371">
        <v>10350</v>
      </c>
    </row>
    <row r="682" spans="1:4" s="6" customFormat="1">
      <c r="A682" s="368" t="s">
        <v>180</v>
      </c>
      <c r="B682" s="369">
        <v>4440</v>
      </c>
      <c r="C682" s="370" t="s">
        <v>289</v>
      </c>
      <c r="D682" s="371">
        <v>617652</v>
      </c>
    </row>
    <row r="683" spans="1:4" s="6" customFormat="1">
      <c r="A683" s="368" t="s">
        <v>180</v>
      </c>
      <c r="B683" s="369">
        <v>4520</v>
      </c>
      <c r="C683" s="370" t="s">
        <v>293</v>
      </c>
      <c r="D683" s="371">
        <v>720</v>
      </c>
    </row>
    <row r="684" spans="1:4" s="6" customFormat="1">
      <c r="A684" s="368" t="s">
        <v>180</v>
      </c>
      <c r="B684" s="369">
        <v>4700</v>
      </c>
      <c r="C684" s="370" t="s">
        <v>270</v>
      </c>
      <c r="D684" s="371">
        <v>9000</v>
      </c>
    </row>
    <row r="685" spans="1:4" s="6" customFormat="1">
      <c r="A685" s="368" t="s">
        <v>180</v>
      </c>
      <c r="B685" s="369">
        <v>4710</v>
      </c>
      <c r="C685" s="370" t="s">
        <v>294</v>
      </c>
      <c r="D685" s="371">
        <v>61816</v>
      </c>
    </row>
    <row r="686" spans="1:4" s="6" customFormat="1">
      <c r="A686" s="368" t="s">
        <v>180</v>
      </c>
      <c r="B686" s="369">
        <v>4790</v>
      </c>
      <c r="C686" s="370" t="s">
        <v>391</v>
      </c>
      <c r="D686" s="371">
        <v>14548408</v>
      </c>
    </row>
    <row r="687" spans="1:4" s="6" customFormat="1">
      <c r="A687" s="368" t="s">
        <v>180</v>
      </c>
      <c r="B687" s="369">
        <v>4800</v>
      </c>
      <c r="C687" s="370" t="s">
        <v>392</v>
      </c>
      <c r="D687" s="371">
        <v>1173534</v>
      </c>
    </row>
    <row r="688" spans="1:4" s="5" customFormat="1">
      <c r="A688" s="364">
        <v>80104</v>
      </c>
      <c r="B688" s="365" t="s">
        <v>180</v>
      </c>
      <c r="C688" s="366" t="s">
        <v>308</v>
      </c>
      <c r="D688" s="367">
        <f>D689</f>
        <v>293268</v>
      </c>
    </row>
    <row r="689" spans="1:4" s="6" customFormat="1" ht="60">
      <c r="A689" s="368" t="s">
        <v>180</v>
      </c>
      <c r="B689" s="369">
        <v>6259</v>
      </c>
      <c r="C689" s="370" t="s">
        <v>183</v>
      </c>
      <c r="D689" s="371">
        <v>293268</v>
      </c>
    </row>
    <row r="690" spans="1:4" s="5" customFormat="1">
      <c r="A690" s="364">
        <v>80105</v>
      </c>
      <c r="B690" s="365" t="s">
        <v>180</v>
      </c>
      <c r="C690" s="366" t="s">
        <v>103</v>
      </c>
      <c r="D690" s="367">
        <f>SUM(D691:D720)</f>
        <v>1327580</v>
      </c>
    </row>
    <row r="691" spans="1:4" s="6" customFormat="1">
      <c r="A691" s="368" t="s">
        <v>180</v>
      </c>
      <c r="B691" s="369">
        <v>3020</v>
      </c>
      <c r="C691" s="370" t="s">
        <v>286</v>
      </c>
      <c r="D691" s="371">
        <v>1600</v>
      </c>
    </row>
    <row r="692" spans="1:4" s="6" customFormat="1">
      <c r="A692" s="368" t="s">
        <v>180</v>
      </c>
      <c r="B692" s="369">
        <v>4017</v>
      </c>
      <c r="C692" s="370" t="s">
        <v>254</v>
      </c>
      <c r="D692" s="371">
        <v>623757</v>
      </c>
    </row>
    <row r="693" spans="1:4" s="6" customFormat="1">
      <c r="A693" s="368" t="s">
        <v>180</v>
      </c>
      <c r="B693" s="369">
        <v>4019</v>
      </c>
      <c r="C693" s="370" t="s">
        <v>254</v>
      </c>
      <c r="D693" s="371">
        <v>110075</v>
      </c>
    </row>
    <row r="694" spans="1:4" s="6" customFormat="1">
      <c r="A694" s="368" t="s">
        <v>180</v>
      </c>
      <c r="B694" s="369">
        <v>4110</v>
      </c>
      <c r="C694" s="370" t="s">
        <v>256</v>
      </c>
      <c r="D694" s="371">
        <v>45721</v>
      </c>
    </row>
    <row r="695" spans="1:4" s="6" customFormat="1">
      <c r="A695" s="368" t="s">
        <v>180</v>
      </c>
      <c r="B695" s="369">
        <v>4117</v>
      </c>
      <c r="C695" s="370" t="s">
        <v>256</v>
      </c>
      <c r="D695" s="371">
        <v>103761</v>
      </c>
    </row>
    <row r="696" spans="1:4" s="6" customFormat="1">
      <c r="A696" s="368" t="s">
        <v>180</v>
      </c>
      <c r="B696" s="369">
        <v>4119</v>
      </c>
      <c r="C696" s="370" t="s">
        <v>256</v>
      </c>
      <c r="D696" s="371">
        <v>18311</v>
      </c>
    </row>
    <row r="697" spans="1:4" s="6" customFormat="1">
      <c r="A697" s="368" t="s">
        <v>180</v>
      </c>
      <c r="B697" s="369">
        <v>4120</v>
      </c>
      <c r="C697" s="370" t="s">
        <v>257</v>
      </c>
      <c r="D697" s="371">
        <v>2561</v>
      </c>
    </row>
    <row r="698" spans="1:4" s="6" customFormat="1">
      <c r="A698" s="368" t="s">
        <v>180</v>
      </c>
      <c r="B698" s="369">
        <v>4127</v>
      </c>
      <c r="C698" s="370" t="s">
        <v>257</v>
      </c>
      <c r="D698" s="371">
        <v>14776</v>
      </c>
    </row>
    <row r="699" spans="1:4" s="6" customFormat="1">
      <c r="A699" s="368" t="s">
        <v>180</v>
      </c>
      <c r="B699" s="369">
        <v>4129</v>
      </c>
      <c r="C699" s="370" t="s">
        <v>257</v>
      </c>
      <c r="D699" s="371">
        <v>2607</v>
      </c>
    </row>
    <row r="700" spans="1:4" s="6" customFormat="1">
      <c r="A700" s="368" t="s">
        <v>180</v>
      </c>
      <c r="B700" s="369">
        <v>4210</v>
      </c>
      <c r="C700" s="370" t="s">
        <v>260</v>
      </c>
      <c r="D700" s="371">
        <v>1506</v>
      </c>
    </row>
    <row r="701" spans="1:4" s="6" customFormat="1">
      <c r="A701" s="368" t="s">
        <v>180</v>
      </c>
      <c r="B701" s="369">
        <v>4217</v>
      </c>
      <c r="C701" s="370" t="s">
        <v>260</v>
      </c>
      <c r="D701" s="371">
        <v>31372</v>
      </c>
    </row>
    <row r="702" spans="1:4" s="6" customFormat="1">
      <c r="A702" s="368" t="s">
        <v>180</v>
      </c>
      <c r="B702" s="369">
        <v>4219</v>
      </c>
      <c r="C702" s="370" t="s">
        <v>260</v>
      </c>
      <c r="D702" s="371">
        <v>5536</v>
      </c>
    </row>
    <row r="703" spans="1:4" s="6" customFormat="1">
      <c r="A703" s="368" t="s">
        <v>180</v>
      </c>
      <c r="B703" s="369">
        <v>4240</v>
      </c>
      <c r="C703" s="370" t="s">
        <v>307</v>
      </c>
      <c r="D703" s="371">
        <v>1240</v>
      </c>
    </row>
    <row r="704" spans="1:4" s="6" customFormat="1">
      <c r="A704" s="368" t="s">
        <v>180</v>
      </c>
      <c r="B704" s="369">
        <v>4247</v>
      </c>
      <c r="C704" s="370" t="s">
        <v>307</v>
      </c>
      <c r="D704" s="371">
        <v>4080</v>
      </c>
    </row>
    <row r="705" spans="1:4" s="6" customFormat="1">
      <c r="A705" s="368" t="s">
        <v>180</v>
      </c>
      <c r="B705" s="369">
        <v>4249</v>
      </c>
      <c r="C705" s="370" t="s">
        <v>307</v>
      </c>
      <c r="D705" s="371">
        <v>720</v>
      </c>
    </row>
    <row r="706" spans="1:4" s="6" customFormat="1">
      <c r="A706" s="368" t="s">
        <v>180</v>
      </c>
      <c r="B706" s="369">
        <v>4267</v>
      </c>
      <c r="C706" s="370" t="s">
        <v>262</v>
      </c>
      <c r="D706" s="371">
        <v>3400</v>
      </c>
    </row>
    <row r="707" spans="1:4" s="6" customFormat="1">
      <c r="A707" s="368" t="s">
        <v>180</v>
      </c>
      <c r="B707" s="369">
        <v>4269</v>
      </c>
      <c r="C707" s="370" t="s">
        <v>262</v>
      </c>
      <c r="D707" s="371">
        <v>600</v>
      </c>
    </row>
    <row r="708" spans="1:4" s="6" customFormat="1">
      <c r="A708" s="368" t="s">
        <v>180</v>
      </c>
      <c r="B708" s="369">
        <v>4270</v>
      </c>
      <c r="C708" s="370" t="s">
        <v>263</v>
      </c>
      <c r="D708" s="371">
        <v>858</v>
      </c>
    </row>
    <row r="709" spans="1:4" s="6" customFormat="1">
      <c r="A709" s="368" t="s">
        <v>180</v>
      </c>
      <c r="B709" s="369">
        <v>4280</v>
      </c>
      <c r="C709" s="370" t="s">
        <v>288</v>
      </c>
      <c r="D709" s="371">
        <v>440</v>
      </c>
    </row>
    <row r="710" spans="1:4" s="6" customFormat="1">
      <c r="A710" s="368" t="s">
        <v>180</v>
      </c>
      <c r="B710" s="369">
        <v>4300</v>
      </c>
      <c r="C710" s="370" t="s">
        <v>264</v>
      </c>
      <c r="D710" s="371">
        <v>449</v>
      </c>
    </row>
    <row r="711" spans="1:4" s="6" customFormat="1">
      <c r="A711" s="372" t="s">
        <v>180</v>
      </c>
      <c r="B711" s="373">
        <v>4307</v>
      </c>
      <c r="C711" s="374" t="s">
        <v>264</v>
      </c>
      <c r="D711" s="375">
        <v>56241</v>
      </c>
    </row>
    <row r="712" spans="1:4" s="6" customFormat="1">
      <c r="A712" s="376" t="s">
        <v>180</v>
      </c>
      <c r="B712" s="377">
        <v>4309</v>
      </c>
      <c r="C712" s="378" t="s">
        <v>264</v>
      </c>
      <c r="D712" s="379">
        <v>9925</v>
      </c>
    </row>
    <row r="713" spans="1:4" s="6" customFormat="1">
      <c r="A713" s="368" t="s">
        <v>180</v>
      </c>
      <c r="B713" s="369">
        <v>4360</v>
      </c>
      <c r="C713" s="370" t="s">
        <v>265</v>
      </c>
      <c r="D713" s="371">
        <v>352</v>
      </c>
    </row>
    <row r="714" spans="1:4" s="6" customFormat="1" ht="15" customHeight="1">
      <c r="A714" s="368" t="s">
        <v>180</v>
      </c>
      <c r="B714" s="369">
        <v>4407</v>
      </c>
      <c r="C714" s="370" t="s">
        <v>266</v>
      </c>
      <c r="D714" s="371">
        <v>8500</v>
      </c>
    </row>
    <row r="715" spans="1:4" s="6" customFormat="1" ht="15" customHeight="1">
      <c r="A715" s="368" t="s">
        <v>180</v>
      </c>
      <c r="B715" s="369">
        <v>4409</v>
      </c>
      <c r="C715" s="370" t="s">
        <v>266</v>
      </c>
      <c r="D715" s="371">
        <v>1500</v>
      </c>
    </row>
    <row r="716" spans="1:4" s="6" customFormat="1">
      <c r="A716" s="368" t="s">
        <v>180</v>
      </c>
      <c r="B716" s="369">
        <v>4410</v>
      </c>
      <c r="C716" s="370" t="s">
        <v>267</v>
      </c>
      <c r="D716" s="371">
        <v>100</v>
      </c>
    </row>
    <row r="717" spans="1:4" s="6" customFormat="1">
      <c r="A717" s="368" t="s">
        <v>180</v>
      </c>
      <c r="B717" s="369">
        <v>4440</v>
      </c>
      <c r="C717" s="370" t="s">
        <v>289</v>
      </c>
      <c r="D717" s="371">
        <v>10619</v>
      </c>
    </row>
    <row r="718" spans="1:4" s="6" customFormat="1">
      <c r="A718" s="368" t="s">
        <v>180</v>
      </c>
      <c r="B718" s="369">
        <v>4710</v>
      </c>
      <c r="C718" s="370" t="s">
        <v>294</v>
      </c>
      <c r="D718" s="371">
        <v>1000</v>
      </c>
    </row>
    <row r="719" spans="1:4" s="6" customFormat="1">
      <c r="A719" s="368" t="s">
        <v>180</v>
      </c>
      <c r="B719" s="369">
        <v>4790</v>
      </c>
      <c r="C719" s="370" t="s">
        <v>391</v>
      </c>
      <c r="D719" s="371">
        <v>245644</v>
      </c>
    </row>
    <row r="720" spans="1:4" s="6" customFormat="1">
      <c r="A720" s="368" t="s">
        <v>180</v>
      </c>
      <c r="B720" s="369">
        <v>4800</v>
      </c>
      <c r="C720" s="370" t="s">
        <v>392</v>
      </c>
      <c r="D720" s="371">
        <v>20329</v>
      </c>
    </row>
    <row r="721" spans="1:4" s="5" customFormat="1">
      <c r="A721" s="364">
        <v>80113</v>
      </c>
      <c r="B721" s="365" t="s">
        <v>180</v>
      </c>
      <c r="C721" s="366" t="s">
        <v>104</v>
      </c>
      <c r="D721" s="367">
        <f>D722</f>
        <v>16500</v>
      </c>
    </row>
    <row r="722" spans="1:4" s="6" customFormat="1">
      <c r="A722" s="368" t="s">
        <v>180</v>
      </c>
      <c r="B722" s="369">
        <v>4210</v>
      </c>
      <c r="C722" s="370" t="s">
        <v>260</v>
      </c>
      <c r="D722" s="371">
        <v>16500</v>
      </c>
    </row>
    <row r="723" spans="1:4" s="5" customFormat="1">
      <c r="A723" s="364">
        <v>80115</v>
      </c>
      <c r="B723" s="365" t="s">
        <v>180</v>
      </c>
      <c r="C723" s="366" t="s">
        <v>149</v>
      </c>
      <c r="D723" s="367">
        <f>D724</f>
        <v>19129</v>
      </c>
    </row>
    <row r="724" spans="1:4" s="6" customFormat="1" ht="60">
      <c r="A724" s="368" t="s">
        <v>180</v>
      </c>
      <c r="B724" s="369">
        <v>6209</v>
      </c>
      <c r="C724" s="370" t="s">
        <v>279</v>
      </c>
      <c r="D724" s="371">
        <v>19129</v>
      </c>
    </row>
    <row r="725" spans="1:4" s="5" customFormat="1">
      <c r="A725" s="364">
        <v>80116</v>
      </c>
      <c r="B725" s="365" t="s">
        <v>180</v>
      </c>
      <c r="C725" s="366" t="s">
        <v>105</v>
      </c>
      <c r="D725" s="367">
        <f>SUM(D726:D747)</f>
        <v>8348454</v>
      </c>
    </row>
    <row r="726" spans="1:4" s="6" customFormat="1">
      <c r="A726" s="368" t="s">
        <v>180</v>
      </c>
      <c r="B726" s="369">
        <v>3020</v>
      </c>
      <c r="C726" s="370" t="s">
        <v>286</v>
      </c>
      <c r="D726" s="371">
        <v>15000</v>
      </c>
    </row>
    <row r="727" spans="1:4" s="6" customFormat="1">
      <c r="A727" s="368" t="s">
        <v>180</v>
      </c>
      <c r="B727" s="369">
        <v>4010</v>
      </c>
      <c r="C727" s="370" t="s">
        <v>254</v>
      </c>
      <c r="D727" s="371">
        <v>1294571</v>
      </c>
    </row>
    <row r="728" spans="1:4" s="6" customFormat="1">
      <c r="A728" s="368" t="s">
        <v>180</v>
      </c>
      <c r="B728" s="369">
        <v>4040</v>
      </c>
      <c r="C728" s="370" t="s">
        <v>255</v>
      </c>
      <c r="D728" s="371">
        <v>99196</v>
      </c>
    </row>
    <row r="729" spans="1:4" s="6" customFormat="1">
      <c r="A729" s="368" t="s">
        <v>180</v>
      </c>
      <c r="B729" s="369">
        <v>4110</v>
      </c>
      <c r="C729" s="370" t="s">
        <v>256</v>
      </c>
      <c r="D729" s="371">
        <v>781503</v>
      </c>
    </row>
    <row r="730" spans="1:4" s="6" customFormat="1">
      <c r="A730" s="368" t="s">
        <v>180</v>
      </c>
      <c r="B730" s="369">
        <v>4120</v>
      </c>
      <c r="C730" s="370" t="s">
        <v>257</v>
      </c>
      <c r="D730" s="371">
        <v>86813</v>
      </c>
    </row>
    <row r="731" spans="1:4" s="6" customFormat="1">
      <c r="A731" s="368" t="s">
        <v>180</v>
      </c>
      <c r="B731" s="369">
        <v>4140</v>
      </c>
      <c r="C731" s="370" t="s">
        <v>287</v>
      </c>
      <c r="D731" s="371">
        <v>8000</v>
      </c>
    </row>
    <row r="732" spans="1:4" s="6" customFormat="1">
      <c r="A732" s="368" t="s">
        <v>180</v>
      </c>
      <c r="B732" s="369">
        <v>4170</v>
      </c>
      <c r="C732" s="370" t="s">
        <v>258</v>
      </c>
      <c r="D732" s="371">
        <v>6000</v>
      </c>
    </row>
    <row r="733" spans="1:4" s="6" customFormat="1">
      <c r="A733" s="368" t="s">
        <v>180</v>
      </c>
      <c r="B733" s="369">
        <v>4210</v>
      </c>
      <c r="C733" s="370" t="s">
        <v>260</v>
      </c>
      <c r="D733" s="371">
        <v>164650</v>
      </c>
    </row>
    <row r="734" spans="1:4" s="6" customFormat="1">
      <c r="A734" s="368" t="s">
        <v>180</v>
      </c>
      <c r="B734" s="369">
        <v>4240</v>
      </c>
      <c r="C734" s="370" t="s">
        <v>307</v>
      </c>
      <c r="D734" s="371">
        <v>176450</v>
      </c>
    </row>
    <row r="735" spans="1:4" s="6" customFormat="1">
      <c r="A735" s="368" t="s">
        <v>180</v>
      </c>
      <c r="B735" s="369">
        <v>4260</v>
      </c>
      <c r="C735" s="370" t="s">
        <v>262</v>
      </c>
      <c r="D735" s="371">
        <v>227160</v>
      </c>
    </row>
    <row r="736" spans="1:4" s="6" customFormat="1">
      <c r="A736" s="368" t="s">
        <v>180</v>
      </c>
      <c r="B736" s="369">
        <v>4270</v>
      </c>
      <c r="C736" s="370" t="s">
        <v>263</v>
      </c>
      <c r="D736" s="371">
        <v>1733308</v>
      </c>
    </row>
    <row r="737" spans="1:4" s="6" customFormat="1">
      <c r="A737" s="368" t="s">
        <v>180</v>
      </c>
      <c r="B737" s="369">
        <v>4280</v>
      </c>
      <c r="C737" s="370" t="s">
        <v>288</v>
      </c>
      <c r="D737" s="371">
        <v>3200</v>
      </c>
    </row>
    <row r="738" spans="1:4" s="6" customFormat="1">
      <c r="A738" s="368" t="s">
        <v>180</v>
      </c>
      <c r="B738" s="369">
        <v>4300</v>
      </c>
      <c r="C738" s="370" t="s">
        <v>264</v>
      </c>
      <c r="D738" s="371">
        <v>153484</v>
      </c>
    </row>
    <row r="739" spans="1:4" s="6" customFormat="1">
      <c r="A739" s="368" t="s">
        <v>180</v>
      </c>
      <c r="B739" s="369">
        <v>4360</v>
      </c>
      <c r="C739" s="370" t="s">
        <v>265</v>
      </c>
      <c r="D739" s="371">
        <v>12250</v>
      </c>
    </row>
    <row r="740" spans="1:4" s="6" customFormat="1">
      <c r="A740" s="368" t="s">
        <v>180</v>
      </c>
      <c r="B740" s="369">
        <v>4390</v>
      </c>
      <c r="C740" s="370" t="s">
        <v>281</v>
      </c>
      <c r="D740" s="371">
        <v>550</v>
      </c>
    </row>
    <row r="741" spans="1:4" s="6" customFormat="1">
      <c r="A741" s="368" t="s">
        <v>180</v>
      </c>
      <c r="B741" s="369">
        <v>4410</v>
      </c>
      <c r="C741" s="370" t="s">
        <v>267</v>
      </c>
      <c r="D741" s="371">
        <v>5500</v>
      </c>
    </row>
    <row r="742" spans="1:4" s="6" customFormat="1">
      <c r="A742" s="368" t="s">
        <v>180</v>
      </c>
      <c r="B742" s="369">
        <v>4430</v>
      </c>
      <c r="C742" s="370" t="s">
        <v>269</v>
      </c>
      <c r="D742" s="371">
        <v>13700</v>
      </c>
    </row>
    <row r="743" spans="1:4" s="6" customFormat="1">
      <c r="A743" s="368" t="s">
        <v>180</v>
      </c>
      <c r="B743" s="369">
        <v>4440</v>
      </c>
      <c r="C743" s="370" t="s">
        <v>289</v>
      </c>
      <c r="D743" s="371">
        <v>240022</v>
      </c>
    </row>
    <row r="744" spans="1:4" s="6" customFormat="1">
      <c r="A744" s="368" t="s">
        <v>180</v>
      </c>
      <c r="B744" s="369">
        <v>4700</v>
      </c>
      <c r="C744" s="370" t="s">
        <v>270</v>
      </c>
      <c r="D744" s="371">
        <v>11000</v>
      </c>
    </row>
    <row r="745" spans="1:4" s="6" customFormat="1">
      <c r="A745" s="368" t="s">
        <v>180</v>
      </c>
      <c r="B745" s="369">
        <v>4710</v>
      </c>
      <c r="C745" s="370" t="s">
        <v>294</v>
      </c>
      <c r="D745" s="371">
        <v>11141</v>
      </c>
    </row>
    <row r="746" spans="1:4" s="6" customFormat="1">
      <c r="A746" s="368" t="s">
        <v>180</v>
      </c>
      <c r="B746" s="369">
        <v>4790</v>
      </c>
      <c r="C746" s="370" t="s">
        <v>391</v>
      </c>
      <c r="D746" s="371">
        <v>3072915</v>
      </c>
    </row>
    <row r="747" spans="1:4" s="6" customFormat="1">
      <c r="A747" s="368" t="s">
        <v>180</v>
      </c>
      <c r="B747" s="369">
        <v>4800</v>
      </c>
      <c r="C747" s="370" t="s">
        <v>392</v>
      </c>
      <c r="D747" s="371">
        <v>232041</v>
      </c>
    </row>
    <row r="748" spans="1:4" s="5" customFormat="1">
      <c r="A748" s="364">
        <v>80121</v>
      </c>
      <c r="B748" s="365" t="s">
        <v>180</v>
      </c>
      <c r="C748" s="366" t="s">
        <v>106</v>
      </c>
      <c r="D748" s="367">
        <f>SUM(D749:D765)</f>
        <v>4217770</v>
      </c>
    </row>
    <row r="749" spans="1:4" s="6" customFormat="1">
      <c r="A749" s="368" t="s">
        <v>180</v>
      </c>
      <c r="B749" s="369">
        <v>3020</v>
      </c>
      <c r="C749" s="370" t="s">
        <v>286</v>
      </c>
      <c r="D749" s="371">
        <v>6859</v>
      </c>
    </row>
    <row r="750" spans="1:4" s="6" customFormat="1">
      <c r="A750" s="368" t="s">
        <v>180</v>
      </c>
      <c r="B750" s="369">
        <v>4110</v>
      </c>
      <c r="C750" s="370" t="s">
        <v>256</v>
      </c>
      <c r="D750" s="371">
        <v>557774</v>
      </c>
    </row>
    <row r="751" spans="1:4" s="6" customFormat="1">
      <c r="A751" s="368" t="s">
        <v>180</v>
      </c>
      <c r="B751" s="369">
        <v>4120</v>
      </c>
      <c r="C751" s="370" t="s">
        <v>257</v>
      </c>
      <c r="D751" s="371">
        <v>73683</v>
      </c>
    </row>
    <row r="752" spans="1:4" s="6" customFormat="1">
      <c r="A752" s="368" t="s">
        <v>180</v>
      </c>
      <c r="B752" s="369">
        <v>4210</v>
      </c>
      <c r="C752" s="370" t="s">
        <v>260</v>
      </c>
      <c r="D752" s="371">
        <v>16672</v>
      </c>
    </row>
    <row r="753" spans="1:4" s="6" customFormat="1">
      <c r="A753" s="368" t="s">
        <v>180</v>
      </c>
      <c r="B753" s="369">
        <v>4240</v>
      </c>
      <c r="C753" s="370" t="s">
        <v>307</v>
      </c>
      <c r="D753" s="371">
        <v>23560</v>
      </c>
    </row>
    <row r="754" spans="1:4" s="6" customFormat="1">
      <c r="A754" s="368" t="s">
        <v>180</v>
      </c>
      <c r="B754" s="369">
        <v>4260</v>
      </c>
      <c r="C754" s="370" t="s">
        <v>262</v>
      </c>
      <c r="D754" s="371">
        <v>58000</v>
      </c>
    </row>
    <row r="755" spans="1:4" s="6" customFormat="1">
      <c r="A755" s="368" t="s">
        <v>180</v>
      </c>
      <c r="B755" s="369">
        <v>4270</v>
      </c>
      <c r="C755" s="370" t="s">
        <v>263</v>
      </c>
      <c r="D755" s="371">
        <v>4893</v>
      </c>
    </row>
    <row r="756" spans="1:4" s="6" customFormat="1">
      <c r="A756" s="368" t="s">
        <v>180</v>
      </c>
      <c r="B756" s="369">
        <v>4280</v>
      </c>
      <c r="C756" s="370" t="s">
        <v>288</v>
      </c>
      <c r="D756" s="371">
        <v>2720</v>
      </c>
    </row>
    <row r="757" spans="1:4" s="6" customFormat="1">
      <c r="A757" s="368" t="s">
        <v>180</v>
      </c>
      <c r="B757" s="369">
        <v>4300</v>
      </c>
      <c r="C757" s="370" t="s">
        <v>264</v>
      </c>
      <c r="D757" s="371">
        <v>31910</v>
      </c>
    </row>
    <row r="758" spans="1:4" s="6" customFormat="1">
      <c r="A758" s="368" t="s">
        <v>180</v>
      </c>
      <c r="B758" s="369">
        <v>4360</v>
      </c>
      <c r="C758" s="370" t="s">
        <v>265</v>
      </c>
      <c r="D758" s="371">
        <v>8328</v>
      </c>
    </row>
    <row r="759" spans="1:4" s="6" customFormat="1">
      <c r="A759" s="368" t="s">
        <v>180</v>
      </c>
      <c r="B759" s="369">
        <v>4410</v>
      </c>
      <c r="C759" s="370" t="s">
        <v>267</v>
      </c>
      <c r="D759" s="371">
        <v>1303</v>
      </c>
    </row>
    <row r="760" spans="1:4" s="6" customFormat="1">
      <c r="A760" s="368" t="s">
        <v>180</v>
      </c>
      <c r="B760" s="369">
        <v>4430</v>
      </c>
      <c r="C760" s="370" t="s">
        <v>269</v>
      </c>
      <c r="D760" s="371">
        <v>1800</v>
      </c>
    </row>
    <row r="761" spans="1:4" s="6" customFormat="1">
      <c r="A761" s="368" t="s">
        <v>180</v>
      </c>
      <c r="B761" s="369">
        <v>4440</v>
      </c>
      <c r="C761" s="370" t="s">
        <v>289</v>
      </c>
      <c r="D761" s="371">
        <v>113961</v>
      </c>
    </row>
    <row r="762" spans="1:4" s="6" customFormat="1">
      <c r="A762" s="368" t="s">
        <v>180</v>
      </c>
      <c r="B762" s="369">
        <v>4700</v>
      </c>
      <c r="C762" s="370" t="s">
        <v>270</v>
      </c>
      <c r="D762" s="371">
        <v>1200</v>
      </c>
    </row>
    <row r="763" spans="1:4" s="6" customFormat="1">
      <c r="A763" s="368" t="s">
        <v>180</v>
      </c>
      <c r="B763" s="369">
        <v>4710</v>
      </c>
      <c r="C763" s="370" t="s">
        <v>294</v>
      </c>
      <c r="D763" s="371">
        <v>13727</v>
      </c>
    </row>
    <row r="764" spans="1:4" s="6" customFormat="1">
      <c r="A764" s="368" t="s">
        <v>180</v>
      </c>
      <c r="B764" s="369">
        <v>4790</v>
      </c>
      <c r="C764" s="370" t="s">
        <v>391</v>
      </c>
      <c r="D764" s="371">
        <v>3091738</v>
      </c>
    </row>
    <row r="765" spans="1:4" s="6" customFormat="1">
      <c r="A765" s="368" t="s">
        <v>180</v>
      </c>
      <c r="B765" s="369">
        <v>4800</v>
      </c>
      <c r="C765" s="370" t="s">
        <v>392</v>
      </c>
      <c r="D765" s="371">
        <v>209642</v>
      </c>
    </row>
    <row r="766" spans="1:4" s="5" customFormat="1">
      <c r="A766" s="364">
        <v>80134</v>
      </c>
      <c r="B766" s="365" t="s">
        <v>180</v>
      </c>
      <c r="C766" s="366" t="s">
        <v>107</v>
      </c>
      <c r="D766" s="367">
        <f>SUM(D767:D806)</f>
        <v>18295926</v>
      </c>
    </row>
    <row r="767" spans="1:4" s="6" customFormat="1">
      <c r="A767" s="368" t="s">
        <v>180</v>
      </c>
      <c r="B767" s="369">
        <v>3020</v>
      </c>
      <c r="C767" s="370" t="s">
        <v>286</v>
      </c>
      <c r="D767" s="371">
        <v>12400</v>
      </c>
    </row>
    <row r="768" spans="1:4" s="6" customFormat="1">
      <c r="A768" s="368" t="s">
        <v>180</v>
      </c>
      <c r="B768" s="369">
        <v>3247</v>
      </c>
      <c r="C768" s="370" t="s">
        <v>312</v>
      </c>
      <c r="D768" s="371">
        <v>122267</v>
      </c>
    </row>
    <row r="769" spans="1:4" s="6" customFormat="1">
      <c r="A769" s="368" t="s">
        <v>180</v>
      </c>
      <c r="B769" s="369">
        <v>3249</v>
      </c>
      <c r="C769" s="370" t="s">
        <v>312</v>
      </c>
      <c r="D769" s="371">
        <v>18673</v>
      </c>
    </row>
    <row r="770" spans="1:4" s="6" customFormat="1">
      <c r="A770" s="368" t="s">
        <v>180</v>
      </c>
      <c r="B770" s="369">
        <v>4010</v>
      </c>
      <c r="C770" s="370" t="s">
        <v>254</v>
      </c>
      <c r="D770" s="371">
        <v>287377</v>
      </c>
    </row>
    <row r="771" spans="1:4" s="6" customFormat="1">
      <c r="A771" s="372" t="s">
        <v>180</v>
      </c>
      <c r="B771" s="373">
        <v>4017</v>
      </c>
      <c r="C771" s="374" t="s">
        <v>254</v>
      </c>
      <c r="D771" s="375">
        <v>342792</v>
      </c>
    </row>
    <row r="772" spans="1:4" s="6" customFormat="1">
      <c r="A772" s="376" t="s">
        <v>180</v>
      </c>
      <c r="B772" s="377">
        <v>4019</v>
      </c>
      <c r="C772" s="378" t="s">
        <v>254</v>
      </c>
      <c r="D772" s="379">
        <v>45163</v>
      </c>
    </row>
    <row r="773" spans="1:4" s="6" customFormat="1">
      <c r="A773" s="368" t="s">
        <v>180</v>
      </c>
      <c r="B773" s="369">
        <v>4040</v>
      </c>
      <c r="C773" s="370" t="s">
        <v>255</v>
      </c>
      <c r="D773" s="371">
        <v>23255</v>
      </c>
    </row>
    <row r="774" spans="1:4" s="6" customFormat="1">
      <c r="A774" s="368" t="s">
        <v>180</v>
      </c>
      <c r="B774" s="369">
        <v>4110</v>
      </c>
      <c r="C774" s="370" t="s">
        <v>256</v>
      </c>
      <c r="D774" s="371">
        <v>2178438</v>
      </c>
    </row>
    <row r="775" spans="1:4" s="6" customFormat="1">
      <c r="A775" s="368" t="s">
        <v>180</v>
      </c>
      <c r="B775" s="369">
        <v>4117</v>
      </c>
      <c r="C775" s="370" t="s">
        <v>256</v>
      </c>
      <c r="D775" s="371">
        <v>79427</v>
      </c>
    </row>
    <row r="776" spans="1:4" s="6" customFormat="1">
      <c r="A776" s="368" t="s">
        <v>180</v>
      </c>
      <c r="B776" s="369">
        <v>4119</v>
      </c>
      <c r="C776" s="370" t="s">
        <v>256</v>
      </c>
      <c r="D776" s="371">
        <v>11382</v>
      </c>
    </row>
    <row r="777" spans="1:4" s="6" customFormat="1">
      <c r="A777" s="368" t="s">
        <v>180</v>
      </c>
      <c r="B777" s="369">
        <v>4120</v>
      </c>
      <c r="C777" s="370" t="s">
        <v>257</v>
      </c>
      <c r="D777" s="371">
        <v>290733</v>
      </c>
    </row>
    <row r="778" spans="1:4" s="6" customFormat="1">
      <c r="A778" s="368" t="s">
        <v>180</v>
      </c>
      <c r="B778" s="369">
        <v>4127</v>
      </c>
      <c r="C778" s="370" t="s">
        <v>257</v>
      </c>
      <c r="D778" s="371">
        <v>10501</v>
      </c>
    </row>
    <row r="779" spans="1:4" s="6" customFormat="1">
      <c r="A779" s="368" t="s">
        <v>180</v>
      </c>
      <c r="B779" s="369">
        <v>4129</v>
      </c>
      <c r="C779" s="370" t="s">
        <v>257</v>
      </c>
      <c r="D779" s="371">
        <v>1478</v>
      </c>
    </row>
    <row r="780" spans="1:4" s="6" customFormat="1">
      <c r="A780" s="368" t="s">
        <v>180</v>
      </c>
      <c r="B780" s="369">
        <v>4177</v>
      </c>
      <c r="C780" s="370" t="s">
        <v>258</v>
      </c>
      <c r="D780" s="371">
        <v>183027</v>
      </c>
    </row>
    <row r="781" spans="1:4" s="6" customFormat="1">
      <c r="A781" s="368" t="s">
        <v>180</v>
      </c>
      <c r="B781" s="369">
        <v>4179</v>
      </c>
      <c r="C781" s="370" t="s">
        <v>258</v>
      </c>
      <c r="D781" s="371">
        <v>32300</v>
      </c>
    </row>
    <row r="782" spans="1:4" s="6" customFormat="1">
      <c r="A782" s="368" t="s">
        <v>180</v>
      </c>
      <c r="B782" s="369">
        <v>4210</v>
      </c>
      <c r="C782" s="370" t="s">
        <v>260</v>
      </c>
      <c r="D782" s="371">
        <v>54000</v>
      </c>
    </row>
    <row r="783" spans="1:4" s="6" customFormat="1">
      <c r="A783" s="368" t="s">
        <v>180</v>
      </c>
      <c r="B783" s="369">
        <v>4217</v>
      </c>
      <c r="C783" s="370" t="s">
        <v>260</v>
      </c>
      <c r="D783" s="371">
        <v>31187</v>
      </c>
    </row>
    <row r="784" spans="1:4" s="6" customFormat="1">
      <c r="A784" s="368" t="s">
        <v>180</v>
      </c>
      <c r="B784" s="369">
        <v>4219</v>
      </c>
      <c r="C784" s="370" t="s">
        <v>260</v>
      </c>
      <c r="D784" s="371">
        <v>5504</v>
      </c>
    </row>
    <row r="785" spans="1:4" s="6" customFormat="1">
      <c r="A785" s="368" t="s">
        <v>180</v>
      </c>
      <c r="B785" s="369">
        <v>4240</v>
      </c>
      <c r="C785" s="370" t="s">
        <v>307</v>
      </c>
      <c r="D785" s="371">
        <v>30500</v>
      </c>
    </row>
    <row r="786" spans="1:4" s="6" customFormat="1">
      <c r="A786" s="368" t="s">
        <v>180</v>
      </c>
      <c r="B786" s="369">
        <v>4247</v>
      </c>
      <c r="C786" s="370" t="s">
        <v>307</v>
      </c>
      <c r="D786" s="371">
        <v>114223</v>
      </c>
    </row>
    <row r="787" spans="1:4" s="6" customFormat="1">
      <c r="A787" s="368" t="s">
        <v>180</v>
      </c>
      <c r="B787" s="369">
        <v>4249</v>
      </c>
      <c r="C787" s="370" t="s">
        <v>307</v>
      </c>
      <c r="D787" s="371">
        <v>20157</v>
      </c>
    </row>
    <row r="788" spans="1:4" s="6" customFormat="1">
      <c r="A788" s="368" t="s">
        <v>180</v>
      </c>
      <c r="B788" s="369">
        <v>4260</v>
      </c>
      <c r="C788" s="370" t="s">
        <v>262</v>
      </c>
      <c r="D788" s="371">
        <v>385000</v>
      </c>
    </row>
    <row r="789" spans="1:4" s="6" customFormat="1">
      <c r="A789" s="368" t="s">
        <v>180</v>
      </c>
      <c r="B789" s="369">
        <v>4270</v>
      </c>
      <c r="C789" s="370" t="s">
        <v>263</v>
      </c>
      <c r="D789" s="371">
        <v>11500</v>
      </c>
    </row>
    <row r="790" spans="1:4" s="6" customFormat="1">
      <c r="A790" s="368" t="s">
        <v>180</v>
      </c>
      <c r="B790" s="369">
        <v>4280</v>
      </c>
      <c r="C790" s="370" t="s">
        <v>288</v>
      </c>
      <c r="D790" s="371">
        <v>4300</v>
      </c>
    </row>
    <row r="791" spans="1:4" s="6" customFormat="1">
      <c r="A791" s="368" t="s">
        <v>180</v>
      </c>
      <c r="B791" s="369">
        <v>4300</v>
      </c>
      <c r="C791" s="370" t="s">
        <v>264</v>
      </c>
      <c r="D791" s="371">
        <v>513575</v>
      </c>
    </row>
    <row r="792" spans="1:4" s="6" customFormat="1">
      <c r="A792" s="368" t="s">
        <v>180</v>
      </c>
      <c r="B792" s="369">
        <v>4307</v>
      </c>
      <c r="C792" s="370" t="s">
        <v>264</v>
      </c>
      <c r="D792" s="371">
        <v>326101</v>
      </c>
    </row>
    <row r="793" spans="1:4" s="6" customFormat="1">
      <c r="A793" s="368" t="s">
        <v>180</v>
      </c>
      <c r="B793" s="369">
        <v>4309</v>
      </c>
      <c r="C793" s="370" t="s">
        <v>264</v>
      </c>
      <c r="D793" s="371">
        <v>46479</v>
      </c>
    </row>
    <row r="794" spans="1:4" s="6" customFormat="1">
      <c r="A794" s="368" t="s">
        <v>180</v>
      </c>
      <c r="B794" s="369">
        <v>4360</v>
      </c>
      <c r="C794" s="370" t="s">
        <v>265</v>
      </c>
      <c r="D794" s="371">
        <v>12600</v>
      </c>
    </row>
    <row r="795" spans="1:4" s="6" customFormat="1">
      <c r="A795" s="368" t="s">
        <v>180</v>
      </c>
      <c r="B795" s="369">
        <v>4390</v>
      </c>
      <c r="C795" s="370" t="s">
        <v>281</v>
      </c>
      <c r="D795" s="371">
        <v>1500</v>
      </c>
    </row>
    <row r="796" spans="1:4" s="6" customFormat="1">
      <c r="A796" s="368" t="s">
        <v>180</v>
      </c>
      <c r="B796" s="369">
        <v>4410</v>
      </c>
      <c r="C796" s="370" t="s">
        <v>267</v>
      </c>
      <c r="D796" s="371">
        <v>3100</v>
      </c>
    </row>
    <row r="797" spans="1:4" s="6" customFormat="1">
      <c r="A797" s="368" t="s">
        <v>180</v>
      </c>
      <c r="B797" s="369">
        <v>4430</v>
      </c>
      <c r="C797" s="370" t="s">
        <v>269</v>
      </c>
      <c r="D797" s="371">
        <v>4400</v>
      </c>
    </row>
    <row r="798" spans="1:4" s="6" customFormat="1">
      <c r="A798" s="368" t="s">
        <v>180</v>
      </c>
      <c r="B798" s="369">
        <v>4440</v>
      </c>
      <c r="C798" s="370" t="s">
        <v>289</v>
      </c>
      <c r="D798" s="371">
        <v>460199</v>
      </c>
    </row>
    <row r="799" spans="1:4" s="6" customFormat="1">
      <c r="A799" s="368" t="s">
        <v>180</v>
      </c>
      <c r="B799" s="369">
        <v>4700</v>
      </c>
      <c r="C799" s="370" t="s">
        <v>270</v>
      </c>
      <c r="D799" s="371">
        <v>4500</v>
      </c>
    </row>
    <row r="800" spans="1:4" s="6" customFormat="1">
      <c r="A800" s="368" t="s">
        <v>180</v>
      </c>
      <c r="B800" s="369">
        <v>4707</v>
      </c>
      <c r="C800" s="370" t="s">
        <v>270</v>
      </c>
      <c r="D800" s="371">
        <v>122337</v>
      </c>
    </row>
    <row r="801" spans="1:4" s="6" customFormat="1">
      <c r="A801" s="368" t="s">
        <v>180</v>
      </c>
      <c r="B801" s="369">
        <v>4709</v>
      </c>
      <c r="C801" s="370" t="s">
        <v>270</v>
      </c>
      <c r="D801" s="371">
        <v>20663</v>
      </c>
    </row>
    <row r="802" spans="1:4" s="6" customFormat="1">
      <c r="A802" s="368" t="s">
        <v>180</v>
      </c>
      <c r="B802" s="369">
        <v>4710</v>
      </c>
      <c r="C802" s="370" t="s">
        <v>294</v>
      </c>
      <c r="D802" s="371">
        <v>35174</v>
      </c>
    </row>
    <row r="803" spans="1:4" s="6" customFormat="1">
      <c r="A803" s="368" t="s">
        <v>180</v>
      </c>
      <c r="B803" s="369">
        <v>4717</v>
      </c>
      <c r="C803" s="370" t="s">
        <v>294</v>
      </c>
      <c r="D803" s="371">
        <v>234</v>
      </c>
    </row>
    <row r="804" spans="1:4" s="6" customFormat="1">
      <c r="A804" s="368" t="s">
        <v>180</v>
      </c>
      <c r="B804" s="369">
        <v>4719</v>
      </c>
      <c r="C804" s="370" t="s">
        <v>294</v>
      </c>
      <c r="D804" s="371">
        <v>41</v>
      </c>
    </row>
    <row r="805" spans="1:4" s="6" customFormat="1">
      <c r="A805" s="368" t="s">
        <v>180</v>
      </c>
      <c r="B805" s="369">
        <v>4790</v>
      </c>
      <c r="C805" s="370" t="s">
        <v>391</v>
      </c>
      <c r="D805" s="371">
        <v>11585142</v>
      </c>
    </row>
    <row r="806" spans="1:4" s="6" customFormat="1">
      <c r="A806" s="368" t="s">
        <v>180</v>
      </c>
      <c r="B806" s="369">
        <v>4800</v>
      </c>
      <c r="C806" s="370" t="s">
        <v>392</v>
      </c>
      <c r="D806" s="371">
        <v>864297</v>
      </c>
    </row>
    <row r="807" spans="1:4" s="5" customFormat="1">
      <c r="A807" s="364">
        <v>80140</v>
      </c>
      <c r="B807" s="365" t="s">
        <v>180</v>
      </c>
      <c r="C807" s="366" t="s">
        <v>108</v>
      </c>
      <c r="D807" s="367">
        <f>SUM(D808:D841)</f>
        <v>10198897</v>
      </c>
    </row>
    <row r="808" spans="1:4" s="6" customFormat="1">
      <c r="A808" s="368" t="s">
        <v>180</v>
      </c>
      <c r="B808" s="369">
        <v>3020</v>
      </c>
      <c r="C808" s="370" t="s">
        <v>286</v>
      </c>
      <c r="D808" s="371">
        <v>2000</v>
      </c>
    </row>
    <row r="809" spans="1:4" s="6" customFormat="1">
      <c r="A809" s="368" t="s">
        <v>180</v>
      </c>
      <c r="B809" s="369">
        <v>4010</v>
      </c>
      <c r="C809" s="370" t="s">
        <v>254</v>
      </c>
      <c r="D809" s="371">
        <v>410502</v>
      </c>
    </row>
    <row r="810" spans="1:4" s="6" customFormat="1">
      <c r="A810" s="368" t="s">
        <v>180</v>
      </c>
      <c r="B810" s="369">
        <v>4017</v>
      </c>
      <c r="C810" s="370" t="s">
        <v>254</v>
      </c>
      <c r="D810" s="371">
        <v>9884</v>
      </c>
    </row>
    <row r="811" spans="1:4" s="6" customFormat="1">
      <c r="A811" s="368" t="s">
        <v>180</v>
      </c>
      <c r="B811" s="369">
        <v>4019</v>
      </c>
      <c r="C811" s="370" t="s">
        <v>254</v>
      </c>
      <c r="D811" s="371">
        <v>1744</v>
      </c>
    </row>
    <row r="812" spans="1:4" s="6" customFormat="1">
      <c r="A812" s="368" t="s">
        <v>180</v>
      </c>
      <c r="B812" s="369">
        <v>4040</v>
      </c>
      <c r="C812" s="370" t="s">
        <v>255</v>
      </c>
      <c r="D812" s="371">
        <v>31303</v>
      </c>
    </row>
    <row r="813" spans="1:4" s="6" customFormat="1">
      <c r="A813" s="368" t="s">
        <v>180</v>
      </c>
      <c r="B813" s="369">
        <v>4047</v>
      </c>
      <c r="C813" s="370" t="s">
        <v>255</v>
      </c>
      <c r="D813" s="371">
        <v>9467</v>
      </c>
    </row>
    <row r="814" spans="1:4" s="6" customFormat="1">
      <c r="A814" s="368" t="s">
        <v>180</v>
      </c>
      <c r="B814" s="369">
        <v>4049</v>
      </c>
      <c r="C814" s="370" t="s">
        <v>255</v>
      </c>
      <c r="D814" s="371">
        <v>1671</v>
      </c>
    </row>
    <row r="815" spans="1:4" s="6" customFormat="1">
      <c r="A815" s="368" t="s">
        <v>180</v>
      </c>
      <c r="B815" s="369">
        <v>4110</v>
      </c>
      <c r="C815" s="370" t="s">
        <v>256</v>
      </c>
      <c r="D815" s="371">
        <v>332178</v>
      </c>
    </row>
    <row r="816" spans="1:4" s="6" customFormat="1">
      <c r="A816" s="368" t="s">
        <v>180</v>
      </c>
      <c r="B816" s="369">
        <v>4117</v>
      </c>
      <c r="C816" s="370" t="s">
        <v>256</v>
      </c>
      <c r="D816" s="371">
        <v>3327</v>
      </c>
    </row>
    <row r="817" spans="1:4" s="6" customFormat="1">
      <c r="A817" s="368" t="s">
        <v>180</v>
      </c>
      <c r="B817" s="369">
        <v>4119</v>
      </c>
      <c r="C817" s="370" t="s">
        <v>256</v>
      </c>
      <c r="D817" s="371">
        <v>587</v>
      </c>
    </row>
    <row r="818" spans="1:4" s="6" customFormat="1">
      <c r="A818" s="368" t="s">
        <v>180</v>
      </c>
      <c r="B818" s="369">
        <v>4120</v>
      </c>
      <c r="C818" s="370" t="s">
        <v>257</v>
      </c>
      <c r="D818" s="371">
        <v>27288</v>
      </c>
    </row>
    <row r="819" spans="1:4" s="6" customFormat="1">
      <c r="A819" s="368" t="s">
        <v>180</v>
      </c>
      <c r="B819" s="369">
        <v>4127</v>
      </c>
      <c r="C819" s="370" t="s">
        <v>257</v>
      </c>
      <c r="D819" s="371">
        <v>474</v>
      </c>
    </row>
    <row r="820" spans="1:4" s="6" customFormat="1">
      <c r="A820" s="368" t="s">
        <v>180</v>
      </c>
      <c r="B820" s="369">
        <v>4129</v>
      </c>
      <c r="C820" s="370" t="s">
        <v>257</v>
      </c>
      <c r="D820" s="371">
        <v>84</v>
      </c>
    </row>
    <row r="821" spans="1:4" s="6" customFormat="1">
      <c r="A821" s="368" t="s">
        <v>180</v>
      </c>
      <c r="B821" s="369">
        <v>4210</v>
      </c>
      <c r="C821" s="370" t="s">
        <v>260</v>
      </c>
      <c r="D821" s="371">
        <v>70000</v>
      </c>
    </row>
    <row r="822" spans="1:4" s="6" customFormat="1">
      <c r="A822" s="368" t="s">
        <v>180</v>
      </c>
      <c r="B822" s="369">
        <v>4240</v>
      </c>
      <c r="C822" s="370" t="s">
        <v>307</v>
      </c>
      <c r="D822" s="371">
        <v>3000</v>
      </c>
    </row>
    <row r="823" spans="1:4" s="6" customFormat="1">
      <c r="A823" s="368" t="s">
        <v>180</v>
      </c>
      <c r="B823" s="369">
        <v>4260</v>
      </c>
      <c r="C823" s="370" t="s">
        <v>262</v>
      </c>
      <c r="D823" s="371">
        <v>24000</v>
      </c>
    </row>
    <row r="824" spans="1:4" s="6" customFormat="1">
      <c r="A824" s="368" t="s">
        <v>180</v>
      </c>
      <c r="B824" s="369">
        <v>4270</v>
      </c>
      <c r="C824" s="370" t="s">
        <v>263</v>
      </c>
      <c r="D824" s="371">
        <v>3000</v>
      </c>
    </row>
    <row r="825" spans="1:4" s="6" customFormat="1">
      <c r="A825" s="368" t="s">
        <v>180</v>
      </c>
      <c r="B825" s="369">
        <v>4280</v>
      </c>
      <c r="C825" s="370" t="s">
        <v>288</v>
      </c>
      <c r="D825" s="371">
        <v>3340</v>
      </c>
    </row>
    <row r="826" spans="1:4" s="6" customFormat="1">
      <c r="A826" s="368" t="s">
        <v>180</v>
      </c>
      <c r="B826" s="369">
        <v>4300</v>
      </c>
      <c r="C826" s="370" t="s">
        <v>264</v>
      </c>
      <c r="D826" s="371">
        <v>56000</v>
      </c>
    </row>
    <row r="827" spans="1:4" s="6" customFormat="1">
      <c r="A827" s="368" t="s">
        <v>180</v>
      </c>
      <c r="B827" s="369">
        <v>4307</v>
      </c>
      <c r="C827" s="370" t="s">
        <v>264</v>
      </c>
      <c r="D827" s="371">
        <v>30712</v>
      </c>
    </row>
    <row r="828" spans="1:4" s="6" customFormat="1">
      <c r="A828" s="368" t="s">
        <v>180</v>
      </c>
      <c r="B828" s="369">
        <v>4309</v>
      </c>
      <c r="C828" s="370" t="s">
        <v>264</v>
      </c>
      <c r="D828" s="371">
        <v>5419</v>
      </c>
    </row>
    <row r="829" spans="1:4" s="6" customFormat="1">
      <c r="A829" s="368" t="s">
        <v>180</v>
      </c>
      <c r="B829" s="369">
        <v>4360</v>
      </c>
      <c r="C829" s="370" t="s">
        <v>265</v>
      </c>
      <c r="D829" s="371">
        <v>5000</v>
      </c>
    </row>
    <row r="830" spans="1:4" s="6" customFormat="1" ht="15" customHeight="1">
      <c r="A830" s="368" t="s">
        <v>180</v>
      </c>
      <c r="B830" s="369">
        <v>4400</v>
      </c>
      <c r="C830" s="370" t="s">
        <v>266</v>
      </c>
      <c r="D830" s="371">
        <v>26000</v>
      </c>
    </row>
    <row r="831" spans="1:4" s="6" customFormat="1">
      <c r="A831" s="368" t="s">
        <v>180</v>
      </c>
      <c r="B831" s="369">
        <v>4410</v>
      </c>
      <c r="C831" s="370" t="s">
        <v>267</v>
      </c>
      <c r="D831" s="371">
        <v>10000</v>
      </c>
    </row>
    <row r="832" spans="1:4" s="6" customFormat="1">
      <c r="A832" s="368" t="s">
        <v>180</v>
      </c>
      <c r="B832" s="369">
        <v>4430</v>
      </c>
      <c r="C832" s="370" t="s">
        <v>269</v>
      </c>
      <c r="D832" s="371">
        <v>2500</v>
      </c>
    </row>
    <row r="833" spans="1:4" s="6" customFormat="1">
      <c r="A833" s="368" t="s">
        <v>180</v>
      </c>
      <c r="B833" s="369">
        <v>4440</v>
      </c>
      <c r="C833" s="370" t="s">
        <v>289</v>
      </c>
      <c r="D833" s="371">
        <v>72467</v>
      </c>
    </row>
    <row r="834" spans="1:4" s="6" customFormat="1">
      <c r="A834" s="372" t="s">
        <v>180</v>
      </c>
      <c r="B834" s="373">
        <v>4520</v>
      </c>
      <c r="C834" s="374" t="s">
        <v>293</v>
      </c>
      <c r="D834" s="375">
        <v>1900</v>
      </c>
    </row>
    <row r="835" spans="1:4" s="6" customFormat="1">
      <c r="A835" s="376" t="s">
        <v>180</v>
      </c>
      <c r="B835" s="377">
        <v>4700</v>
      </c>
      <c r="C835" s="378" t="s">
        <v>270</v>
      </c>
      <c r="D835" s="379">
        <v>1500</v>
      </c>
    </row>
    <row r="836" spans="1:4" s="6" customFormat="1">
      <c r="A836" s="368" t="s">
        <v>180</v>
      </c>
      <c r="B836" s="369">
        <v>4710</v>
      </c>
      <c r="C836" s="370" t="s">
        <v>294</v>
      </c>
      <c r="D836" s="371">
        <v>8057</v>
      </c>
    </row>
    <row r="837" spans="1:4" s="6" customFormat="1">
      <c r="A837" s="368" t="s">
        <v>180</v>
      </c>
      <c r="B837" s="369">
        <v>4790</v>
      </c>
      <c r="C837" s="370" t="s">
        <v>391</v>
      </c>
      <c r="D837" s="371">
        <v>1383075</v>
      </c>
    </row>
    <row r="838" spans="1:4" s="6" customFormat="1">
      <c r="A838" s="368" t="s">
        <v>180</v>
      </c>
      <c r="B838" s="369">
        <v>4800</v>
      </c>
      <c r="C838" s="370" t="s">
        <v>392</v>
      </c>
      <c r="D838" s="371">
        <v>123606</v>
      </c>
    </row>
    <row r="839" spans="1:4" s="6" customFormat="1">
      <c r="A839" s="368" t="s">
        <v>180</v>
      </c>
      <c r="B839" s="369">
        <v>6050</v>
      </c>
      <c r="C839" s="370" t="s">
        <v>282</v>
      </c>
      <c r="D839" s="371">
        <v>1057398</v>
      </c>
    </row>
    <row r="840" spans="1:4" s="6" customFormat="1">
      <c r="A840" s="368" t="s">
        <v>180</v>
      </c>
      <c r="B840" s="369">
        <v>6057</v>
      </c>
      <c r="C840" s="370" t="s">
        <v>282</v>
      </c>
      <c r="D840" s="371">
        <v>5509202</v>
      </c>
    </row>
    <row r="841" spans="1:4" s="6" customFormat="1">
      <c r="A841" s="368" t="s">
        <v>180</v>
      </c>
      <c r="B841" s="369">
        <v>6059</v>
      </c>
      <c r="C841" s="370" t="s">
        <v>282</v>
      </c>
      <c r="D841" s="371">
        <v>972212</v>
      </c>
    </row>
    <row r="842" spans="1:4" s="5" customFormat="1">
      <c r="A842" s="364">
        <v>80146</v>
      </c>
      <c r="B842" s="365" t="s">
        <v>180</v>
      </c>
      <c r="C842" s="366" t="s">
        <v>109</v>
      </c>
      <c r="D842" s="367">
        <f>SUM(D843:D866)</f>
        <v>10389758</v>
      </c>
    </row>
    <row r="843" spans="1:4" s="6" customFormat="1">
      <c r="A843" s="368" t="s">
        <v>180</v>
      </c>
      <c r="B843" s="369">
        <v>3020</v>
      </c>
      <c r="C843" s="370" t="s">
        <v>286</v>
      </c>
      <c r="D843" s="371">
        <v>8400</v>
      </c>
    </row>
    <row r="844" spans="1:4" s="6" customFormat="1">
      <c r="A844" s="368" t="s">
        <v>180</v>
      </c>
      <c r="B844" s="369">
        <v>4010</v>
      </c>
      <c r="C844" s="370" t="s">
        <v>254</v>
      </c>
      <c r="D844" s="371">
        <v>2081810</v>
      </c>
    </row>
    <row r="845" spans="1:4" s="6" customFormat="1">
      <c r="A845" s="368" t="s">
        <v>180</v>
      </c>
      <c r="B845" s="369">
        <v>4040</v>
      </c>
      <c r="C845" s="370" t="s">
        <v>255</v>
      </c>
      <c r="D845" s="371">
        <v>158484</v>
      </c>
    </row>
    <row r="846" spans="1:4" s="6" customFormat="1">
      <c r="A846" s="368" t="s">
        <v>180</v>
      </c>
      <c r="B846" s="369">
        <v>4110</v>
      </c>
      <c r="C846" s="370" t="s">
        <v>256</v>
      </c>
      <c r="D846" s="371">
        <v>1164502</v>
      </c>
    </row>
    <row r="847" spans="1:4" s="6" customFormat="1">
      <c r="A847" s="368" t="s">
        <v>180</v>
      </c>
      <c r="B847" s="369">
        <v>4120</v>
      </c>
      <c r="C847" s="370" t="s">
        <v>257</v>
      </c>
      <c r="D847" s="371">
        <v>89038</v>
      </c>
    </row>
    <row r="848" spans="1:4" s="6" customFormat="1">
      <c r="A848" s="368" t="s">
        <v>180</v>
      </c>
      <c r="B848" s="369">
        <v>4140</v>
      </c>
      <c r="C848" s="370" t="s">
        <v>287</v>
      </c>
      <c r="D848" s="371">
        <v>32450</v>
      </c>
    </row>
    <row r="849" spans="1:4" s="6" customFormat="1">
      <c r="A849" s="368" t="s">
        <v>180</v>
      </c>
      <c r="B849" s="369">
        <v>4170</v>
      </c>
      <c r="C849" s="370" t="s">
        <v>258</v>
      </c>
      <c r="D849" s="371">
        <v>2400</v>
      </c>
    </row>
    <row r="850" spans="1:4" s="6" customFormat="1">
      <c r="A850" s="368" t="s">
        <v>180</v>
      </c>
      <c r="B850" s="369">
        <v>4210</v>
      </c>
      <c r="C850" s="370" t="s">
        <v>260</v>
      </c>
      <c r="D850" s="371">
        <v>37000</v>
      </c>
    </row>
    <row r="851" spans="1:4" s="6" customFormat="1">
      <c r="A851" s="368" t="s">
        <v>180</v>
      </c>
      <c r="B851" s="369">
        <v>4240</v>
      </c>
      <c r="C851" s="370" t="s">
        <v>307</v>
      </c>
      <c r="D851" s="371">
        <v>5800</v>
      </c>
    </row>
    <row r="852" spans="1:4" s="6" customFormat="1">
      <c r="A852" s="368" t="s">
        <v>180</v>
      </c>
      <c r="B852" s="369">
        <v>4260</v>
      </c>
      <c r="C852" s="370" t="s">
        <v>262</v>
      </c>
      <c r="D852" s="371">
        <v>139000</v>
      </c>
    </row>
    <row r="853" spans="1:4" s="6" customFormat="1">
      <c r="A853" s="368" t="s">
        <v>180</v>
      </c>
      <c r="B853" s="369">
        <v>4270</v>
      </c>
      <c r="C853" s="370" t="s">
        <v>263</v>
      </c>
      <c r="D853" s="371">
        <v>82100</v>
      </c>
    </row>
    <row r="854" spans="1:4" s="6" customFormat="1">
      <c r="A854" s="368" t="s">
        <v>180</v>
      </c>
      <c r="B854" s="369">
        <v>4280</v>
      </c>
      <c r="C854" s="370" t="s">
        <v>288</v>
      </c>
      <c r="D854" s="371">
        <v>4700</v>
      </c>
    </row>
    <row r="855" spans="1:4" s="6" customFormat="1">
      <c r="A855" s="368" t="s">
        <v>180</v>
      </c>
      <c r="B855" s="369">
        <v>4300</v>
      </c>
      <c r="C855" s="370" t="s">
        <v>264</v>
      </c>
      <c r="D855" s="371">
        <v>439762</v>
      </c>
    </row>
    <row r="856" spans="1:4" s="6" customFormat="1" ht="30">
      <c r="A856" s="368" t="s">
        <v>180</v>
      </c>
      <c r="B856" s="369">
        <v>4340</v>
      </c>
      <c r="C856" s="370" t="s">
        <v>393</v>
      </c>
      <c r="D856" s="371">
        <v>170000</v>
      </c>
    </row>
    <row r="857" spans="1:4" s="6" customFormat="1">
      <c r="A857" s="368" t="s">
        <v>180</v>
      </c>
      <c r="B857" s="369">
        <v>4360</v>
      </c>
      <c r="C857" s="370" t="s">
        <v>265</v>
      </c>
      <c r="D857" s="371">
        <v>45000</v>
      </c>
    </row>
    <row r="858" spans="1:4" s="6" customFormat="1">
      <c r="A858" s="368" t="s">
        <v>180</v>
      </c>
      <c r="B858" s="369">
        <v>4410</v>
      </c>
      <c r="C858" s="370" t="s">
        <v>267</v>
      </c>
      <c r="D858" s="371">
        <v>4800</v>
      </c>
    </row>
    <row r="859" spans="1:4" s="6" customFormat="1">
      <c r="A859" s="368" t="s">
        <v>180</v>
      </c>
      <c r="B859" s="369">
        <v>4430</v>
      </c>
      <c r="C859" s="370" t="s">
        <v>269</v>
      </c>
      <c r="D859" s="371">
        <v>19207</v>
      </c>
    </row>
    <row r="860" spans="1:4" s="6" customFormat="1">
      <c r="A860" s="368" t="s">
        <v>180</v>
      </c>
      <c r="B860" s="369">
        <v>4440</v>
      </c>
      <c r="C860" s="370" t="s">
        <v>289</v>
      </c>
      <c r="D860" s="371">
        <v>279420</v>
      </c>
    </row>
    <row r="861" spans="1:4" s="6" customFormat="1">
      <c r="A861" s="368" t="s">
        <v>180</v>
      </c>
      <c r="B861" s="369">
        <v>4700</v>
      </c>
      <c r="C861" s="370" t="s">
        <v>270</v>
      </c>
      <c r="D861" s="371">
        <v>4170</v>
      </c>
    </row>
    <row r="862" spans="1:4" s="6" customFormat="1">
      <c r="A862" s="368" t="s">
        <v>180</v>
      </c>
      <c r="B862" s="369">
        <v>4710</v>
      </c>
      <c r="C862" s="370" t="s">
        <v>294</v>
      </c>
      <c r="D862" s="371">
        <v>12756</v>
      </c>
    </row>
    <row r="863" spans="1:4" s="6" customFormat="1">
      <c r="A863" s="368" t="s">
        <v>180</v>
      </c>
      <c r="B863" s="369">
        <v>4790</v>
      </c>
      <c r="C863" s="370" t="s">
        <v>391</v>
      </c>
      <c r="D863" s="371">
        <v>4514490</v>
      </c>
    </row>
    <row r="864" spans="1:4" s="6" customFormat="1">
      <c r="A864" s="368" t="s">
        <v>180</v>
      </c>
      <c r="B864" s="369">
        <v>4800</v>
      </c>
      <c r="C864" s="370" t="s">
        <v>392</v>
      </c>
      <c r="D864" s="371">
        <v>321469</v>
      </c>
    </row>
    <row r="865" spans="1:4" s="6" customFormat="1">
      <c r="A865" s="368" t="s">
        <v>180</v>
      </c>
      <c r="B865" s="369">
        <v>6050</v>
      </c>
      <c r="C865" s="370" t="s">
        <v>282</v>
      </c>
      <c r="D865" s="371">
        <v>750000</v>
      </c>
    </row>
    <row r="866" spans="1:4" s="6" customFormat="1">
      <c r="A866" s="368" t="s">
        <v>180</v>
      </c>
      <c r="B866" s="369">
        <v>6060</v>
      </c>
      <c r="C866" s="370" t="s">
        <v>295</v>
      </c>
      <c r="D866" s="371">
        <v>23000</v>
      </c>
    </row>
    <row r="867" spans="1:4" s="5" customFormat="1">
      <c r="A867" s="364">
        <v>80147</v>
      </c>
      <c r="B867" s="365" t="s">
        <v>180</v>
      </c>
      <c r="C867" s="366" t="s">
        <v>110</v>
      </c>
      <c r="D867" s="367">
        <f>SUM(D868:D888)</f>
        <v>8280352</v>
      </c>
    </row>
    <row r="868" spans="1:4" s="6" customFormat="1">
      <c r="A868" s="368" t="s">
        <v>180</v>
      </c>
      <c r="B868" s="369">
        <v>3020</v>
      </c>
      <c r="C868" s="370" t="s">
        <v>286</v>
      </c>
      <c r="D868" s="371">
        <v>5840</v>
      </c>
    </row>
    <row r="869" spans="1:4" s="6" customFormat="1">
      <c r="A869" s="368" t="s">
        <v>180</v>
      </c>
      <c r="B869" s="369">
        <v>4010</v>
      </c>
      <c r="C869" s="370" t="s">
        <v>254</v>
      </c>
      <c r="D869" s="371">
        <v>1701567</v>
      </c>
    </row>
    <row r="870" spans="1:4" s="6" customFormat="1">
      <c r="A870" s="368" t="s">
        <v>180</v>
      </c>
      <c r="B870" s="369">
        <v>4040</v>
      </c>
      <c r="C870" s="370" t="s">
        <v>255</v>
      </c>
      <c r="D870" s="371">
        <v>130412</v>
      </c>
    </row>
    <row r="871" spans="1:4" s="6" customFormat="1">
      <c r="A871" s="368" t="s">
        <v>180</v>
      </c>
      <c r="B871" s="369">
        <v>4110</v>
      </c>
      <c r="C871" s="370" t="s">
        <v>256</v>
      </c>
      <c r="D871" s="371">
        <v>949778</v>
      </c>
    </row>
    <row r="872" spans="1:4" s="6" customFormat="1">
      <c r="A872" s="368" t="s">
        <v>180</v>
      </c>
      <c r="B872" s="369">
        <v>4120</v>
      </c>
      <c r="C872" s="370" t="s">
        <v>257</v>
      </c>
      <c r="D872" s="371">
        <v>103867</v>
      </c>
    </row>
    <row r="873" spans="1:4" s="6" customFormat="1">
      <c r="A873" s="368" t="s">
        <v>180</v>
      </c>
      <c r="B873" s="369">
        <v>4170</v>
      </c>
      <c r="C873" s="370" t="s">
        <v>258</v>
      </c>
      <c r="D873" s="371">
        <v>30000</v>
      </c>
    </row>
    <row r="874" spans="1:4" s="6" customFormat="1">
      <c r="A874" s="368" t="s">
        <v>180</v>
      </c>
      <c r="B874" s="369">
        <v>4210</v>
      </c>
      <c r="C874" s="370" t="s">
        <v>260</v>
      </c>
      <c r="D874" s="371">
        <v>103464</v>
      </c>
    </row>
    <row r="875" spans="1:4" s="6" customFormat="1">
      <c r="A875" s="368" t="s">
        <v>180</v>
      </c>
      <c r="B875" s="369">
        <v>4240</v>
      </c>
      <c r="C875" s="370" t="s">
        <v>307</v>
      </c>
      <c r="D875" s="371">
        <v>115800</v>
      </c>
    </row>
    <row r="876" spans="1:4" s="6" customFormat="1">
      <c r="A876" s="368" t="s">
        <v>180</v>
      </c>
      <c r="B876" s="369">
        <v>4260</v>
      </c>
      <c r="C876" s="370" t="s">
        <v>262</v>
      </c>
      <c r="D876" s="371">
        <v>312603</v>
      </c>
    </row>
    <row r="877" spans="1:4" s="6" customFormat="1">
      <c r="A877" s="368" t="s">
        <v>180</v>
      </c>
      <c r="B877" s="369">
        <v>4270</v>
      </c>
      <c r="C877" s="370" t="s">
        <v>263</v>
      </c>
      <c r="D877" s="371">
        <v>478250</v>
      </c>
    </row>
    <row r="878" spans="1:4" s="6" customFormat="1">
      <c r="A878" s="368" t="s">
        <v>180</v>
      </c>
      <c r="B878" s="369">
        <v>4280</v>
      </c>
      <c r="C878" s="370" t="s">
        <v>288</v>
      </c>
      <c r="D878" s="371">
        <v>5411</v>
      </c>
    </row>
    <row r="879" spans="1:4" s="6" customFormat="1">
      <c r="A879" s="368" t="s">
        <v>180</v>
      </c>
      <c r="B879" s="369">
        <v>4300</v>
      </c>
      <c r="C879" s="370" t="s">
        <v>264</v>
      </c>
      <c r="D879" s="371">
        <v>134932</v>
      </c>
    </row>
    <row r="880" spans="1:4" s="6" customFormat="1">
      <c r="A880" s="368" t="s">
        <v>180</v>
      </c>
      <c r="B880" s="369">
        <v>4360</v>
      </c>
      <c r="C880" s="370" t="s">
        <v>265</v>
      </c>
      <c r="D880" s="371">
        <v>20612</v>
      </c>
    </row>
    <row r="881" spans="1:4" s="6" customFormat="1">
      <c r="A881" s="368" t="s">
        <v>180</v>
      </c>
      <c r="B881" s="369">
        <v>4410</v>
      </c>
      <c r="C881" s="370" t="s">
        <v>267</v>
      </c>
      <c r="D881" s="371">
        <v>2800</v>
      </c>
    </row>
    <row r="882" spans="1:4" s="6" customFormat="1">
      <c r="A882" s="368" t="s">
        <v>180</v>
      </c>
      <c r="B882" s="369">
        <v>4430</v>
      </c>
      <c r="C882" s="370" t="s">
        <v>269</v>
      </c>
      <c r="D882" s="371">
        <v>12007</v>
      </c>
    </row>
    <row r="883" spans="1:4" s="6" customFormat="1">
      <c r="A883" s="368" t="s">
        <v>180</v>
      </c>
      <c r="B883" s="369">
        <v>4440</v>
      </c>
      <c r="C883" s="370" t="s">
        <v>289</v>
      </c>
      <c r="D883" s="371">
        <v>257128</v>
      </c>
    </row>
    <row r="884" spans="1:4" s="6" customFormat="1">
      <c r="A884" s="368" t="s">
        <v>180</v>
      </c>
      <c r="B884" s="369">
        <v>4520</v>
      </c>
      <c r="C884" s="370" t="s">
        <v>293</v>
      </c>
      <c r="D884" s="371">
        <v>4020</v>
      </c>
    </row>
    <row r="885" spans="1:4" s="6" customFormat="1">
      <c r="A885" s="368" t="s">
        <v>180</v>
      </c>
      <c r="B885" s="369">
        <v>4700</v>
      </c>
      <c r="C885" s="370" t="s">
        <v>270</v>
      </c>
      <c r="D885" s="371">
        <v>7200</v>
      </c>
    </row>
    <row r="886" spans="1:4" s="6" customFormat="1">
      <c r="A886" s="368" t="s">
        <v>180</v>
      </c>
      <c r="B886" s="369">
        <v>4710</v>
      </c>
      <c r="C886" s="370" t="s">
        <v>294</v>
      </c>
      <c r="D886" s="371">
        <v>28196</v>
      </c>
    </row>
    <row r="887" spans="1:4" s="6" customFormat="1">
      <c r="A887" s="368" t="s">
        <v>180</v>
      </c>
      <c r="B887" s="369">
        <v>4790</v>
      </c>
      <c r="C887" s="370" t="s">
        <v>391</v>
      </c>
      <c r="D887" s="371">
        <v>3594246</v>
      </c>
    </row>
    <row r="888" spans="1:4" s="6" customFormat="1">
      <c r="A888" s="368" t="s">
        <v>180</v>
      </c>
      <c r="B888" s="369">
        <v>4800</v>
      </c>
      <c r="C888" s="370" t="s">
        <v>392</v>
      </c>
      <c r="D888" s="371">
        <v>282219</v>
      </c>
    </row>
    <row r="889" spans="1:4" s="5" customFormat="1" ht="45">
      <c r="A889" s="364">
        <v>80149</v>
      </c>
      <c r="B889" s="365" t="s">
        <v>180</v>
      </c>
      <c r="C889" s="366" t="s">
        <v>111</v>
      </c>
      <c r="D889" s="367">
        <f>SUM(D890:D904)</f>
        <v>1262347</v>
      </c>
    </row>
    <row r="890" spans="1:4" s="6" customFormat="1">
      <c r="A890" s="368" t="s">
        <v>180</v>
      </c>
      <c r="B890" s="369">
        <v>4010</v>
      </c>
      <c r="C890" s="370" t="s">
        <v>254</v>
      </c>
      <c r="D890" s="371">
        <v>113765</v>
      </c>
    </row>
    <row r="891" spans="1:4" s="6" customFormat="1">
      <c r="A891" s="368" t="s">
        <v>180</v>
      </c>
      <c r="B891" s="369">
        <v>4110</v>
      </c>
      <c r="C891" s="370" t="s">
        <v>256</v>
      </c>
      <c r="D891" s="371">
        <v>149741</v>
      </c>
    </row>
    <row r="892" spans="1:4" s="6" customFormat="1">
      <c r="A892" s="368" t="s">
        <v>180</v>
      </c>
      <c r="B892" s="369">
        <v>4120</v>
      </c>
      <c r="C892" s="370" t="s">
        <v>257</v>
      </c>
      <c r="D892" s="371">
        <v>21088</v>
      </c>
    </row>
    <row r="893" spans="1:4" s="6" customFormat="1">
      <c r="A893" s="368" t="s">
        <v>180</v>
      </c>
      <c r="B893" s="369">
        <v>4210</v>
      </c>
      <c r="C893" s="370" t="s">
        <v>260</v>
      </c>
      <c r="D893" s="371">
        <v>9000</v>
      </c>
    </row>
    <row r="894" spans="1:4" s="6" customFormat="1">
      <c r="A894" s="372" t="s">
        <v>180</v>
      </c>
      <c r="B894" s="373">
        <v>4240</v>
      </c>
      <c r="C894" s="374" t="s">
        <v>307</v>
      </c>
      <c r="D894" s="375">
        <v>3000</v>
      </c>
    </row>
    <row r="895" spans="1:4" s="6" customFormat="1">
      <c r="A895" s="376" t="s">
        <v>180</v>
      </c>
      <c r="B895" s="377">
        <v>4260</v>
      </c>
      <c r="C895" s="378" t="s">
        <v>262</v>
      </c>
      <c r="D895" s="379">
        <v>137000</v>
      </c>
    </row>
    <row r="896" spans="1:4" s="6" customFormat="1">
      <c r="A896" s="368" t="s">
        <v>180</v>
      </c>
      <c r="B896" s="369">
        <v>4270</v>
      </c>
      <c r="C896" s="370" t="s">
        <v>263</v>
      </c>
      <c r="D896" s="371">
        <v>2700</v>
      </c>
    </row>
    <row r="897" spans="1:4" s="6" customFormat="1">
      <c r="A897" s="368" t="s">
        <v>180</v>
      </c>
      <c r="B897" s="369">
        <v>4280</v>
      </c>
      <c r="C897" s="370" t="s">
        <v>288</v>
      </c>
      <c r="D897" s="371">
        <v>1000</v>
      </c>
    </row>
    <row r="898" spans="1:4" s="6" customFormat="1">
      <c r="A898" s="368" t="s">
        <v>180</v>
      </c>
      <c r="B898" s="369">
        <v>4300</v>
      </c>
      <c r="C898" s="370" t="s">
        <v>264</v>
      </c>
      <c r="D898" s="371">
        <v>20000</v>
      </c>
    </row>
    <row r="899" spans="1:4" s="6" customFormat="1">
      <c r="A899" s="368" t="s">
        <v>180</v>
      </c>
      <c r="B899" s="369">
        <v>4360</v>
      </c>
      <c r="C899" s="370" t="s">
        <v>265</v>
      </c>
      <c r="D899" s="371">
        <v>2500</v>
      </c>
    </row>
    <row r="900" spans="1:4" s="6" customFormat="1">
      <c r="A900" s="368" t="s">
        <v>180</v>
      </c>
      <c r="B900" s="369">
        <v>4440</v>
      </c>
      <c r="C900" s="370" t="s">
        <v>289</v>
      </c>
      <c r="D900" s="371">
        <v>34790</v>
      </c>
    </row>
    <row r="901" spans="1:4" s="6" customFormat="1">
      <c r="A901" s="368" t="s">
        <v>180</v>
      </c>
      <c r="B901" s="369">
        <v>4700</v>
      </c>
      <c r="C901" s="370" t="s">
        <v>270</v>
      </c>
      <c r="D901" s="371">
        <v>500</v>
      </c>
    </row>
    <row r="902" spans="1:4" s="6" customFormat="1">
      <c r="A902" s="368" t="s">
        <v>180</v>
      </c>
      <c r="B902" s="369">
        <v>4710</v>
      </c>
      <c r="C902" s="370" t="s">
        <v>294</v>
      </c>
      <c r="D902" s="371">
        <v>2562</v>
      </c>
    </row>
    <row r="903" spans="1:4" s="6" customFormat="1">
      <c r="A903" s="368" t="s">
        <v>180</v>
      </c>
      <c r="B903" s="369">
        <v>4790</v>
      </c>
      <c r="C903" s="370" t="s">
        <v>391</v>
      </c>
      <c r="D903" s="371">
        <v>698788</v>
      </c>
    </row>
    <row r="904" spans="1:4" s="6" customFormat="1">
      <c r="A904" s="368" t="s">
        <v>180</v>
      </c>
      <c r="B904" s="369">
        <v>4800</v>
      </c>
      <c r="C904" s="370" t="s">
        <v>392</v>
      </c>
      <c r="D904" s="371">
        <v>65913</v>
      </c>
    </row>
    <row r="905" spans="1:4" s="5" customFormat="1">
      <c r="A905" s="364">
        <v>80195</v>
      </c>
      <c r="B905" s="365" t="s">
        <v>180</v>
      </c>
      <c r="C905" s="366" t="s">
        <v>46</v>
      </c>
      <c r="D905" s="367">
        <f>SUM(D906:D942)</f>
        <v>7857120</v>
      </c>
    </row>
    <row r="906" spans="1:4" s="6" customFormat="1" ht="45">
      <c r="A906" s="368" t="s">
        <v>180</v>
      </c>
      <c r="B906" s="369">
        <v>2001</v>
      </c>
      <c r="C906" s="370" t="s">
        <v>394</v>
      </c>
      <c r="D906" s="371">
        <v>81025</v>
      </c>
    </row>
    <row r="907" spans="1:4" s="6" customFormat="1" ht="60">
      <c r="A907" s="368" t="s">
        <v>180</v>
      </c>
      <c r="B907" s="369">
        <v>2009</v>
      </c>
      <c r="C907" s="370" t="s">
        <v>252</v>
      </c>
      <c r="D907" s="371">
        <v>1125000</v>
      </c>
    </row>
    <row r="908" spans="1:4" s="6" customFormat="1" ht="60">
      <c r="A908" s="368" t="s">
        <v>180</v>
      </c>
      <c r="B908" s="369">
        <v>2057</v>
      </c>
      <c r="C908" s="370" t="s">
        <v>381</v>
      </c>
      <c r="D908" s="371">
        <v>845645</v>
      </c>
    </row>
    <row r="909" spans="1:4" s="6" customFormat="1" ht="60">
      <c r="A909" s="368" t="s">
        <v>180</v>
      </c>
      <c r="B909" s="369">
        <v>2059</v>
      </c>
      <c r="C909" s="370" t="s">
        <v>381</v>
      </c>
      <c r="D909" s="371">
        <v>2836315</v>
      </c>
    </row>
    <row r="910" spans="1:4" s="6" customFormat="1">
      <c r="A910" s="368" t="s">
        <v>180</v>
      </c>
      <c r="B910" s="369">
        <v>3020</v>
      </c>
      <c r="C910" s="370" t="s">
        <v>286</v>
      </c>
      <c r="D910" s="371">
        <v>100000</v>
      </c>
    </row>
    <row r="911" spans="1:4" s="6" customFormat="1">
      <c r="A911" s="368" t="s">
        <v>180</v>
      </c>
      <c r="B911" s="369">
        <v>4017</v>
      </c>
      <c r="C911" s="370" t="s">
        <v>254</v>
      </c>
      <c r="D911" s="371">
        <v>133556</v>
      </c>
    </row>
    <row r="912" spans="1:4" s="6" customFormat="1">
      <c r="A912" s="368" t="s">
        <v>180</v>
      </c>
      <c r="B912" s="369">
        <v>4019</v>
      </c>
      <c r="C912" s="370" t="s">
        <v>254</v>
      </c>
      <c r="D912" s="371">
        <v>6862</v>
      </c>
    </row>
    <row r="913" spans="1:4" s="6" customFormat="1">
      <c r="A913" s="368" t="s">
        <v>180</v>
      </c>
      <c r="B913" s="369">
        <v>4110</v>
      </c>
      <c r="C913" s="370" t="s">
        <v>256</v>
      </c>
      <c r="D913" s="371">
        <v>20163</v>
      </c>
    </row>
    <row r="914" spans="1:4" s="6" customFormat="1">
      <c r="A914" s="368" t="s">
        <v>180</v>
      </c>
      <c r="B914" s="369">
        <v>4111</v>
      </c>
      <c r="C914" s="370" t="s">
        <v>256</v>
      </c>
      <c r="D914" s="371">
        <v>3024</v>
      </c>
    </row>
    <row r="915" spans="1:4" s="6" customFormat="1">
      <c r="A915" s="368" t="s">
        <v>180</v>
      </c>
      <c r="B915" s="369">
        <v>4117</v>
      </c>
      <c r="C915" s="370" t="s">
        <v>256</v>
      </c>
      <c r="D915" s="371">
        <v>22961</v>
      </c>
    </row>
    <row r="916" spans="1:4" s="6" customFormat="1">
      <c r="A916" s="368" t="s">
        <v>180</v>
      </c>
      <c r="B916" s="369">
        <v>4119</v>
      </c>
      <c r="C916" s="370" t="s">
        <v>256</v>
      </c>
      <c r="D916" s="371">
        <v>1180</v>
      </c>
    </row>
    <row r="917" spans="1:4" s="6" customFormat="1">
      <c r="A917" s="368" t="s">
        <v>180</v>
      </c>
      <c r="B917" s="369">
        <v>4120</v>
      </c>
      <c r="C917" s="370" t="s">
        <v>257</v>
      </c>
      <c r="D917" s="371">
        <v>2871</v>
      </c>
    </row>
    <row r="918" spans="1:4" s="6" customFormat="1">
      <c r="A918" s="368" t="s">
        <v>180</v>
      </c>
      <c r="B918" s="369">
        <v>4121</v>
      </c>
      <c r="C918" s="370" t="s">
        <v>257</v>
      </c>
      <c r="D918" s="371">
        <v>143</v>
      </c>
    </row>
    <row r="919" spans="1:4" s="6" customFormat="1">
      <c r="A919" s="368" t="s">
        <v>180</v>
      </c>
      <c r="B919" s="369">
        <v>4127</v>
      </c>
      <c r="C919" s="370" t="s">
        <v>257</v>
      </c>
      <c r="D919" s="371">
        <v>3275</v>
      </c>
    </row>
    <row r="920" spans="1:4" s="6" customFormat="1">
      <c r="A920" s="368" t="s">
        <v>180</v>
      </c>
      <c r="B920" s="369">
        <v>4129</v>
      </c>
      <c r="C920" s="370" t="s">
        <v>257</v>
      </c>
      <c r="D920" s="371">
        <v>168</v>
      </c>
    </row>
    <row r="921" spans="1:4" s="6" customFormat="1">
      <c r="A921" s="368" t="s">
        <v>180</v>
      </c>
      <c r="B921" s="369">
        <v>4170</v>
      </c>
      <c r="C921" s="370" t="s">
        <v>258</v>
      </c>
      <c r="D921" s="371">
        <v>8400</v>
      </c>
    </row>
    <row r="922" spans="1:4" s="6" customFormat="1">
      <c r="A922" s="368" t="s">
        <v>180</v>
      </c>
      <c r="B922" s="369">
        <v>4171</v>
      </c>
      <c r="C922" s="370" t="s">
        <v>258</v>
      </c>
      <c r="D922" s="371">
        <v>17438</v>
      </c>
    </row>
    <row r="923" spans="1:4" s="6" customFormat="1">
      <c r="A923" s="368" t="s">
        <v>180</v>
      </c>
      <c r="B923" s="369">
        <v>4177</v>
      </c>
      <c r="C923" s="370" t="s">
        <v>258</v>
      </c>
      <c r="D923" s="371">
        <v>1000</v>
      </c>
    </row>
    <row r="924" spans="1:4" s="6" customFormat="1">
      <c r="A924" s="368" t="s">
        <v>180</v>
      </c>
      <c r="B924" s="369">
        <v>4190</v>
      </c>
      <c r="C924" s="370" t="s">
        <v>259</v>
      </c>
      <c r="D924" s="371">
        <v>162500</v>
      </c>
    </row>
    <row r="925" spans="1:4" s="6" customFormat="1">
      <c r="A925" s="368" t="s">
        <v>180</v>
      </c>
      <c r="B925" s="369">
        <v>4210</v>
      </c>
      <c r="C925" s="370" t="s">
        <v>260</v>
      </c>
      <c r="D925" s="371">
        <v>24000</v>
      </c>
    </row>
    <row r="926" spans="1:4" s="6" customFormat="1">
      <c r="A926" s="368" t="s">
        <v>180</v>
      </c>
      <c r="B926" s="369">
        <v>4211</v>
      </c>
      <c r="C926" s="370" t="s">
        <v>260</v>
      </c>
      <c r="D926" s="371">
        <v>788</v>
      </c>
    </row>
    <row r="927" spans="1:4" s="6" customFormat="1">
      <c r="A927" s="368" t="s">
        <v>180</v>
      </c>
      <c r="B927" s="369">
        <v>4217</v>
      </c>
      <c r="C927" s="370" t="s">
        <v>260</v>
      </c>
      <c r="D927" s="371">
        <v>3933</v>
      </c>
    </row>
    <row r="928" spans="1:4" s="6" customFormat="1">
      <c r="A928" s="368" t="s">
        <v>180</v>
      </c>
      <c r="B928" s="369">
        <v>4219</v>
      </c>
      <c r="C928" s="370" t="s">
        <v>260</v>
      </c>
      <c r="D928" s="371">
        <v>211</v>
      </c>
    </row>
    <row r="929" spans="1:4" s="6" customFormat="1">
      <c r="A929" s="368" t="s">
        <v>180</v>
      </c>
      <c r="B929" s="369">
        <v>4220</v>
      </c>
      <c r="C929" s="370" t="s">
        <v>261</v>
      </c>
      <c r="D929" s="371">
        <v>900</v>
      </c>
    </row>
    <row r="930" spans="1:4" s="6" customFormat="1">
      <c r="A930" s="368" t="s">
        <v>180</v>
      </c>
      <c r="B930" s="369">
        <v>4270</v>
      </c>
      <c r="C930" s="370" t="s">
        <v>263</v>
      </c>
      <c r="D930" s="371">
        <v>350000</v>
      </c>
    </row>
    <row r="931" spans="1:4" s="6" customFormat="1">
      <c r="A931" s="368" t="s">
        <v>180</v>
      </c>
      <c r="B931" s="369">
        <v>4300</v>
      </c>
      <c r="C931" s="370" t="s">
        <v>264</v>
      </c>
      <c r="D931" s="371">
        <v>159400</v>
      </c>
    </row>
    <row r="932" spans="1:4" s="6" customFormat="1">
      <c r="A932" s="368" t="s">
        <v>180</v>
      </c>
      <c r="B932" s="369">
        <v>4301</v>
      </c>
      <c r="C932" s="370" t="s">
        <v>264</v>
      </c>
      <c r="D932" s="371">
        <v>2460</v>
      </c>
    </row>
    <row r="933" spans="1:4" s="6" customFormat="1">
      <c r="A933" s="368" t="s">
        <v>180</v>
      </c>
      <c r="B933" s="369">
        <v>4307</v>
      </c>
      <c r="C933" s="370" t="s">
        <v>264</v>
      </c>
      <c r="D933" s="371">
        <v>529015</v>
      </c>
    </row>
    <row r="934" spans="1:4" s="6" customFormat="1">
      <c r="A934" s="368" t="s">
        <v>180</v>
      </c>
      <c r="B934" s="369">
        <v>4309</v>
      </c>
      <c r="C934" s="370" t="s">
        <v>264</v>
      </c>
      <c r="D934" s="371">
        <v>49865</v>
      </c>
    </row>
    <row r="935" spans="1:4" s="6" customFormat="1">
      <c r="A935" s="368" t="s">
        <v>180</v>
      </c>
      <c r="B935" s="369">
        <v>4421</v>
      </c>
      <c r="C935" s="370" t="s">
        <v>268</v>
      </c>
      <c r="D935" s="371">
        <v>69716</v>
      </c>
    </row>
    <row r="936" spans="1:4" s="6" customFormat="1">
      <c r="A936" s="368" t="s">
        <v>180</v>
      </c>
      <c r="B936" s="369">
        <v>4440</v>
      </c>
      <c r="C936" s="370" t="s">
        <v>289</v>
      </c>
      <c r="D936" s="371">
        <v>692207</v>
      </c>
    </row>
    <row r="937" spans="1:4" s="6" customFormat="1">
      <c r="A937" s="368" t="s">
        <v>180</v>
      </c>
      <c r="B937" s="369">
        <v>4700</v>
      </c>
      <c r="C937" s="370" t="s">
        <v>270</v>
      </c>
      <c r="D937" s="371">
        <v>7200</v>
      </c>
    </row>
    <row r="938" spans="1:4" s="6" customFormat="1">
      <c r="A938" s="368" t="s">
        <v>180</v>
      </c>
      <c r="B938" s="369">
        <v>4710</v>
      </c>
      <c r="C938" s="370" t="s">
        <v>294</v>
      </c>
      <c r="D938" s="371">
        <v>500</v>
      </c>
    </row>
    <row r="939" spans="1:4" s="6" customFormat="1">
      <c r="A939" s="368" t="s">
        <v>180</v>
      </c>
      <c r="B939" s="369">
        <v>4711</v>
      </c>
      <c r="C939" s="370" t="s">
        <v>294</v>
      </c>
      <c r="D939" s="371">
        <v>88</v>
      </c>
    </row>
    <row r="940" spans="1:4" s="6" customFormat="1">
      <c r="A940" s="368" t="s">
        <v>180</v>
      </c>
      <c r="B940" s="369">
        <v>4790</v>
      </c>
      <c r="C940" s="370" t="s">
        <v>391</v>
      </c>
      <c r="D940" s="371">
        <v>108170</v>
      </c>
    </row>
    <row r="941" spans="1:4" s="6" customFormat="1" ht="60">
      <c r="A941" s="372" t="s">
        <v>180</v>
      </c>
      <c r="B941" s="373">
        <v>6209</v>
      </c>
      <c r="C941" s="374" t="s">
        <v>279</v>
      </c>
      <c r="D941" s="375">
        <v>65000</v>
      </c>
    </row>
    <row r="942" spans="1:4" s="6" customFormat="1" ht="60">
      <c r="A942" s="386" t="s">
        <v>180</v>
      </c>
      <c r="B942" s="387">
        <v>6259</v>
      </c>
      <c r="C942" s="388" t="s">
        <v>183</v>
      </c>
      <c r="D942" s="389">
        <v>422141</v>
      </c>
    </row>
    <row r="943" spans="1:4" s="5" customFormat="1">
      <c r="A943" s="362" t="s">
        <v>35</v>
      </c>
      <c r="B943" s="380" t="s">
        <v>180</v>
      </c>
      <c r="C943" s="264" t="s">
        <v>36</v>
      </c>
      <c r="D943" s="363">
        <f>D944+D949+D951+D953+D955+D963+D969+D975+D977+D979</f>
        <v>86238461</v>
      </c>
    </row>
    <row r="944" spans="1:4" s="5" customFormat="1">
      <c r="A944" s="364">
        <v>85111</v>
      </c>
      <c r="B944" s="365" t="s">
        <v>180</v>
      </c>
      <c r="C944" s="366" t="s">
        <v>112</v>
      </c>
      <c r="D944" s="367">
        <f>SUM(D945:D948)</f>
        <v>18631756</v>
      </c>
    </row>
    <row r="945" spans="1:4" s="6" customFormat="1" ht="60">
      <c r="A945" s="368" t="s">
        <v>180</v>
      </c>
      <c r="B945" s="369">
        <v>2009</v>
      </c>
      <c r="C945" s="370" t="s">
        <v>252</v>
      </c>
      <c r="D945" s="371">
        <v>189300</v>
      </c>
    </row>
    <row r="946" spans="1:4" s="6" customFormat="1">
      <c r="A946" s="368" t="s">
        <v>180</v>
      </c>
      <c r="B946" s="369">
        <v>6058</v>
      </c>
      <c r="C946" s="370" t="s">
        <v>282</v>
      </c>
      <c r="D946" s="371">
        <v>4999937</v>
      </c>
    </row>
    <row r="947" spans="1:4" s="6" customFormat="1">
      <c r="A947" s="368" t="s">
        <v>180</v>
      </c>
      <c r="B947" s="369">
        <v>6059</v>
      </c>
      <c r="C947" s="370" t="s">
        <v>282</v>
      </c>
      <c r="D947" s="371">
        <v>882343</v>
      </c>
    </row>
    <row r="948" spans="1:4" s="6" customFormat="1" ht="60">
      <c r="A948" s="368" t="s">
        <v>180</v>
      </c>
      <c r="B948" s="369">
        <v>6209</v>
      </c>
      <c r="C948" s="370" t="s">
        <v>279</v>
      </c>
      <c r="D948" s="371">
        <v>12560176</v>
      </c>
    </row>
    <row r="949" spans="1:4" s="5" customFormat="1">
      <c r="A949" s="364">
        <v>85115</v>
      </c>
      <c r="B949" s="365" t="s">
        <v>180</v>
      </c>
      <c r="C949" s="366" t="s">
        <v>395</v>
      </c>
      <c r="D949" s="367">
        <f>D950</f>
        <v>2500000</v>
      </c>
    </row>
    <row r="950" spans="1:4" s="6" customFormat="1" ht="32.25" customHeight="1">
      <c r="A950" s="368" t="s">
        <v>180</v>
      </c>
      <c r="B950" s="369">
        <v>6220</v>
      </c>
      <c r="C950" s="370" t="s">
        <v>300</v>
      </c>
      <c r="D950" s="371">
        <v>2500000</v>
      </c>
    </row>
    <row r="951" spans="1:4" s="5" customFormat="1">
      <c r="A951" s="364">
        <v>85117</v>
      </c>
      <c r="B951" s="365" t="s">
        <v>180</v>
      </c>
      <c r="C951" s="366" t="s">
        <v>150</v>
      </c>
      <c r="D951" s="367">
        <f>D952</f>
        <v>307158</v>
      </c>
    </row>
    <row r="952" spans="1:4" s="6" customFormat="1" ht="60">
      <c r="A952" s="368" t="s">
        <v>180</v>
      </c>
      <c r="B952" s="369">
        <v>6209</v>
      </c>
      <c r="C952" s="370" t="s">
        <v>279</v>
      </c>
      <c r="D952" s="371">
        <v>307158</v>
      </c>
    </row>
    <row r="953" spans="1:4" s="5" customFormat="1">
      <c r="A953" s="364">
        <v>85148</v>
      </c>
      <c r="B953" s="365" t="s">
        <v>180</v>
      </c>
      <c r="C953" s="366" t="s">
        <v>113</v>
      </c>
      <c r="D953" s="367">
        <f>D954</f>
        <v>4800000</v>
      </c>
    </row>
    <row r="954" spans="1:4" s="6" customFormat="1">
      <c r="A954" s="368" t="s">
        <v>180</v>
      </c>
      <c r="B954" s="369">
        <v>4280</v>
      </c>
      <c r="C954" s="370" t="s">
        <v>288</v>
      </c>
      <c r="D954" s="371">
        <v>4800000</v>
      </c>
    </row>
    <row r="955" spans="1:4" s="5" customFormat="1">
      <c r="A955" s="364">
        <v>85149</v>
      </c>
      <c r="B955" s="365" t="s">
        <v>180</v>
      </c>
      <c r="C955" s="366" t="s">
        <v>114</v>
      </c>
      <c r="D955" s="367">
        <f>SUM(D956:D962)</f>
        <v>2150000</v>
      </c>
    </row>
    <row r="956" spans="1:4" s="6" customFormat="1" ht="60">
      <c r="A956" s="368" t="s">
        <v>180</v>
      </c>
      <c r="B956" s="369">
        <v>2009</v>
      </c>
      <c r="C956" s="370" t="s">
        <v>252</v>
      </c>
      <c r="D956" s="371">
        <v>1050000</v>
      </c>
    </row>
    <row r="957" spans="1:4" s="6" customFormat="1" ht="45">
      <c r="A957" s="368" t="s">
        <v>180</v>
      </c>
      <c r="B957" s="369">
        <v>2360</v>
      </c>
      <c r="C957" s="370" t="s">
        <v>298</v>
      </c>
      <c r="D957" s="371">
        <v>200000</v>
      </c>
    </row>
    <row r="958" spans="1:4" s="6" customFormat="1" ht="30">
      <c r="A958" s="368" t="s">
        <v>180</v>
      </c>
      <c r="B958" s="369">
        <v>2780</v>
      </c>
      <c r="C958" s="370" t="s">
        <v>309</v>
      </c>
      <c r="D958" s="371">
        <v>800000</v>
      </c>
    </row>
    <row r="959" spans="1:4" s="6" customFormat="1">
      <c r="A959" s="368" t="s">
        <v>180</v>
      </c>
      <c r="B959" s="369">
        <v>4170</v>
      </c>
      <c r="C959" s="370" t="s">
        <v>258</v>
      </c>
      <c r="D959" s="371">
        <v>1000</v>
      </c>
    </row>
    <row r="960" spans="1:4" s="6" customFormat="1">
      <c r="A960" s="368" t="s">
        <v>180</v>
      </c>
      <c r="B960" s="369">
        <v>4190</v>
      </c>
      <c r="C960" s="370" t="s">
        <v>259</v>
      </c>
      <c r="D960" s="371">
        <v>2000</v>
      </c>
    </row>
    <row r="961" spans="1:4" s="6" customFormat="1">
      <c r="A961" s="368" t="s">
        <v>180</v>
      </c>
      <c r="B961" s="369">
        <v>4210</v>
      </c>
      <c r="C961" s="370" t="s">
        <v>260</v>
      </c>
      <c r="D961" s="371">
        <v>2000</v>
      </c>
    </row>
    <row r="962" spans="1:4" s="6" customFormat="1">
      <c r="A962" s="368" t="s">
        <v>180</v>
      </c>
      <c r="B962" s="369">
        <v>4300</v>
      </c>
      <c r="C962" s="370" t="s">
        <v>264</v>
      </c>
      <c r="D962" s="371">
        <v>95000</v>
      </c>
    </row>
    <row r="963" spans="1:4" s="5" customFormat="1">
      <c r="A963" s="364">
        <v>85153</v>
      </c>
      <c r="B963" s="365" t="s">
        <v>180</v>
      </c>
      <c r="C963" s="366" t="s">
        <v>115</v>
      </c>
      <c r="D963" s="367">
        <f>SUM(D964:D968)</f>
        <v>480000</v>
      </c>
    </row>
    <row r="964" spans="1:4" s="6" customFormat="1" ht="45">
      <c r="A964" s="368" t="s">
        <v>180</v>
      </c>
      <c r="B964" s="369">
        <v>2360</v>
      </c>
      <c r="C964" s="370" t="s">
        <v>298</v>
      </c>
      <c r="D964" s="371">
        <v>350000</v>
      </c>
    </row>
    <row r="965" spans="1:4" s="6" customFormat="1">
      <c r="A965" s="368" t="s">
        <v>180</v>
      </c>
      <c r="B965" s="369">
        <v>4170</v>
      </c>
      <c r="C965" s="370" t="s">
        <v>258</v>
      </c>
      <c r="D965" s="371">
        <v>14000</v>
      </c>
    </row>
    <row r="966" spans="1:4" s="6" customFormat="1">
      <c r="A966" s="368" t="s">
        <v>180</v>
      </c>
      <c r="B966" s="369">
        <v>4190</v>
      </c>
      <c r="C966" s="370" t="s">
        <v>259</v>
      </c>
      <c r="D966" s="371">
        <v>11000</v>
      </c>
    </row>
    <row r="967" spans="1:4" s="6" customFormat="1">
      <c r="A967" s="368" t="s">
        <v>180</v>
      </c>
      <c r="B967" s="369">
        <v>4210</v>
      </c>
      <c r="C967" s="370" t="s">
        <v>260</v>
      </c>
      <c r="D967" s="371">
        <v>7000</v>
      </c>
    </row>
    <row r="968" spans="1:4" s="6" customFormat="1">
      <c r="A968" s="368" t="s">
        <v>180</v>
      </c>
      <c r="B968" s="369">
        <v>4300</v>
      </c>
      <c r="C968" s="370" t="s">
        <v>264</v>
      </c>
      <c r="D968" s="371">
        <v>98000</v>
      </c>
    </row>
    <row r="969" spans="1:4" s="5" customFormat="1">
      <c r="A969" s="364">
        <v>85154</v>
      </c>
      <c r="B969" s="365" t="s">
        <v>180</v>
      </c>
      <c r="C969" s="366" t="s">
        <v>116</v>
      </c>
      <c r="D969" s="367">
        <f>SUM(D970:D974)</f>
        <v>390000</v>
      </c>
    </row>
    <row r="970" spans="1:4" s="6" customFormat="1" ht="45">
      <c r="A970" s="368" t="s">
        <v>180</v>
      </c>
      <c r="B970" s="369">
        <v>2360</v>
      </c>
      <c r="C970" s="370" t="s">
        <v>298</v>
      </c>
      <c r="D970" s="371">
        <v>330000</v>
      </c>
    </row>
    <row r="971" spans="1:4" s="6" customFormat="1" ht="30">
      <c r="A971" s="368" t="s">
        <v>180</v>
      </c>
      <c r="B971" s="369">
        <v>2800</v>
      </c>
      <c r="C971" s="370" t="s">
        <v>278</v>
      </c>
      <c r="D971" s="371">
        <v>30000</v>
      </c>
    </row>
    <row r="972" spans="1:4" s="6" customFormat="1">
      <c r="A972" s="368" t="s">
        <v>180</v>
      </c>
      <c r="B972" s="369">
        <v>4170</v>
      </c>
      <c r="C972" s="370" t="s">
        <v>258</v>
      </c>
      <c r="D972" s="371">
        <v>3000</v>
      </c>
    </row>
    <row r="973" spans="1:4" s="6" customFormat="1">
      <c r="A973" s="368" t="s">
        <v>180</v>
      </c>
      <c r="B973" s="369">
        <v>4210</v>
      </c>
      <c r="C973" s="370" t="s">
        <v>260</v>
      </c>
      <c r="D973" s="371">
        <v>4000</v>
      </c>
    </row>
    <row r="974" spans="1:4" s="6" customFormat="1">
      <c r="A974" s="368" t="s">
        <v>180</v>
      </c>
      <c r="B974" s="369">
        <v>4300</v>
      </c>
      <c r="C974" s="370" t="s">
        <v>264</v>
      </c>
      <c r="D974" s="371">
        <v>23000</v>
      </c>
    </row>
    <row r="975" spans="1:4" s="5" customFormat="1" ht="30">
      <c r="A975" s="364">
        <v>85156</v>
      </c>
      <c r="B975" s="365" t="s">
        <v>180</v>
      </c>
      <c r="C975" s="366" t="s">
        <v>242</v>
      </c>
      <c r="D975" s="367">
        <f>D976</f>
        <v>16000</v>
      </c>
    </row>
    <row r="976" spans="1:4" s="6" customFormat="1">
      <c r="A976" s="368" t="s">
        <v>180</v>
      </c>
      <c r="B976" s="369">
        <v>4130</v>
      </c>
      <c r="C976" s="370" t="s">
        <v>310</v>
      </c>
      <c r="D976" s="371">
        <v>16000</v>
      </c>
    </row>
    <row r="977" spans="1:4" s="5" customFormat="1">
      <c r="A977" s="364">
        <v>85157</v>
      </c>
      <c r="B977" s="365" t="s">
        <v>180</v>
      </c>
      <c r="C977" s="366" t="s">
        <v>379</v>
      </c>
      <c r="D977" s="367">
        <f>D978</f>
        <v>15268956</v>
      </c>
    </row>
    <row r="978" spans="1:4" s="6" customFormat="1">
      <c r="A978" s="368" t="s">
        <v>180</v>
      </c>
      <c r="B978" s="369">
        <v>4320</v>
      </c>
      <c r="C978" s="370" t="s">
        <v>379</v>
      </c>
      <c r="D978" s="371">
        <v>15268956</v>
      </c>
    </row>
    <row r="979" spans="1:4" s="5" customFormat="1">
      <c r="A979" s="901">
        <v>85195</v>
      </c>
      <c r="B979" s="902" t="s">
        <v>180</v>
      </c>
      <c r="C979" s="903" t="s">
        <v>46</v>
      </c>
      <c r="D979" s="904">
        <f>SUM(D980:D1016)</f>
        <v>41694591</v>
      </c>
    </row>
    <row r="980" spans="1:4" s="6" customFormat="1" ht="60">
      <c r="A980" s="376" t="s">
        <v>180</v>
      </c>
      <c r="B980" s="377">
        <v>2007</v>
      </c>
      <c r="C980" s="378" t="s">
        <v>252</v>
      </c>
      <c r="D980" s="379">
        <v>553716</v>
      </c>
    </row>
    <row r="981" spans="1:4" s="6" customFormat="1" ht="60">
      <c r="A981" s="368" t="s">
        <v>180</v>
      </c>
      <c r="B981" s="369">
        <v>2009</v>
      </c>
      <c r="C981" s="370" t="s">
        <v>252</v>
      </c>
      <c r="D981" s="371">
        <v>625525</v>
      </c>
    </row>
    <row r="982" spans="1:4" s="6" customFormat="1" ht="60">
      <c r="A982" s="368" t="s">
        <v>180</v>
      </c>
      <c r="B982" s="369">
        <v>2059</v>
      </c>
      <c r="C982" s="370" t="s">
        <v>381</v>
      </c>
      <c r="D982" s="371">
        <v>200000</v>
      </c>
    </row>
    <row r="983" spans="1:4" s="6" customFormat="1">
      <c r="A983" s="368" t="s">
        <v>180</v>
      </c>
      <c r="B983" s="369">
        <v>4017</v>
      </c>
      <c r="C983" s="370" t="s">
        <v>254</v>
      </c>
      <c r="D983" s="371">
        <v>714342</v>
      </c>
    </row>
    <row r="984" spans="1:4" s="6" customFormat="1">
      <c r="A984" s="368" t="s">
        <v>180</v>
      </c>
      <c r="B984" s="369">
        <v>4019</v>
      </c>
      <c r="C984" s="370" t="s">
        <v>254</v>
      </c>
      <c r="D984" s="371">
        <v>108729</v>
      </c>
    </row>
    <row r="985" spans="1:4" s="6" customFormat="1">
      <c r="A985" s="368" t="s">
        <v>180</v>
      </c>
      <c r="B985" s="369">
        <v>4047</v>
      </c>
      <c r="C985" s="370" t="s">
        <v>255</v>
      </c>
      <c r="D985" s="371">
        <v>25260</v>
      </c>
    </row>
    <row r="986" spans="1:4" s="6" customFormat="1">
      <c r="A986" s="368" t="s">
        <v>180</v>
      </c>
      <c r="B986" s="369">
        <v>4049</v>
      </c>
      <c r="C986" s="370" t="s">
        <v>255</v>
      </c>
      <c r="D986" s="371">
        <v>2807</v>
      </c>
    </row>
    <row r="987" spans="1:4" s="6" customFormat="1">
      <c r="A987" s="368" t="s">
        <v>180</v>
      </c>
      <c r="B987" s="369">
        <v>4117</v>
      </c>
      <c r="C987" s="370" t="s">
        <v>256</v>
      </c>
      <c r="D987" s="371">
        <v>182919</v>
      </c>
    </row>
    <row r="988" spans="1:4" s="6" customFormat="1">
      <c r="A988" s="368" t="s">
        <v>180</v>
      </c>
      <c r="B988" s="369">
        <v>4119</v>
      </c>
      <c r="C988" s="370" t="s">
        <v>256</v>
      </c>
      <c r="D988" s="371">
        <v>29019</v>
      </c>
    </row>
    <row r="989" spans="1:4" s="6" customFormat="1">
      <c r="A989" s="368" t="s">
        <v>180</v>
      </c>
      <c r="B989" s="369">
        <v>4127</v>
      </c>
      <c r="C989" s="370" t="s">
        <v>257</v>
      </c>
      <c r="D989" s="371">
        <v>26072</v>
      </c>
    </row>
    <row r="990" spans="1:4" s="6" customFormat="1">
      <c r="A990" s="368" t="s">
        <v>180</v>
      </c>
      <c r="B990" s="369">
        <v>4129</v>
      </c>
      <c r="C990" s="370" t="s">
        <v>257</v>
      </c>
      <c r="D990" s="371">
        <v>4137</v>
      </c>
    </row>
    <row r="991" spans="1:4" s="6" customFormat="1">
      <c r="A991" s="368" t="s">
        <v>180</v>
      </c>
      <c r="B991" s="369">
        <v>4177</v>
      </c>
      <c r="C991" s="370" t="s">
        <v>258</v>
      </c>
      <c r="D991" s="371">
        <v>71180</v>
      </c>
    </row>
    <row r="992" spans="1:4" s="6" customFormat="1">
      <c r="A992" s="368" t="s">
        <v>180</v>
      </c>
      <c r="B992" s="369">
        <v>4179</v>
      </c>
      <c r="C992" s="370" t="s">
        <v>258</v>
      </c>
      <c r="D992" s="371">
        <v>9020</v>
      </c>
    </row>
    <row r="993" spans="1:4" s="6" customFormat="1">
      <c r="A993" s="368" t="s">
        <v>180</v>
      </c>
      <c r="B993" s="369">
        <v>4217</v>
      </c>
      <c r="C993" s="370" t="s">
        <v>260</v>
      </c>
      <c r="D993" s="371">
        <v>45000</v>
      </c>
    </row>
    <row r="994" spans="1:4" s="6" customFormat="1">
      <c r="A994" s="368" t="s">
        <v>180</v>
      </c>
      <c r="B994" s="369">
        <v>4219</v>
      </c>
      <c r="C994" s="370" t="s">
        <v>260</v>
      </c>
      <c r="D994" s="371">
        <v>5000</v>
      </c>
    </row>
    <row r="995" spans="1:4" s="6" customFormat="1">
      <c r="A995" s="368" t="s">
        <v>180</v>
      </c>
      <c r="B995" s="369">
        <v>4227</v>
      </c>
      <c r="C995" s="370" t="s">
        <v>261</v>
      </c>
      <c r="D995" s="371">
        <v>900</v>
      </c>
    </row>
    <row r="996" spans="1:4" s="6" customFormat="1">
      <c r="A996" s="368" t="s">
        <v>180</v>
      </c>
      <c r="B996" s="369">
        <v>4229</v>
      </c>
      <c r="C996" s="370" t="s">
        <v>261</v>
      </c>
      <c r="D996" s="371">
        <v>100</v>
      </c>
    </row>
    <row r="997" spans="1:4" s="6" customFormat="1">
      <c r="A997" s="368" t="s">
        <v>180</v>
      </c>
      <c r="B997" s="369">
        <v>4267</v>
      </c>
      <c r="C997" s="370" t="s">
        <v>262</v>
      </c>
      <c r="D997" s="371">
        <v>2700</v>
      </c>
    </row>
    <row r="998" spans="1:4" s="6" customFormat="1">
      <c r="A998" s="368" t="s">
        <v>180</v>
      </c>
      <c r="B998" s="369">
        <v>4269</v>
      </c>
      <c r="C998" s="370" t="s">
        <v>262</v>
      </c>
      <c r="D998" s="371">
        <v>300</v>
      </c>
    </row>
    <row r="999" spans="1:4" s="6" customFormat="1">
      <c r="A999" s="368" t="s">
        <v>180</v>
      </c>
      <c r="B999" s="369">
        <v>4277</v>
      </c>
      <c r="C999" s="370" t="s">
        <v>263</v>
      </c>
      <c r="D999" s="371">
        <v>13706</v>
      </c>
    </row>
    <row r="1000" spans="1:4" s="6" customFormat="1">
      <c r="A1000" s="368" t="s">
        <v>180</v>
      </c>
      <c r="B1000" s="369">
        <v>4279</v>
      </c>
      <c r="C1000" s="370" t="s">
        <v>263</v>
      </c>
      <c r="D1000" s="371">
        <v>1523</v>
      </c>
    </row>
    <row r="1001" spans="1:4" s="6" customFormat="1">
      <c r="A1001" s="368" t="s">
        <v>180</v>
      </c>
      <c r="B1001" s="369">
        <v>4300</v>
      </c>
      <c r="C1001" s="370" t="s">
        <v>264</v>
      </c>
      <c r="D1001" s="371">
        <v>20000</v>
      </c>
    </row>
    <row r="1002" spans="1:4" s="6" customFormat="1">
      <c r="A1002" s="368" t="s">
        <v>180</v>
      </c>
      <c r="B1002" s="369">
        <v>4307</v>
      </c>
      <c r="C1002" s="370" t="s">
        <v>264</v>
      </c>
      <c r="D1002" s="371">
        <v>4146057</v>
      </c>
    </row>
    <row r="1003" spans="1:4" s="6" customFormat="1">
      <c r="A1003" s="368" t="s">
        <v>180</v>
      </c>
      <c r="B1003" s="369">
        <v>4309</v>
      </c>
      <c r="C1003" s="370" t="s">
        <v>264</v>
      </c>
      <c r="D1003" s="371">
        <v>728629</v>
      </c>
    </row>
    <row r="1004" spans="1:4" s="6" customFormat="1">
      <c r="A1004" s="368" t="s">
        <v>180</v>
      </c>
      <c r="B1004" s="369">
        <v>4367</v>
      </c>
      <c r="C1004" s="370" t="s">
        <v>265</v>
      </c>
      <c r="D1004" s="371">
        <v>1350</v>
      </c>
    </row>
    <row r="1005" spans="1:4" s="6" customFormat="1">
      <c r="A1005" s="368" t="s">
        <v>180</v>
      </c>
      <c r="B1005" s="369">
        <v>4369</v>
      </c>
      <c r="C1005" s="370" t="s">
        <v>265</v>
      </c>
      <c r="D1005" s="371">
        <v>150</v>
      </c>
    </row>
    <row r="1006" spans="1:4" s="6" customFormat="1">
      <c r="A1006" s="368" t="s">
        <v>180</v>
      </c>
      <c r="B1006" s="369">
        <v>4417</v>
      </c>
      <c r="C1006" s="370" t="s">
        <v>267</v>
      </c>
      <c r="D1006" s="371">
        <v>2700</v>
      </c>
    </row>
    <row r="1007" spans="1:4" s="6" customFormat="1">
      <c r="A1007" s="368" t="s">
        <v>180</v>
      </c>
      <c r="B1007" s="369">
        <v>4419</v>
      </c>
      <c r="C1007" s="370" t="s">
        <v>267</v>
      </c>
      <c r="D1007" s="371">
        <v>300</v>
      </c>
    </row>
    <row r="1008" spans="1:4" s="6" customFormat="1">
      <c r="A1008" s="368" t="s">
        <v>180</v>
      </c>
      <c r="B1008" s="369">
        <v>4447</v>
      </c>
      <c r="C1008" s="370" t="s">
        <v>289</v>
      </c>
      <c r="D1008" s="371">
        <v>1164</v>
      </c>
    </row>
    <row r="1009" spans="1:4" s="6" customFormat="1">
      <c r="A1009" s="368" t="s">
        <v>180</v>
      </c>
      <c r="B1009" s="369">
        <v>4449</v>
      </c>
      <c r="C1009" s="370" t="s">
        <v>289</v>
      </c>
      <c r="D1009" s="371">
        <v>129</v>
      </c>
    </row>
    <row r="1010" spans="1:4" s="6" customFormat="1">
      <c r="A1010" s="368" t="s">
        <v>180</v>
      </c>
      <c r="B1010" s="369">
        <v>4707</v>
      </c>
      <c r="C1010" s="370" t="s">
        <v>270</v>
      </c>
      <c r="D1010" s="371">
        <v>2700</v>
      </c>
    </row>
    <row r="1011" spans="1:4" s="6" customFormat="1">
      <c r="A1011" s="368" t="s">
        <v>180</v>
      </c>
      <c r="B1011" s="369">
        <v>4709</v>
      </c>
      <c r="C1011" s="370" t="s">
        <v>270</v>
      </c>
      <c r="D1011" s="371">
        <v>300</v>
      </c>
    </row>
    <row r="1012" spans="1:4" s="6" customFormat="1">
      <c r="A1012" s="368" t="s">
        <v>180</v>
      </c>
      <c r="B1012" s="369">
        <v>4717</v>
      </c>
      <c r="C1012" s="370" t="s">
        <v>294</v>
      </c>
      <c r="D1012" s="371">
        <v>5973</v>
      </c>
    </row>
    <row r="1013" spans="1:4" s="6" customFormat="1">
      <c r="A1013" s="368" t="s">
        <v>180</v>
      </c>
      <c r="B1013" s="369">
        <v>4719</v>
      </c>
      <c r="C1013" s="370" t="s">
        <v>294</v>
      </c>
      <c r="D1013" s="371">
        <v>830</v>
      </c>
    </row>
    <row r="1014" spans="1:4" s="6" customFormat="1">
      <c r="A1014" s="368" t="s">
        <v>180</v>
      </c>
      <c r="B1014" s="369">
        <v>6010</v>
      </c>
      <c r="C1014" s="370" t="s">
        <v>299</v>
      </c>
      <c r="D1014" s="371">
        <v>19000000</v>
      </c>
    </row>
    <row r="1015" spans="1:4" s="6" customFormat="1" ht="60">
      <c r="A1015" s="368" t="s">
        <v>180</v>
      </c>
      <c r="B1015" s="369">
        <v>6207</v>
      </c>
      <c r="C1015" s="370" t="s">
        <v>279</v>
      </c>
      <c r="D1015" s="371">
        <v>13646119</v>
      </c>
    </row>
    <row r="1016" spans="1:4" s="6" customFormat="1" ht="60">
      <c r="A1016" s="372" t="s">
        <v>180</v>
      </c>
      <c r="B1016" s="373">
        <v>6209</v>
      </c>
      <c r="C1016" s="374" t="s">
        <v>279</v>
      </c>
      <c r="D1016" s="375">
        <v>1516235</v>
      </c>
    </row>
    <row r="1017" spans="1:4" s="5" customFormat="1">
      <c r="A1017" s="362" t="s">
        <v>146</v>
      </c>
      <c r="B1017" s="380" t="s">
        <v>180</v>
      </c>
      <c r="C1017" s="264" t="s">
        <v>117</v>
      </c>
      <c r="D1017" s="363">
        <f>D1018+D1020+D1030+D1059+D1061</f>
        <v>31545348</v>
      </c>
    </row>
    <row r="1018" spans="1:4" s="5" customFormat="1">
      <c r="A1018" s="364">
        <v>85203</v>
      </c>
      <c r="B1018" s="365" t="s">
        <v>180</v>
      </c>
      <c r="C1018" s="366" t="s">
        <v>118</v>
      </c>
      <c r="D1018" s="367">
        <f>D1019</f>
        <v>1000000</v>
      </c>
    </row>
    <row r="1019" spans="1:4" s="6" customFormat="1" ht="60">
      <c r="A1019" s="368" t="s">
        <v>180</v>
      </c>
      <c r="B1019" s="369">
        <v>2009</v>
      </c>
      <c r="C1019" s="370" t="s">
        <v>252</v>
      </c>
      <c r="D1019" s="371">
        <v>1000000</v>
      </c>
    </row>
    <row r="1020" spans="1:4" s="5" customFormat="1">
      <c r="A1020" s="364">
        <v>85205</v>
      </c>
      <c r="B1020" s="365" t="s">
        <v>180</v>
      </c>
      <c r="C1020" s="366" t="s">
        <v>119</v>
      </c>
      <c r="D1020" s="367">
        <f>SUM(D1021:D1029)</f>
        <v>500000</v>
      </c>
    </row>
    <row r="1021" spans="1:4" s="6" customFormat="1" ht="45">
      <c r="A1021" s="372" t="s">
        <v>180</v>
      </c>
      <c r="B1021" s="373">
        <v>2360</v>
      </c>
      <c r="C1021" s="374" t="s">
        <v>298</v>
      </c>
      <c r="D1021" s="375">
        <v>40000</v>
      </c>
    </row>
    <row r="1022" spans="1:4" s="6" customFormat="1" ht="30">
      <c r="A1022" s="376" t="s">
        <v>180</v>
      </c>
      <c r="B1022" s="377">
        <v>2800</v>
      </c>
      <c r="C1022" s="378" t="s">
        <v>278</v>
      </c>
      <c r="D1022" s="379">
        <v>30000</v>
      </c>
    </row>
    <row r="1023" spans="1:4" s="6" customFormat="1">
      <c r="A1023" s="368" t="s">
        <v>180</v>
      </c>
      <c r="B1023" s="369">
        <v>4110</v>
      </c>
      <c r="C1023" s="370" t="s">
        <v>256</v>
      </c>
      <c r="D1023" s="371">
        <v>3000</v>
      </c>
    </row>
    <row r="1024" spans="1:4" s="6" customFormat="1">
      <c r="A1024" s="368" t="s">
        <v>180</v>
      </c>
      <c r="B1024" s="369">
        <v>4120</v>
      </c>
      <c r="C1024" s="370" t="s">
        <v>257</v>
      </c>
      <c r="D1024" s="371">
        <v>500</v>
      </c>
    </row>
    <row r="1025" spans="1:4" s="6" customFormat="1">
      <c r="A1025" s="368" t="s">
        <v>180</v>
      </c>
      <c r="B1025" s="369">
        <v>4170</v>
      </c>
      <c r="C1025" s="370" t="s">
        <v>258</v>
      </c>
      <c r="D1025" s="371">
        <v>168800</v>
      </c>
    </row>
    <row r="1026" spans="1:4" s="6" customFormat="1">
      <c r="A1026" s="368" t="s">
        <v>180</v>
      </c>
      <c r="B1026" s="369">
        <v>4210</v>
      </c>
      <c r="C1026" s="370" t="s">
        <v>260</v>
      </c>
      <c r="D1026" s="371">
        <v>2000</v>
      </c>
    </row>
    <row r="1027" spans="1:4" s="6" customFormat="1">
      <c r="A1027" s="368" t="s">
        <v>180</v>
      </c>
      <c r="B1027" s="369">
        <v>4220</v>
      </c>
      <c r="C1027" s="370" t="s">
        <v>261</v>
      </c>
      <c r="D1027" s="371">
        <v>1000</v>
      </c>
    </row>
    <row r="1028" spans="1:4" s="6" customFormat="1" ht="15.75" customHeight="1">
      <c r="A1028" s="368" t="s">
        <v>180</v>
      </c>
      <c r="B1028" s="369">
        <v>4300</v>
      </c>
      <c r="C1028" s="370" t="s">
        <v>264</v>
      </c>
      <c r="D1028" s="371">
        <v>247700</v>
      </c>
    </row>
    <row r="1029" spans="1:4" s="6" customFormat="1" ht="15.75" customHeight="1">
      <c r="A1029" s="368" t="s">
        <v>180</v>
      </c>
      <c r="B1029" s="369">
        <v>4360</v>
      </c>
      <c r="C1029" s="370" t="s">
        <v>265</v>
      </c>
      <c r="D1029" s="371">
        <v>7000</v>
      </c>
    </row>
    <row r="1030" spans="1:4" s="5" customFormat="1" ht="15.75" customHeight="1">
      <c r="A1030" s="364">
        <v>85217</v>
      </c>
      <c r="B1030" s="365" t="s">
        <v>180</v>
      </c>
      <c r="C1030" s="366" t="s">
        <v>120</v>
      </c>
      <c r="D1030" s="367">
        <f>SUM(D1031:D1058)</f>
        <v>4147218</v>
      </c>
    </row>
    <row r="1031" spans="1:4" s="6" customFormat="1" ht="15.75" customHeight="1">
      <c r="A1031" s="368" t="s">
        <v>180</v>
      </c>
      <c r="B1031" s="369">
        <v>3020</v>
      </c>
      <c r="C1031" s="370" t="s">
        <v>286</v>
      </c>
      <c r="D1031" s="371">
        <v>3900</v>
      </c>
    </row>
    <row r="1032" spans="1:4" s="6" customFormat="1" ht="15.75" customHeight="1">
      <c r="A1032" s="368" t="s">
        <v>180</v>
      </c>
      <c r="B1032" s="369">
        <v>4010</v>
      </c>
      <c r="C1032" s="370" t="s">
        <v>254</v>
      </c>
      <c r="D1032" s="371">
        <v>1980024</v>
      </c>
    </row>
    <row r="1033" spans="1:4" s="6" customFormat="1" ht="15.75" customHeight="1">
      <c r="A1033" s="368" t="s">
        <v>180</v>
      </c>
      <c r="B1033" s="369">
        <v>4040</v>
      </c>
      <c r="C1033" s="370" t="s">
        <v>255</v>
      </c>
      <c r="D1033" s="371">
        <v>138128</v>
      </c>
    </row>
    <row r="1034" spans="1:4" s="6" customFormat="1" ht="15.75" customHeight="1">
      <c r="A1034" s="368" t="s">
        <v>180</v>
      </c>
      <c r="B1034" s="369">
        <v>4110</v>
      </c>
      <c r="C1034" s="370" t="s">
        <v>256</v>
      </c>
      <c r="D1034" s="371">
        <v>349112</v>
      </c>
    </row>
    <row r="1035" spans="1:4" s="6" customFormat="1" ht="15.75" customHeight="1">
      <c r="A1035" s="368" t="s">
        <v>180</v>
      </c>
      <c r="B1035" s="369">
        <v>4120</v>
      </c>
      <c r="C1035" s="370" t="s">
        <v>257</v>
      </c>
      <c r="D1035" s="371">
        <v>49760</v>
      </c>
    </row>
    <row r="1036" spans="1:4" s="6" customFormat="1" ht="15.75" customHeight="1">
      <c r="A1036" s="368" t="s">
        <v>180</v>
      </c>
      <c r="B1036" s="369">
        <v>4140</v>
      </c>
      <c r="C1036" s="370" t="s">
        <v>287</v>
      </c>
      <c r="D1036" s="371">
        <v>45951</v>
      </c>
    </row>
    <row r="1037" spans="1:4" s="6" customFormat="1" ht="15.75" customHeight="1">
      <c r="A1037" s="368" t="s">
        <v>180</v>
      </c>
      <c r="B1037" s="369">
        <v>4170</v>
      </c>
      <c r="C1037" s="370" t="s">
        <v>258</v>
      </c>
      <c r="D1037" s="371">
        <v>5000</v>
      </c>
    </row>
    <row r="1038" spans="1:4" s="6" customFormat="1">
      <c r="A1038" s="368" t="s">
        <v>180</v>
      </c>
      <c r="B1038" s="369">
        <v>4210</v>
      </c>
      <c r="C1038" s="370" t="s">
        <v>260</v>
      </c>
      <c r="D1038" s="371">
        <v>122440</v>
      </c>
    </row>
    <row r="1039" spans="1:4" s="6" customFormat="1">
      <c r="A1039" s="368" t="s">
        <v>180</v>
      </c>
      <c r="B1039" s="369">
        <v>4220</v>
      </c>
      <c r="C1039" s="370" t="s">
        <v>261</v>
      </c>
      <c r="D1039" s="371">
        <v>1000</v>
      </c>
    </row>
    <row r="1040" spans="1:4" s="6" customFormat="1" ht="15.75" customHeight="1">
      <c r="A1040" s="368" t="s">
        <v>180</v>
      </c>
      <c r="B1040" s="369">
        <v>4260</v>
      </c>
      <c r="C1040" s="370" t="s">
        <v>262</v>
      </c>
      <c r="D1040" s="371">
        <v>58000</v>
      </c>
    </row>
    <row r="1041" spans="1:4" s="6" customFormat="1" ht="15.75" customHeight="1">
      <c r="A1041" s="368" t="s">
        <v>180</v>
      </c>
      <c r="B1041" s="369">
        <v>4270</v>
      </c>
      <c r="C1041" s="370" t="s">
        <v>263</v>
      </c>
      <c r="D1041" s="371">
        <v>27000</v>
      </c>
    </row>
    <row r="1042" spans="1:4" s="6" customFormat="1" ht="15.75" customHeight="1">
      <c r="A1042" s="368" t="s">
        <v>180</v>
      </c>
      <c r="B1042" s="369">
        <v>4280</v>
      </c>
      <c r="C1042" s="370" t="s">
        <v>288</v>
      </c>
      <c r="D1042" s="371">
        <v>3750</v>
      </c>
    </row>
    <row r="1043" spans="1:4" s="6" customFormat="1" ht="15.75" customHeight="1">
      <c r="A1043" s="368" t="s">
        <v>180</v>
      </c>
      <c r="B1043" s="369">
        <v>4300</v>
      </c>
      <c r="C1043" s="370" t="s">
        <v>264</v>
      </c>
      <c r="D1043" s="371">
        <v>182449</v>
      </c>
    </row>
    <row r="1044" spans="1:4" s="6" customFormat="1" ht="15.75" customHeight="1">
      <c r="A1044" s="368" t="s">
        <v>180</v>
      </c>
      <c r="B1044" s="369">
        <v>4360</v>
      </c>
      <c r="C1044" s="370" t="s">
        <v>265</v>
      </c>
      <c r="D1044" s="371">
        <v>22400</v>
      </c>
    </row>
    <row r="1045" spans="1:4" s="6" customFormat="1" ht="15.75" customHeight="1">
      <c r="A1045" s="368" t="s">
        <v>180</v>
      </c>
      <c r="B1045" s="369">
        <v>4390</v>
      </c>
      <c r="C1045" s="370" t="s">
        <v>281</v>
      </c>
      <c r="D1045" s="371">
        <v>15000</v>
      </c>
    </row>
    <row r="1046" spans="1:4" s="6" customFormat="1" ht="15.75" customHeight="1">
      <c r="A1046" s="368" t="s">
        <v>180</v>
      </c>
      <c r="B1046" s="369">
        <v>4410</v>
      </c>
      <c r="C1046" s="370" t="s">
        <v>267</v>
      </c>
      <c r="D1046" s="371">
        <v>8000</v>
      </c>
    </row>
    <row r="1047" spans="1:4" s="6" customFormat="1" ht="15.75" customHeight="1">
      <c r="A1047" s="368" t="s">
        <v>180</v>
      </c>
      <c r="B1047" s="369">
        <v>4430</v>
      </c>
      <c r="C1047" s="370" t="s">
        <v>269</v>
      </c>
      <c r="D1047" s="371">
        <v>5500</v>
      </c>
    </row>
    <row r="1048" spans="1:4" s="6" customFormat="1" ht="15.75" customHeight="1">
      <c r="A1048" s="368" t="s">
        <v>180</v>
      </c>
      <c r="B1048" s="369">
        <v>4440</v>
      </c>
      <c r="C1048" s="370" t="s">
        <v>289</v>
      </c>
      <c r="D1048" s="371">
        <v>57095</v>
      </c>
    </row>
    <row r="1049" spans="1:4" s="6" customFormat="1" ht="15.75" customHeight="1">
      <c r="A1049" s="368" t="s">
        <v>180</v>
      </c>
      <c r="B1049" s="369">
        <v>4480</v>
      </c>
      <c r="C1049" s="370" t="s">
        <v>290</v>
      </c>
      <c r="D1049" s="371">
        <v>9800</v>
      </c>
    </row>
    <row r="1050" spans="1:4" s="6" customFormat="1" ht="15.75" customHeight="1">
      <c r="A1050" s="368" t="s">
        <v>180</v>
      </c>
      <c r="B1050" s="369">
        <v>4510</v>
      </c>
      <c r="C1050" s="370" t="s">
        <v>292</v>
      </c>
      <c r="D1050" s="371">
        <v>300</v>
      </c>
    </row>
    <row r="1051" spans="1:4" s="6" customFormat="1" ht="15.75" customHeight="1">
      <c r="A1051" s="368" t="s">
        <v>180</v>
      </c>
      <c r="B1051" s="369">
        <v>4520</v>
      </c>
      <c r="C1051" s="370" t="s">
        <v>293</v>
      </c>
      <c r="D1051" s="371">
        <v>25762</v>
      </c>
    </row>
    <row r="1052" spans="1:4" s="6" customFormat="1" ht="15.75" customHeight="1">
      <c r="A1052" s="368" t="s">
        <v>180</v>
      </c>
      <c r="B1052" s="369">
        <v>4540</v>
      </c>
      <c r="C1052" s="370" t="s">
        <v>277</v>
      </c>
      <c r="D1052" s="371">
        <v>6000</v>
      </c>
    </row>
    <row r="1053" spans="1:4" s="6" customFormat="1" ht="15.75" customHeight="1">
      <c r="A1053" s="368" t="s">
        <v>180</v>
      </c>
      <c r="B1053" s="369">
        <v>4700</v>
      </c>
      <c r="C1053" s="370" t="s">
        <v>270</v>
      </c>
      <c r="D1053" s="371">
        <v>6000</v>
      </c>
    </row>
    <row r="1054" spans="1:4" s="6" customFormat="1" ht="15.75" customHeight="1">
      <c r="A1054" s="368" t="s">
        <v>180</v>
      </c>
      <c r="B1054" s="369">
        <v>4710</v>
      </c>
      <c r="C1054" s="370" t="s">
        <v>294</v>
      </c>
      <c r="D1054" s="371">
        <v>30510</v>
      </c>
    </row>
    <row r="1055" spans="1:4" s="6" customFormat="1" ht="15.75" customHeight="1">
      <c r="A1055" s="368" t="s">
        <v>180</v>
      </c>
      <c r="B1055" s="369">
        <v>6050</v>
      </c>
      <c r="C1055" s="370" t="s">
        <v>282</v>
      </c>
      <c r="D1055" s="371">
        <v>98091</v>
      </c>
    </row>
    <row r="1056" spans="1:4" s="6" customFormat="1" ht="15.75" customHeight="1">
      <c r="A1056" s="368" t="s">
        <v>180</v>
      </c>
      <c r="B1056" s="369">
        <v>6057</v>
      </c>
      <c r="C1056" s="370" t="s">
        <v>282</v>
      </c>
      <c r="D1056" s="371">
        <v>718459</v>
      </c>
    </row>
    <row r="1057" spans="1:4" s="6" customFormat="1" ht="15.75" customHeight="1">
      <c r="A1057" s="368" t="s">
        <v>180</v>
      </c>
      <c r="B1057" s="369">
        <v>6059</v>
      </c>
      <c r="C1057" s="370" t="s">
        <v>282</v>
      </c>
      <c r="D1057" s="371">
        <v>126787</v>
      </c>
    </row>
    <row r="1058" spans="1:4" s="6" customFormat="1" ht="15.75" customHeight="1">
      <c r="A1058" s="368" t="s">
        <v>180</v>
      </c>
      <c r="B1058" s="369">
        <v>6060</v>
      </c>
      <c r="C1058" s="370" t="s">
        <v>295</v>
      </c>
      <c r="D1058" s="371">
        <v>51000</v>
      </c>
    </row>
    <row r="1059" spans="1:4" s="5" customFormat="1" ht="15.75" customHeight="1">
      <c r="A1059" s="364">
        <v>85228</v>
      </c>
      <c r="B1059" s="365" t="s">
        <v>180</v>
      </c>
      <c r="C1059" s="366" t="s">
        <v>121</v>
      </c>
      <c r="D1059" s="367">
        <f>D1060</f>
        <v>80000</v>
      </c>
    </row>
    <row r="1060" spans="1:4" s="6" customFormat="1" ht="60">
      <c r="A1060" s="368" t="s">
        <v>180</v>
      </c>
      <c r="B1060" s="369">
        <v>2059</v>
      </c>
      <c r="C1060" s="370" t="s">
        <v>381</v>
      </c>
      <c r="D1060" s="371">
        <v>80000</v>
      </c>
    </row>
    <row r="1061" spans="1:4" s="5" customFormat="1">
      <c r="A1061" s="364">
        <v>85295</v>
      </c>
      <c r="B1061" s="365" t="s">
        <v>180</v>
      </c>
      <c r="C1061" s="366" t="s">
        <v>46</v>
      </c>
      <c r="D1061" s="367">
        <f>SUM(D1062:D1106)</f>
        <v>25818130</v>
      </c>
    </row>
    <row r="1062" spans="1:4" s="6" customFormat="1" ht="60">
      <c r="A1062" s="368" t="s">
        <v>180</v>
      </c>
      <c r="B1062" s="369">
        <v>2007</v>
      </c>
      <c r="C1062" s="370" t="s">
        <v>252</v>
      </c>
      <c r="D1062" s="371">
        <v>3158441</v>
      </c>
    </row>
    <row r="1063" spans="1:4" s="6" customFormat="1" ht="60">
      <c r="A1063" s="368" t="s">
        <v>180</v>
      </c>
      <c r="B1063" s="369">
        <v>2009</v>
      </c>
      <c r="C1063" s="370" t="s">
        <v>252</v>
      </c>
      <c r="D1063" s="371">
        <v>3509804</v>
      </c>
    </row>
    <row r="1064" spans="1:4" s="6" customFormat="1" ht="60">
      <c r="A1064" s="368" t="s">
        <v>180</v>
      </c>
      <c r="B1064" s="369">
        <v>2057</v>
      </c>
      <c r="C1064" s="370" t="s">
        <v>381</v>
      </c>
      <c r="D1064" s="371">
        <v>5137741</v>
      </c>
    </row>
    <row r="1065" spans="1:4" s="6" customFormat="1" ht="60">
      <c r="A1065" s="368" t="s">
        <v>180</v>
      </c>
      <c r="B1065" s="369">
        <v>2059</v>
      </c>
      <c r="C1065" s="370" t="s">
        <v>381</v>
      </c>
      <c r="D1065" s="371">
        <v>1770783</v>
      </c>
    </row>
    <row r="1066" spans="1:4" s="6" customFormat="1">
      <c r="A1066" s="372" t="s">
        <v>180</v>
      </c>
      <c r="B1066" s="373">
        <v>3037</v>
      </c>
      <c r="C1066" s="374" t="s">
        <v>280</v>
      </c>
      <c r="D1066" s="375">
        <v>1105</v>
      </c>
    </row>
    <row r="1067" spans="1:4" s="6" customFormat="1">
      <c r="A1067" s="376" t="s">
        <v>180</v>
      </c>
      <c r="B1067" s="377">
        <v>3039</v>
      </c>
      <c r="C1067" s="378" t="s">
        <v>280</v>
      </c>
      <c r="D1067" s="379">
        <v>195</v>
      </c>
    </row>
    <row r="1068" spans="1:4" s="6" customFormat="1">
      <c r="A1068" s="368" t="s">
        <v>180</v>
      </c>
      <c r="B1068" s="369">
        <v>3040</v>
      </c>
      <c r="C1068" s="370" t="s">
        <v>301</v>
      </c>
      <c r="D1068" s="371">
        <v>45000</v>
      </c>
    </row>
    <row r="1069" spans="1:4" s="6" customFormat="1">
      <c r="A1069" s="368" t="s">
        <v>180</v>
      </c>
      <c r="B1069" s="369">
        <v>4017</v>
      </c>
      <c r="C1069" s="370" t="s">
        <v>254</v>
      </c>
      <c r="D1069" s="371">
        <v>1438670</v>
      </c>
    </row>
    <row r="1070" spans="1:4" s="6" customFormat="1">
      <c r="A1070" s="368" t="s">
        <v>180</v>
      </c>
      <c r="B1070" s="369">
        <v>4019</v>
      </c>
      <c r="C1070" s="370" t="s">
        <v>254</v>
      </c>
      <c r="D1070" s="371">
        <v>150381</v>
      </c>
    </row>
    <row r="1071" spans="1:4" s="6" customFormat="1">
      <c r="A1071" s="368" t="s">
        <v>180</v>
      </c>
      <c r="B1071" s="369">
        <v>4047</v>
      </c>
      <c r="C1071" s="370" t="s">
        <v>255</v>
      </c>
      <c r="D1071" s="371">
        <v>127961</v>
      </c>
    </row>
    <row r="1072" spans="1:4" s="6" customFormat="1">
      <c r="A1072" s="368" t="s">
        <v>180</v>
      </c>
      <c r="B1072" s="369">
        <v>4049</v>
      </c>
      <c r="C1072" s="370" t="s">
        <v>255</v>
      </c>
      <c r="D1072" s="371">
        <v>14280</v>
      </c>
    </row>
    <row r="1073" spans="1:4" s="6" customFormat="1">
      <c r="A1073" s="368" t="s">
        <v>180</v>
      </c>
      <c r="B1073" s="369">
        <v>4117</v>
      </c>
      <c r="C1073" s="370" t="s">
        <v>256</v>
      </c>
      <c r="D1073" s="371">
        <v>269305</v>
      </c>
    </row>
    <row r="1074" spans="1:4" s="6" customFormat="1">
      <c r="A1074" s="368" t="s">
        <v>180</v>
      </c>
      <c r="B1074" s="369">
        <v>4119</v>
      </c>
      <c r="C1074" s="370" t="s">
        <v>256</v>
      </c>
      <c r="D1074" s="371">
        <v>28304</v>
      </c>
    </row>
    <row r="1075" spans="1:4" s="6" customFormat="1">
      <c r="A1075" s="368" t="s">
        <v>180</v>
      </c>
      <c r="B1075" s="369">
        <v>4127</v>
      </c>
      <c r="C1075" s="370" t="s">
        <v>257</v>
      </c>
      <c r="D1075" s="371">
        <v>38382</v>
      </c>
    </row>
    <row r="1076" spans="1:4" s="6" customFormat="1">
      <c r="A1076" s="368" t="s">
        <v>180</v>
      </c>
      <c r="B1076" s="369">
        <v>4129</v>
      </c>
      <c r="C1076" s="370" t="s">
        <v>257</v>
      </c>
      <c r="D1076" s="371">
        <v>4035</v>
      </c>
    </row>
    <row r="1077" spans="1:4" s="6" customFormat="1">
      <c r="A1077" s="368" t="s">
        <v>180</v>
      </c>
      <c r="B1077" s="369">
        <v>4177</v>
      </c>
      <c r="C1077" s="370" t="s">
        <v>258</v>
      </c>
      <c r="D1077" s="371">
        <v>207066</v>
      </c>
    </row>
    <row r="1078" spans="1:4" s="6" customFormat="1">
      <c r="A1078" s="368" t="s">
        <v>180</v>
      </c>
      <c r="B1078" s="369">
        <v>4179</v>
      </c>
      <c r="C1078" s="370" t="s">
        <v>258</v>
      </c>
      <c r="D1078" s="371">
        <v>25289</v>
      </c>
    </row>
    <row r="1079" spans="1:4" s="6" customFormat="1">
      <c r="A1079" s="368" t="s">
        <v>180</v>
      </c>
      <c r="B1079" s="369">
        <v>4217</v>
      </c>
      <c r="C1079" s="370" t="s">
        <v>260</v>
      </c>
      <c r="D1079" s="371">
        <v>137223</v>
      </c>
    </row>
    <row r="1080" spans="1:4" s="6" customFormat="1">
      <c r="A1080" s="368" t="s">
        <v>180</v>
      </c>
      <c r="B1080" s="369">
        <v>4219</v>
      </c>
      <c r="C1080" s="370" t="s">
        <v>260</v>
      </c>
      <c r="D1080" s="371">
        <v>12741</v>
      </c>
    </row>
    <row r="1081" spans="1:4" s="6" customFormat="1">
      <c r="A1081" s="368" t="s">
        <v>180</v>
      </c>
      <c r="B1081" s="369">
        <v>4227</v>
      </c>
      <c r="C1081" s="370" t="s">
        <v>261</v>
      </c>
      <c r="D1081" s="371">
        <v>5030</v>
      </c>
    </row>
    <row r="1082" spans="1:4" s="6" customFormat="1">
      <c r="A1082" s="368" t="s">
        <v>180</v>
      </c>
      <c r="B1082" s="369">
        <v>4229</v>
      </c>
      <c r="C1082" s="370" t="s">
        <v>261</v>
      </c>
      <c r="D1082" s="371">
        <v>645</v>
      </c>
    </row>
    <row r="1083" spans="1:4" s="6" customFormat="1">
      <c r="A1083" s="368" t="s">
        <v>180</v>
      </c>
      <c r="B1083" s="369">
        <v>4267</v>
      </c>
      <c r="C1083" s="370" t="s">
        <v>262</v>
      </c>
      <c r="D1083" s="371">
        <v>13717</v>
      </c>
    </row>
    <row r="1084" spans="1:4" s="6" customFormat="1">
      <c r="A1084" s="368" t="s">
        <v>180</v>
      </c>
      <c r="B1084" s="369">
        <v>4269</v>
      </c>
      <c r="C1084" s="370" t="s">
        <v>262</v>
      </c>
      <c r="D1084" s="371">
        <v>1083</v>
      </c>
    </row>
    <row r="1085" spans="1:4" s="6" customFormat="1">
      <c r="A1085" s="368" t="s">
        <v>180</v>
      </c>
      <c r="B1085" s="369">
        <v>4287</v>
      </c>
      <c r="C1085" s="370" t="s">
        <v>288</v>
      </c>
      <c r="D1085" s="371">
        <v>2800</v>
      </c>
    </row>
    <row r="1086" spans="1:4" s="6" customFormat="1">
      <c r="A1086" s="368" t="s">
        <v>180</v>
      </c>
      <c r="B1086" s="369">
        <v>4300</v>
      </c>
      <c r="C1086" s="370" t="s">
        <v>264</v>
      </c>
      <c r="D1086" s="371">
        <v>15000</v>
      </c>
    </row>
    <row r="1087" spans="1:4" s="6" customFormat="1">
      <c r="A1087" s="368" t="s">
        <v>180</v>
      </c>
      <c r="B1087" s="369">
        <v>4307</v>
      </c>
      <c r="C1087" s="370" t="s">
        <v>264</v>
      </c>
      <c r="D1087" s="371">
        <v>4900768</v>
      </c>
    </row>
    <row r="1088" spans="1:4" s="6" customFormat="1">
      <c r="A1088" s="368" t="s">
        <v>180</v>
      </c>
      <c r="B1088" s="369">
        <v>4309</v>
      </c>
      <c r="C1088" s="370" t="s">
        <v>264</v>
      </c>
      <c r="D1088" s="371">
        <v>251712</v>
      </c>
    </row>
    <row r="1089" spans="1:4" s="6" customFormat="1">
      <c r="A1089" s="368" t="s">
        <v>180</v>
      </c>
      <c r="B1089" s="369">
        <v>4367</v>
      </c>
      <c r="C1089" s="370" t="s">
        <v>265</v>
      </c>
      <c r="D1089" s="371">
        <v>5377</v>
      </c>
    </row>
    <row r="1090" spans="1:4" s="6" customFormat="1">
      <c r="A1090" s="368" t="s">
        <v>180</v>
      </c>
      <c r="B1090" s="369">
        <v>4369</v>
      </c>
      <c r="C1090" s="370" t="s">
        <v>265</v>
      </c>
      <c r="D1090" s="371">
        <v>573</v>
      </c>
    </row>
    <row r="1091" spans="1:4" s="6" customFormat="1">
      <c r="A1091" s="368" t="s">
        <v>180</v>
      </c>
      <c r="B1091" s="369">
        <v>4397</v>
      </c>
      <c r="C1091" s="370" t="s">
        <v>281</v>
      </c>
      <c r="D1091" s="371">
        <v>29750</v>
      </c>
    </row>
    <row r="1092" spans="1:4" s="6" customFormat="1">
      <c r="A1092" s="368" t="s">
        <v>180</v>
      </c>
      <c r="B1092" s="369">
        <v>4399</v>
      </c>
      <c r="C1092" s="370" t="s">
        <v>281</v>
      </c>
      <c r="D1092" s="371">
        <v>5250</v>
      </c>
    </row>
    <row r="1093" spans="1:4" s="6" customFormat="1">
      <c r="A1093" s="368" t="s">
        <v>180</v>
      </c>
      <c r="B1093" s="369">
        <v>4417</v>
      </c>
      <c r="C1093" s="370" t="s">
        <v>267</v>
      </c>
      <c r="D1093" s="371">
        <v>43123</v>
      </c>
    </row>
    <row r="1094" spans="1:4" s="6" customFormat="1">
      <c r="A1094" s="368" t="s">
        <v>180</v>
      </c>
      <c r="B1094" s="369">
        <v>4419</v>
      </c>
      <c r="C1094" s="370" t="s">
        <v>267</v>
      </c>
      <c r="D1094" s="371">
        <v>4192</v>
      </c>
    </row>
    <row r="1095" spans="1:4" s="6" customFormat="1">
      <c r="A1095" s="368" t="s">
        <v>180</v>
      </c>
      <c r="B1095" s="369">
        <v>4427</v>
      </c>
      <c r="C1095" s="370" t="s">
        <v>268</v>
      </c>
      <c r="D1095" s="371">
        <v>425</v>
      </c>
    </row>
    <row r="1096" spans="1:4" s="6" customFormat="1">
      <c r="A1096" s="368" t="s">
        <v>180</v>
      </c>
      <c r="B1096" s="369">
        <v>4429</v>
      </c>
      <c r="C1096" s="370" t="s">
        <v>268</v>
      </c>
      <c r="D1096" s="371">
        <v>75</v>
      </c>
    </row>
    <row r="1097" spans="1:4" s="6" customFormat="1">
      <c r="A1097" s="368" t="s">
        <v>180</v>
      </c>
      <c r="B1097" s="369">
        <v>4437</v>
      </c>
      <c r="C1097" s="370" t="s">
        <v>269</v>
      </c>
      <c r="D1097" s="371">
        <v>9478</v>
      </c>
    </row>
    <row r="1098" spans="1:4" s="6" customFormat="1">
      <c r="A1098" s="368" t="s">
        <v>180</v>
      </c>
      <c r="B1098" s="369">
        <v>4439</v>
      </c>
      <c r="C1098" s="370" t="s">
        <v>269</v>
      </c>
      <c r="D1098" s="371">
        <v>1122</v>
      </c>
    </row>
    <row r="1099" spans="1:4" s="6" customFormat="1">
      <c r="A1099" s="368" t="s">
        <v>180</v>
      </c>
      <c r="B1099" s="369">
        <v>4447</v>
      </c>
      <c r="C1099" s="370" t="s">
        <v>289</v>
      </c>
      <c r="D1099" s="371">
        <v>26312</v>
      </c>
    </row>
    <row r="1100" spans="1:4" s="6" customFormat="1">
      <c r="A1100" s="368" t="s">
        <v>180</v>
      </c>
      <c r="B1100" s="369">
        <v>4449</v>
      </c>
      <c r="C1100" s="370" t="s">
        <v>289</v>
      </c>
      <c r="D1100" s="371">
        <v>1997</v>
      </c>
    </row>
    <row r="1101" spans="1:4" s="6" customFormat="1">
      <c r="A1101" s="368" t="s">
        <v>180</v>
      </c>
      <c r="B1101" s="369">
        <v>4707</v>
      </c>
      <c r="C1101" s="370" t="s">
        <v>270</v>
      </c>
      <c r="D1101" s="371">
        <v>12910</v>
      </c>
    </row>
    <row r="1102" spans="1:4" s="6" customFormat="1">
      <c r="A1102" s="368" t="s">
        <v>180</v>
      </c>
      <c r="B1102" s="369">
        <v>4709</v>
      </c>
      <c r="C1102" s="370" t="s">
        <v>270</v>
      </c>
      <c r="D1102" s="371">
        <v>2090</v>
      </c>
    </row>
    <row r="1103" spans="1:4" s="6" customFormat="1">
      <c r="A1103" s="368" t="s">
        <v>180</v>
      </c>
      <c r="B1103" s="369">
        <v>4717</v>
      </c>
      <c r="C1103" s="370" t="s">
        <v>294</v>
      </c>
      <c r="D1103" s="371">
        <v>23499</v>
      </c>
    </row>
    <row r="1104" spans="1:4" s="6" customFormat="1">
      <c r="A1104" s="368" t="s">
        <v>180</v>
      </c>
      <c r="B1104" s="369">
        <v>4719</v>
      </c>
      <c r="C1104" s="370" t="s">
        <v>294</v>
      </c>
      <c r="D1104" s="371">
        <v>2471</v>
      </c>
    </row>
    <row r="1105" spans="1:4" s="6" customFormat="1" ht="60">
      <c r="A1105" s="368" t="s">
        <v>180</v>
      </c>
      <c r="B1105" s="369">
        <v>6209</v>
      </c>
      <c r="C1105" s="370" t="s">
        <v>279</v>
      </c>
      <c r="D1105" s="371">
        <v>2047735</v>
      </c>
    </row>
    <row r="1106" spans="1:4" s="6" customFormat="1" ht="60">
      <c r="A1106" s="372" t="s">
        <v>180</v>
      </c>
      <c r="B1106" s="373">
        <v>6259</v>
      </c>
      <c r="C1106" s="374" t="s">
        <v>183</v>
      </c>
      <c r="D1106" s="375">
        <v>2334290</v>
      </c>
    </row>
    <row r="1107" spans="1:4" s="5" customFormat="1">
      <c r="A1107" s="362" t="s">
        <v>37</v>
      </c>
      <c r="B1107" s="380" t="s">
        <v>180</v>
      </c>
      <c r="C1107" s="264" t="s">
        <v>42</v>
      </c>
      <c r="D1107" s="363">
        <f>D1108+D1123+D1143+D1214+D1112</f>
        <v>29303669</v>
      </c>
    </row>
    <row r="1108" spans="1:4" s="5" customFormat="1">
      <c r="A1108" s="364">
        <v>85311</v>
      </c>
      <c r="B1108" s="365" t="s">
        <v>180</v>
      </c>
      <c r="C1108" s="366" t="s">
        <v>122</v>
      </c>
      <c r="D1108" s="367">
        <f>SUM(D1109:D1111)</f>
        <v>444000</v>
      </c>
    </row>
    <row r="1109" spans="1:4" s="6" customFormat="1" ht="33" customHeight="1">
      <c r="A1109" s="368" t="s">
        <v>180</v>
      </c>
      <c r="B1109" s="369">
        <v>2310</v>
      </c>
      <c r="C1109" s="370" t="s">
        <v>275</v>
      </c>
      <c r="D1109" s="371">
        <v>200000</v>
      </c>
    </row>
    <row r="1110" spans="1:4" s="6" customFormat="1" ht="33" customHeight="1">
      <c r="A1110" s="368" t="s">
        <v>180</v>
      </c>
      <c r="B1110" s="369">
        <v>2320</v>
      </c>
      <c r="C1110" s="370" t="s">
        <v>285</v>
      </c>
      <c r="D1110" s="371">
        <v>127334</v>
      </c>
    </row>
    <row r="1111" spans="1:4" s="6" customFormat="1" ht="33" customHeight="1">
      <c r="A1111" s="368" t="s">
        <v>180</v>
      </c>
      <c r="B1111" s="369">
        <v>2820</v>
      </c>
      <c r="C1111" s="370" t="s">
        <v>311</v>
      </c>
      <c r="D1111" s="371">
        <v>116666</v>
      </c>
    </row>
    <row r="1112" spans="1:4" s="5" customFormat="1">
      <c r="A1112" s="364">
        <v>85324</v>
      </c>
      <c r="B1112" s="365" t="s">
        <v>180</v>
      </c>
      <c r="C1112" s="366" t="s">
        <v>123</v>
      </c>
      <c r="D1112" s="367">
        <f>SUM(D1113:D1122)</f>
        <v>375000</v>
      </c>
    </row>
    <row r="1113" spans="1:4" s="6" customFormat="1">
      <c r="A1113" s="368" t="s">
        <v>180</v>
      </c>
      <c r="B1113" s="369">
        <v>4010</v>
      </c>
      <c r="C1113" s="370" t="s">
        <v>254</v>
      </c>
      <c r="D1113" s="371">
        <v>240000</v>
      </c>
    </row>
    <row r="1114" spans="1:4" s="6" customFormat="1">
      <c r="A1114" s="368" t="s">
        <v>180</v>
      </c>
      <c r="B1114" s="369">
        <v>4040</v>
      </c>
      <c r="C1114" s="370" t="s">
        <v>255</v>
      </c>
      <c r="D1114" s="371">
        <v>25000</v>
      </c>
    </row>
    <row r="1115" spans="1:4" s="6" customFormat="1">
      <c r="A1115" s="368" t="s">
        <v>180</v>
      </c>
      <c r="B1115" s="369">
        <v>4110</v>
      </c>
      <c r="C1115" s="370" t="s">
        <v>256</v>
      </c>
      <c r="D1115" s="371">
        <v>41000</v>
      </c>
    </row>
    <row r="1116" spans="1:4" s="6" customFormat="1">
      <c r="A1116" s="368" t="s">
        <v>180</v>
      </c>
      <c r="B1116" s="369">
        <v>4120</v>
      </c>
      <c r="C1116" s="370" t="s">
        <v>257</v>
      </c>
      <c r="D1116" s="371">
        <v>5000</v>
      </c>
    </row>
    <row r="1117" spans="1:4" s="6" customFormat="1">
      <c r="A1117" s="368" t="s">
        <v>180</v>
      </c>
      <c r="B1117" s="369">
        <v>4210</v>
      </c>
      <c r="C1117" s="370" t="s">
        <v>260</v>
      </c>
      <c r="D1117" s="371">
        <v>50000</v>
      </c>
    </row>
    <row r="1118" spans="1:4" s="6" customFormat="1">
      <c r="A1118" s="368" t="s">
        <v>180</v>
      </c>
      <c r="B1118" s="369">
        <v>4220</v>
      </c>
      <c r="C1118" s="370" t="s">
        <v>261</v>
      </c>
      <c r="D1118" s="371">
        <v>2000</v>
      </c>
    </row>
    <row r="1119" spans="1:4" s="6" customFormat="1">
      <c r="A1119" s="372" t="s">
        <v>180</v>
      </c>
      <c r="B1119" s="373">
        <v>4270</v>
      </c>
      <c r="C1119" s="374" t="s">
        <v>263</v>
      </c>
      <c r="D1119" s="375">
        <v>2000</v>
      </c>
    </row>
    <row r="1120" spans="1:4" s="6" customFormat="1">
      <c r="A1120" s="376" t="s">
        <v>180</v>
      </c>
      <c r="B1120" s="377">
        <v>4300</v>
      </c>
      <c r="C1120" s="378" t="s">
        <v>264</v>
      </c>
      <c r="D1120" s="379">
        <v>2000</v>
      </c>
    </row>
    <row r="1121" spans="1:4" s="6" customFormat="1">
      <c r="A1121" s="368" t="s">
        <v>180</v>
      </c>
      <c r="B1121" s="369">
        <v>4410</v>
      </c>
      <c r="C1121" s="370" t="s">
        <v>267</v>
      </c>
      <c r="D1121" s="371">
        <v>3000</v>
      </c>
    </row>
    <row r="1122" spans="1:4" s="6" customFormat="1">
      <c r="A1122" s="368" t="s">
        <v>180</v>
      </c>
      <c r="B1122" s="369">
        <v>4700</v>
      </c>
      <c r="C1122" s="370" t="s">
        <v>270</v>
      </c>
      <c r="D1122" s="371">
        <v>5000</v>
      </c>
    </row>
    <row r="1123" spans="1:4" s="5" customFormat="1">
      <c r="A1123" s="364">
        <v>85325</v>
      </c>
      <c r="B1123" s="365" t="s">
        <v>180</v>
      </c>
      <c r="C1123" s="366" t="s">
        <v>124</v>
      </c>
      <c r="D1123" s="367">
        <f>SUM(D1124:D1142)</f>
        <v>1398000</v>
      </c>
    </row>
    <row r="1124" spans="1:4" s="6" customFormat="1">
      <c r="A1124" s="368" t="s">
        <v>180</v>
      </c>
      <c r="B1124" s="369">
        <v>3020</v>
      </c>
      <c r="C1124" s="370" t="s">
        <v>286</v>
      </c>
      <c r="D1124" s="371">
        <v>2000</v>
      </c>
    </row>
    <row r="1125" spans="1:4" s="6" customFormat="1">
      <c r="A1125" s="368" t="s">
        <v>180</v>
      </c>
      <c r="B1125" s="369">
        <v>4010</v>
      </c>
      <c r="C1125" s="370" t="s">
        <v>254</v>
      </c>
      <c r="D1125" s="371">
        <v>788000</v>
      </c>
    </row>
    <row r="1126" spans="1:4" s="6" customFormat="1">
      <c r="A1126" s="368" t="s">
        <v>180</v>
      </c>
      <c r="B1126" s="369">
        <v>4040</v>
      </c>
      <c r="C1126" s="370" t="s">
        <v>255</v>
      </c>
      <c r="D1126" s="371">
        <v>125000</v>
      </c>
    </row>
    <row r="1127" spans="1:4" s="6" customFormat="1">
      <c r="A1127" s="368" t="s">
        <v>180</v>
      </c>
      <c r="B1127" s="369">
        <v>4110</v>
      </c>
      <c r="C1127" s="370" t="s">
        <v>256</v>
      </c>
      <c r="D1127" s="371">
        <v>170000</v>
      </c>
    </row>
    <row r="1128" spans="1:4" s="6" customFormat="1">
      <c r="A1128" s="368" t="s">
        <v>180</v>
      </c>
      <c r="B1128" s="369">
        <v>4120</v>
      </c>
      <c r="C1128" s="370" t="s">
        <v>257</v>
      </c>
      <c r="D1128" s="371">
        <v>24000</v>
      </c>
    </row>
    <row r="1129" spans="1:4" s="6" customFormat="1">
      <c r="A1129" s="368" t="s">
        <v>180</v>
      </c>
      <c r="B1129" s="369">
        <v>4170</v>
      </c>
      <c r="C1129" s="370" t="s">
        <v>258</v>
      </c>
      <c r="D1129" s="371">
        <v>4000</v>
      </c>
    </row>
    <row r="1130" spans="1:4" s="6" customFormat="1">
      <c r="A1130" s="368" t="s">
        <v>180</v>
      </c>
      <c r="B1130" s="369">
        <v>4210</v>
      </c>
      <c r="C1130" s="370" t="s">
        <v>260</v>
      </c>
      <c r="D1130" s="371">
        <v>25000</v>
      </c>
    </row>
    <row r="1131" spans="1:4" s="6" customFormat="1">
      <c r="A1131" s="368" t="s">
        <v>180</v>
      </c>
      <c r="B1131" s="369">
        <v>4260</v>
      </c>
      <c r="C1131" s="370" t="s">
        <v>262</v>
      </c>
      <c r="D1131" s="371">
        <v>27000</v>
      </c>
    </row>
    <row r="1132" spans="1:4" s="6" customFormat="1">
      <c r="A1132" s="368" t="s">
        <v>180</v>
      </c>
      <c r="B1132" s="369">
        <v>4270</v>
      </c>
      <c r="C1132" s="370" t="s">
        <v>263</v>
      </c>
      <c r="D1132" s="371">
        <v>3000</v>
      </c>
    </row>
    <row r="1133" spans="1:4" s="6" customFormat="1">
      <c r="A1133" s="368" t="s">
        <v>180</v>
      </c>
      <c r="B1133" s="369">
        <v>4280</v>
      </c>
      <c r="C1133" s="370" t="s">
        <v>288</v>
      </c>
      <c r="D1133" s="371">
        <v>2000</v>
      </c>
    </row>
    <row r="1134" spans="1:4" s="6" customFormat="1">
      <c r="A1134" s="368" t="s">
        <v>180</v>
      </c>
      <c r="B1134" s="369">
        <v>4300</v>
      </c>
      <c r="C1134" s="366" t="s">
        <v>264</v>
      </c>
      <c r="D1134" s="371">
        <v>69000</v>
      </c>
    </row>
    <row r="1135" spans="1:4" s="6" customFormat="1">
      <c r="A1135" s="368" t="s">
        <v>180</v>
      </c>
      <c r="B1135" s="369">
        <v>4360</v>
      </c>
      <c r="C1135" s="370" t="s">
        <v>265</v>
      </c>
      <c r="D1135" s="371">
        <v>18000</v>
      </c>
    </row>
    <row r="1136" spans="1:4" s="6" customFormat="1" ht="15" customHeight="1">
      <c r="A1136" s="368" t="s">
        <v>180</v>
      </c>
      <c r="B1136" s="369">
        <v>4400</v>
      </c>
      <c r="C1136" s="370" t="s">
        <v>266</v>
      </c>
      <c r="D1136" s="371">
        <v>92000</v>
      </c>
    </row>
    <row r="1137" spans="1:4" s="6" customFormat="1">
      <c r="A1137" s="368" t="s">
        <v>180</v>
      </c>
      <c r="B1137" s="369">
        <v>4410</v>
      </c>
      <c r="C1137" s="370" t="s">
        <v>267</v>
      </c>
      <c r="D1137" s="371">
        <v>1000</v>
      </c>
    </row>
    <row r="1138" spans="1:4" s="6" customFormat="1">
      <c r="A1138" s="368" t="s">
        <v>180</v>
      </c>
      <c r="B1138" s="369">
        <v>4430</v>
      </c>
      <c r="C1138" s="370" t="s">
        <v>269</v>
      </c>
      <c r="D1138" s="371">
        <v>2000</v>
      </c>
    </row>
    <row r="1139" spans="1:4" s="6" customFormat="1">
      <c r="A1139" s="368" t="s">
        <v>180</v>
      </c>
      <c r="B1139" s="369">
        <v>4440</v>
      </c>
      <c r="C1139" s="370" t="s">
        <v>289</v>
      </c>
      <c r="D1139" s="371">
        <v>27000</v>
      </c>
    </row>
    <row r="1140" spans="1:4" s="6" customFormat="1">
      <c r="A1140" s="368" t="s">
        <v>180</v>
      </c>
      <c r="B1140" s="369">
        <v>4480</v>
      </c>
      <c r="C1140" s="370" t="s">
        <v>290</v>
      </c>
      <c r="D1140" s="371">
        <v>2000</v>
      </c>
    </row>
    <row r="1141" spans="1:4" s="6" customFormat="1">
      <c r="A1141" s="368" t="s">
        <v>180</v>
      </c>
      <c r="B1141" s="369">
        <v>4700</v>
      </c>
      <c r="C1141" s="370" t="s">
        <v>270</v>
      </c>
      <c r="D1141" s="371">
        <v>2000</v>
      </c>
    </row>
    <row r="1142" spans="1:4" s="6" customFormat="1">
      <c r="A1142" s="368" t="s">
        <v>180</v>
      </c>
      <c r="B1142" s="369">
        <v>4710</v>
      </c>
      <c r="C1142" s="370" t="s">
        <v>294</v>
      </c>
      <c r="D1142" s="371">
        <v>15000</v>
      </c>
    </row>
    <row r="1143" spans="1:4" s="5" customFormat="1">
      <c r="A1143" s="364">
        <v>85332</v>
      </c>
      <c r="B1143" s="365" t="s">
        <v>180</v>
      </c>
      <c r="C1143" s="366" t="s">
        <v>43</v>
      </c>
      <c r="D1143" s="367">
        <f>SUM(D1144:D1213)</f>
        <v>19865801</v>
      </c>
    </row>
    <row r="1144" spans="1:4" s="6" customFormat="1" ht="63" customHeight="1">
      <c r="A1144" s="368" t="s">
        <v>180</v>
      </c>
      <c r="B1144" s="369">
        <v>2009</v>
      </c>
      <c r="C1144" s="370" t="s">
        <v>252</v>
      </c>
      <c r="D1144" s="371">
        <v>2971000</v>
      </c>
    </row>
    <row r="1145" spans="1:4" s="6" customFormat="1" ht="63" customHeight="1">
      <c r="A1145" s="368" t="s">
        <v>180</v>
      </c>
      <c r="B1145" s="369">
        <v>2059</v>
      </c>
      <c r="C1145" s="370" t="s">
        <v>381</v>
      </c>
      <c r="D1145" s="371">
        <v>1110000</v>
      </c>
    </row>
    <row r="1146" spans="1:4" s="6" customFormat="1">
      <c r="A1146" s="368" t="s">
        <v>180</v>
      </c>
      <c r="B1146" s="369">
        <v>3020</v>
      </c>
      <c r="C1146" s="370" t="s">
        <v>286</v>
      </c>
      <c r="D1146" s="371">
        <v>8000</v>
      </c>
    </row>
    <row r="1147" spans="1:4" s="6" customFormat="1">
      <c r="A1147" s="368" t="s">
        <v>180</v>
      </c>
      <c r="B1147" s="369">
        <v>3028</v>
      </c>
      <c r="C1147" s="370" t="s">
        <v>286</v>
      </c>
      <c r="D1147" s="371">
        <v>3895</v>
      </c>
    </row>
    <row r="1148" spans="1:4" s="6" customFormat="1">
      <c r="A1148" s="368" t="s">
        <v>180</v>
      </c>
      <c r="B1148" s="369">
        <v>3029</v>
      </c>
      <c r="C1148" s="370" t="s">
        <v>286</v>
      </c>
      <c r="D1148" s="371">
        <v>705</v>
      </c>
    </row>
    <row r="1149" spans="1:4" s="6" customFormat="1">
      <c r="A1149" s="368" t="s">
        <v>180</v>
      </c>
      <c r="B1149" s="369">
        <v>3030</v>
      </c>
      <c r="C1149" s="370" t="s">
        <v>280</v>
      </c>
      <c r="D1149" s="371">
        <v>100</v>
      </c>
    </row>
    <row r="1150" spans="1:4" s="6" customFormat="1">
      <c r="A1150" s="368" t="s">
        <v>180</v>
      </c>
      <c r="B1150" s="369">
        <v>4010</v>
      </c>
      <c r="C1150" s="370" t="s">
        <v>254</v>
      </c>
      <c r="D1150" s="371">
        <v>6395687</v>
      </c>
    </row>
    <row r="1151" spans="1:4" s="6" customFormat="1">
      <c r="A1151" s="368" t="s">
        <v>180</v>
      </c>
      <c r="B1151" s="369">
        <v>4017</v>
      </c>
      <c r="C1151" s="370" t="s">
        <v>254</v>
      </c>
      <c r="D1151" s="371">
        <v>9175</v>
      </c>
    </row>
    <row r="1152" spans="1:4" s="6" customFormat="1">
      <c r="A1152" s="368" t="s">
        <v>180</v>
      </c>
      <c r="B1152" s="369">
        <v>4018</v>
      </c>
      <c r="C1152" s="370" t="s">
        <v>254</v>
      </c>
      <c r="D1152" s="371">
        <v>3061479</v>
      </c>
    </row>
    <row r="1153" spans="1:4" s="6" customFormat="1">
      <c r="A1153" s="368" t="s">
        <v>180</v>
      </c>
      <c r="B1153" s="369">
        <v>4019</v>
      </c>
      <c r="C1153" s="370" t="s">
        <v>254</v>
      </c>
      <c r="D1153" s="371">
        <v>559669</v>
      </c>
    </row>
    <row r="1154" spans="1:4" s="6" customFormat="1">
      <c r="A1154" s="368" t="s">
        <v>180</v>
      </c>
      <c r="B1154" s="369">
        <v>4040</v>
      </c>
      <c r="C1154" s="370" t="s">
        <v>255</v>
      </c>
      <c r="D1154" s="371">
        <v>557133</v>
      </c>
    </row>
    <row r="1155" spans="1:4" s="6" customFormat="1">
      <c r="A1155" s="368" t="s">
        <v>180</v>
      </c>
      <c r="B1155" s="369">
        <v>4047</v>
      </c>
      <c r="C1155" s="370" t="s">
        <v>255</v>
      </c>
      <c r="D1155" s="371">
        <v>1750</v>
      </c>
    </row>
    <row r="1156" spans="1:4" s="6" customFormat="1">
      <c r="A1156" s="368" t="s">
        <v>180</v>
      </c>
      <c r="B1156" s="369">
        <v>4048</v>
      </c>
      <c r="C1156" s="370" t="s">
        <v>255</v>
      </c>
      <c r="D1156" s="371">
        <v>253187</v>
      </c>
    </row>
    <row r="1157" spans="1:4" s="6" customFormat="1">
      <c r="A1157" s="368" t="s">
        <v>180</v>
      </c>
      <c r="B1157" s="369">
        <v>4049</v>
      </c>
      <c r="C1157" s="370" t="s">
        <v>255</v>
      </c>
      <c r="D1157" s="371">
        <v>46407</v>
      </c>
    </row>
    <row r="1158" spans="1:4" s="6" customFormat="1">
      <c r="A1158" s="368" t="s">
        <v>180</v>
      </c>
      <c r="B1158" s="369">
        <v>4110</v>
      </c>
      <c r="C1158" s="370" t="s">
        <v>256</v>
      </c>
      <c r="D1158" s="371">
        <v>1159320</v>
      </c>
    </row>
    <row r="1159" spans="1:4" s="6" customFormat="1">
      <c r="A1159" s="368" t="s">
        <v>180</v>
      </c>
      <c r="B1159" s="369">
        <v>4117</v>
      </c>
      <c r="C1159" s="370" t="s">
        <v>256</v>
      </c>
      <c r="D1159" s="371">
        <v>1879</v>
      </c>
    </row>
    <row r="1160" spans="1:4" s="6" customFormat="1">
      <c r="A1160" s="368" t="s">
        <v>180</v>
      </c>
      <c r="B1160" s="369">
        <v>4118</v>
      </c>
      <c r="C1160" s="370" t="s">
        <v>256</v>
      </c>
      <c r="D1160" s="371">
        <v>569791</v>
      </c>
    </row>
    <row r="1161" spans="1:4" s="6" customFormat="1">
      <c r="A1161" s="368" t="s">
        <v>180</v>
      </c>
      <c r="B1161" s="369">
        <v>4119</v>
      </c>
      <c r="C1161" s="370" t="s">
        <v>256</v>
      </c>
      <c r="D1161" s="371">
        <v>104185</v>
      </c>
    </row>
    <row r="1162" spans="1:4" s="6" customFormat="1">
      <c r="A1162" s="368" t="s">
        <v>180</v>
      </c>
      <c r="B1162" s="369">
        <v>4120</v>
      </c>
      <c r="C1162" s="370" t="s">
        <v>257</v>
      </c>
      <c r="D1162" s="371">
        <v>165232</v>
      </c>
    </row>
    <row r="1163" spans="1:4" s="6" customFormat="1">
      <c r="A1163" s="368" t="s">
        <v>180</v>
      </c>
      <c r="B1163" s="369">
        <v>4127</v>
      </c>
      <c r="C1163" s="370" t="s">
        <v>257</v>
      </c>
      <c r="D1163" s="371">
        <v>268</v>
      </c>
    </row>
    <row r="1164" spans="1:4" s="6" customFormat="1">
      <c r="A1164" s="368" t="s">
        <v>180</v>
      </c>
      <c r="B1164" s="369">
        <v>4128</v>
      </c>
      <c r="C1164" s="370" t="s">
        <v>257</v>
      </c>
      <c r="D1164" s="371">
        <v>81209</v>
      </c>
    </row>
    <row r="1165" spans="1:4" s="6" customFormat="1">
      <c r="A1165" s="368" t="s">
        <v>180</v>
      </c>
      <c r="B1165" s="369">
        <v>4129</v>
      </c>
      <c r="C1165" s="370" t="s">
        <v>257</v>
      </c>
      <c r="D1165" s="371">
        <v>14850</v>
      </c>
    </row>
    <row r="1166" spans="1:4" s="6" customFormat="1">
      <c r="A1166" s="368" t="s">
        <v>180</v>
      </c>
      <c r="B1166" s="369">
        <v>4140</v>
      </c>
      <c r="C1166" s="370" t="s">
        <v>287</v>
      </c>
      <c r="D1166" s="371">
        <v>43235</v>
      </c>
    </row>
    <row r="1167" spans="1:4" s="6" customFormat="1">
      <c r="A1167" s="368" t="s">
        <v>180</v>
      </c>
      <c r="B1167" s="369">
        <v>4170</v>
      </c>
      <c r="C1167" s="370" t="s">
        <v>258</v>
      </c>
      <c r="D1167" s="371">
        <v>5900</v>
      </c>
    </row>
    <row r="1168" spans="1:4" s="6" customFormat="1">
      <c r="A1168" s="368" t="s">
        <v>180</v>
      </c>
      <c r="B1168" s="369">
        <v>4210</v>
      </c>
      <c r="C1168" s="370" t="s">
        <v>260</v>
      </c>
      <c r="D1168" s="371">
        <v>140000</v>
      </c>
    </row>
    <row r="1169" spans="1:4" s="6" customFormat="1">
      <c r="A1169" s="368" t="s">
        <v>180</v>
      </c>
      <c r="B1169" s="369">
        <v>4217</v>
      </c>
      <c r="C1169" s="370" t="s">
        <v>260</v>
      </c>
      <c r="D1169" s="371">
        <v>895</v>
      </c>
    </row>
    <row r="1170" spans="1:4" s="6" customFormat="1">
      <c r="A1170" s="368" t="s">
        <v>180</v>
      </c>
      <c r="B1170" s="369">
        <v>4218</v>
      </c>
      <c r="C1170" s="370" t="s">
        <v>260</v>
      </c>
      <c r="D1170" s="371">
        <v>46645</v>
      </c>
    </row>
    <row r="1171" spans="1:4" s="6" customFormat="1">
      <c r="A1171" s="368" t="s">
        <v>180</v>
      </c>
      <c r="B1171" s="369">
        <v>4219</v>
      </c>
      <c r="C1171" s="370" t="s">
        <v>260</v>
      </c>
      <c r="D1171" s="371">
        <v>8615</v>
      </c>
    </row>
    <row r="1172" spans="1:4" s="6" customFormat="1">
      <c r="A1172" s="368" t="s">
        <v>180</v>
      </c>
      <c r="B1172" s="369">
        <v>4220</v>
      </c>
      <c r="C1172" s="370" t="s">
        <v>261</v>
      </c>
      <c r="D1172" s="371">
        <v>2000</v>
      </c>
    </row>
    <row r="1173" spans="1:4" s="6" customFormat="1">
      <c r="A1173" s="368" t="s">
        <v>180</v>
      </c>
      <c r="B1173" s="369">
        <v>4227</v>
      </c>
      <c r="C1173" s="370" t="s">
        <v>261</v>
      </c>
      <c r="D1173" s="371">
        <v>984</v>
      </c>
    </row>
    <row r="1174" spans="1:4" s="6" customFormat="1">
      <c r="A1174" s="368" t="s">
        <v>180</v>
      </c>
      <c r="B1174" s="369">
        <v>4228</v>
      </c>
      <c r="C1174" s="370" t="s">
        <v>261</v>
      </c>
      <c r="D1174" s="371">
        <v>421</v>
      </c>
    </row>
    <row r="1175" spans="1:4" s="6" customFormat="1">
      <c r="A1175" s="372" t="s">
        <v>180</v>
      </c>
      <c r="B1175" s="373">
        <v>4229</v>
      </c>
      <c r="C1175" s="374" t="s">
        <v>261</v>
      </c>
      <c r="D1175" s="375">
        <v>195</v>
      </c>
    </row>
    <row r="1176" spans="1:4" s="6" customFormat="1">
      <c r="A1176" s="376" t="s">
        <v>180</v>
      </c>
      <c r="B1176" s="377">
        <v>4260</v>
      </c>
      <c r="C1176" s="378" t="s">
        <v>262</v>
      </c>
      <c r="D1176" s="379">
        <v>242100</v>
      </c>
    </row>
    <row r="1177" spans="1:4" s="6" customFormat="1">
      <c r="A1177" s="368" t="s">
        <v>180</v>
      </c>
      <c r="B1177" s="369">
        <v>4268</v>
      </c>
      <c r="C1177" s="370" t="s">
        <v>262</v>
      </c>
      <c r="D1177" s="371">
        <v>103787</v>
      </c>
    </row>
    <row r="1178" spans="1:4" s="6" customFormat="1">
      <c r="A1178" s="368" t="s">
        <v>180</v>
      </c>
      <c r="B1178" s="369">
        <v>4269</v>
      </c>
      <c r="C1178" s="370" t="s">
        <v>262</v>
      </c>
      <c r="D1178" s="371">
        <v>18813</v>
      </c>
    </row>
    <row r="1179" spans="1:4" s="6" customFormat="1">
      <c r="A1179" s="368" t="s">
        <v>180</v>
      </c>
      <c r="B1179" s="369">
        <v>4270</v>
      </c>
      <c r="C1179" s="370" t="s">
        <v>263</v>
      </c>
      <c r="D1179" s="371">
        <v>230000</v>
      </c>
    </row>
    <row r="1180" spans="1:4" s="6" customFormat="1">
      <c r="A1180" s="368" t="s">
        <v>180</v>
      </c>
      <c r="B1180" s="369">
        <v>4278</v>
      </c>
      <c r="C1180" s="370" t="s">
        <v>263</v>
      </c>
      <c r="D1180" s="371">
        <v>5240</v>
      </c>
    </row>
    <row r="1181" spans="1:4" s="6" customFormat="1">
      <c r="A1181" s="368" t="s">
        <v>180</v>
      </c>
      <c r="B1181" s="369">
        <v>4279</v>
      </c>
      <c r="C1181" s="370" t="s">
        <v>263</v>
      </c>
      <c r="D1181" s="371">
        <v>960</v>
      </c>
    </row>
    <row r="1182" spans="1:4" s="6" customFormat="1">
      <c r="A1182" s="368" t="s">
        <v>180</v>
      </c>
      <c r="B1182" s="369">
        <v>4280</v>
      </c>
      <c r="C1182" s="370" t="s">
        <v>288</v>
      </c>
      <c r="D1182" s="371">
        <v>4000</v>
      </c>
    </row>
    <row r="1183" spans="1:4" s="6" customFormat="1">
      <c r="A1183" s="368" t="s">
        <v>180</v>
      </c>
      <c r="B1183" s="369">
        <v>4288</v>
      </c>
      <c r="C1183" s="370" t="s">
        <v>288</v>
      </c>
      <c r="D1183" s="371">
        <v>2111</v>
      </c>
    </row>
    <row r="1184" spans="1:4" s="6" customFormat="1">
      <c r="A1184" s="368" t="s">
        <v>180</v>
      </c>
      <c r="B1184" s="369">
        <v>4289</v>
      </c>
      <c r="C1184" s="370" t="s">
        <v>288</v>
      </c>
      <c r="D1184" s="371">
        <v>389</v>
      </c>
    </row>
    <row r="1185" spans="1:4" s="6" customFormat="1">
      <c r="A1185" s="368" t="s">
        <v>180</v>
      </c>
      <c r="B1185" s="369">
        <v>4300</v>
      </c>
      <c r="C1185" s="370" t="s">
        <v>264</v>
      </c>
      <c r="D1185" s="371">
        <v>370000</v>
      </c>
    </row>
    <row r="1186" spans="1:4" s="6" customFormat="1">
      <c r="A1186" s="368" t="s">
        <v>180</v>
      </c>
      <c r="B1186" s="369">
        <v>4307</v>
      </c>
      <c r="C1186" s="370" t="s">
        <v>264</v>
      </c>
      <c r="D1186" s="371">
        <v>30599</v>
      </c>
    </row>
    <row r="1187" spans="1:4" s="6" customFormat="1">
      <c r="A1187" s="368" t="s">
        <v>180</v>
      </c>
      <c r="B1187" s="369">
        <v>4308</v>
      </c>
      <c r="C1187" s="370" t="s">
        <v>264</v>
      </c>
      <c r="D1187" s="371">
        <v>269577</v>
      </c>
    </row>
    <row r="1188" spans="1:4" s="6" customFormat="1">
      <c r="A1188" s="368" t="s">
        <v>180</v>
      </c>
      <c r="B1188" s="369">
        <v>4309</v>
      </c>
      <c r="C1188" s="370" t="s">
        <v>264</v>
      </c>
      <c r="D1188" s="371">
        <v>52668</v>
      </c>
    </row>
    <row r="1189" spans="1:4" s="6" customFormat="1">
      <c r="A1189" s="368" t="s">
        <v>180</v>
      </c>
      <c r="B1189" s="369">
        <v>4360</v>
      </c>
      <c r="C1189" s="370" t="s">
        <v>265</v>
      </c>
      <c r="D1189" s="371">
        <v>40878</v>
      </c>
    </row>
    <row r="1190" spans="1:4" s="6" customFormat="1">
      <c r="A1190" s="368" t="s">
        <v>180</v>
      </c>
      <c r="B1190" s="369">
        <v>4368</v>
      </c>
      <c r="C1190" s="370" t="s">
        <v>265</v>
      </c>
      <c r="D1190" s="371">
        <v>35184</v>
      </c>
    </row>
    <row r="1191" spans="1:4" s="6" customFormat="1">
      <c r="A1191" s="368" t="s">
        <v>180</v>
      </c>
      <c r="B1191" s="369">
        <v>4369</v>
      </c>
      <c r="C1191" s="370" t="s">
        <v>265</v>
      </c>
      <c r="D1191" s="371">
        <v>6416</v>
      </c>
    </row>
    <row r="1192" spans="1:4" s="6" customFormat="1">
      <c r="A1192" s="368" t="s">
        <v>180</v>
      </c>
      <c r="B1192" s="369">
        <v>4380</v>
      </c>
      <c r="C1192" s="370" t="s">
        <v>382</v>
      </c>
      <c r="D1192" s="371">
        <v>1000</v>
      </c>
    </row>
    <row r="1193" spans="1:4" s="6" customFormat="1" ht="15" customHeight="1">
      <c r="A1193" s="368" t="s">
        <v>180</v>
      </c>
      <c r="B1193" s="369">
        <v>4400</v>
      </c>
      <c r="C1193" s="370" t="s">
        <v>266</v>
      </c>
      <c r="D1193" s="371">
        <v>436400</v>
      </c>
    </row>
    <row r="1194" spans="1:4" s="6" customFormat="1" ht="15" customHeight="1">
      <c r="A1194" s="368" t="s">
        <v>180</v>
      </c>
      <c r="B1194" s="369">
        <v>4408</v>
      </c>
      <c r="C1194" s="370" t="s">
        <v>266</v>
      </c>
      <c r="D1194" s="371">
        <v>95255</v>
      </c>
    </row>
    <row r="1195" spans="1:4" s="6" customFormat="1" ht="15" customHeight="1">
      <c r="A1195" s="368" t="s">
        <v>180</v>
      </c>
      <c r="B1195" s="369">
        <v>4409</v>
      </c>
      <c r="C1195" s="370" t="s">
        <v>266</v>
      </c>
      <c r="D1195" s="371">
        <v>17301</v>
      </c>
    </row>
    <row r="1196" spans="1:4" s="6" customFormat="1" ht="15.75" customHeight="1">
      <c r="A1196" s="368" t="s">
        <v>180</v>
      </c>
      <c r="B1196" s="369">
        <v>4410</v>
      </c>
      <c r="C1196" s="370" t="s">
        <v>267</v>
      </c>
      <c r="D1196" s="371">
        <v>14500</v>
      </c>
    </row>
    <row r="1197" spans="1:4" s="6" customFormat="1" ht="15.75" customHeight="1">
      <c r="A1197" s="368" t="s">
        <v>180</v>
      </c>
      <c r="B1197" s="369">
        <v>4418</v>
      </c>
      <c r="C1197" s="370" t="s">
        <v>267</v>
      </c>
      <c r="D1197" s="371">
        <v>5921</v>
      </c>
    </row>
    <row r="1198" spans="1:4" s="6" customFormat="1" ht="15.75" customHeight="1">
      <c r="A1198" s="368" t="s">
        <v>180</v>
      </c>
      <c r="B1198" s="369">
        <v>4419</v>
      </c>
      <c r="C1198" s="370" t="s">
        <v>267</v>
      </c>
      <c r="D1198" s="371">
        <v>1079</v>
      </c>
    </row>
    <row r="1199" spans="1:4" s="6" customFormat="1" ht="15.75" customHeight="1">
      <c r="A1199" s="368" t="s">
        <v>180</v>
      </c>
      <c r="B1199" s="369">
        <v>4420</v>
      </c>
      <c r="C1199" s="370" t="s">
        <v>268</v>
      </c>
      <c r="D1199" s="371">
        <v>3000</v>
      </c>
    </row>
    <row r="1200" spans="1:4" s="6" customFormat="1" ht="15.75" customHeight="1">
      <c r="A1200" s="368" t="s">
        <v>180</v>
      </c>
      <c r="B1200" s="369">
        <v>4430</v>
      </c>
      <c r="C1200" s="370" t="s">
        <v>269</v>
      </c>
      <c r="D1200" s="371">
        <v>9000</v>
      </c>
    </row>
    <row r="1201" spans="1:4" s="6" customFormat="1" ht="15.75" customHeight="1">
      <c r="A1201" s="368" t="s">
        <v>180</v>
      </c>
      <c r="B1201" s="369">
        <v>4437</v>
      </c>
      <c r="C1201" s="370" t="s">
        <v>269</v>
      </c>
      <c r="D1201" s="371">
        <v>224</v>
      </c>
    </row>
    <row r="1202" spans="1:4" s="6" customFormat="1" ht="15.75" customHeight="1">
      <c r="A1202" s="368" t="s">
        <v>180</v>
      </c>
      <c r="B1202" s="369">
        <v>4438</v>
      </c>
      <c r="C1202" s="370" t="s">
        <v>269</v>
      </c>
      <c r="D1202" s="371">
        <v>5417</v>
      </c>
    </row>
    <row r="1203" spans="1:4" s="6" customFormat="1" ht="15.75" customHeight="1">
      <c r="A1203" s="368" t="s">
        <v>180</v>
      </c>
      <c r="B1203" s="369">
        <v>4439</v>
      </c>
      <c r="C1203" s="370" t="s">
        <v>269</v>
      </c>
      <c r="D1203" s="371">
        <v>1009</v>
      </c>
    </row>
    <row r="1204" spans="1:4" s="6" customFormat="1" ht="15.75" customHeight="1">
      <c r="A1204" s="368" t="s">
        <v>180</v>
      </c>
      <c r="B1204" s="369">
        <v>4440</v>
      </c>
      <c r="C1204" s="370" t="s">
        <v>289</v>
      </c>
      <c r="D1204" s="371">
        <v>266824</v>
      </c>
    </row>
    <row r="1205" spans="1:4" s="6" customFormat="1" ht="15.75" customHeight="1">
      <c r="A1205" s="368" t="s">
        <v>180</v>
      </c>
      <c r="B1205" s="369">
        <v>4480</v>
      </c>
      <c r="C1205" s="370" t="s">
        <v>290</v>
      </c>
      <c r="D1205" s="371">
        <v>31000</v>
      </c>
    </row>
    <row r="1206" spans="1:4" s="6" customFormat="1" ht="15.75" customHeight="1">
      <c r="A1206" s="368" t="s">
        <v>180</v>
      </c>
      <c r="B1206" s="369">
        <v>4520</v>
      </c>
      <c r="C1206" s="370" t="s">
        <v>293</v>
      </c>
      <c r="D1206" s="371">
        <v>42000</v>
      </c>
    </row>
    <row r="1207" spans="1:4" s="6" customFormat="1" ht="15.75" customHeight="1">
      <c r="A1207" s="368" t="s">
        <v>180</v>
      </c>
      <c r="B1207" s="369">
        <v>4700</v>
      </c>
      <c r="C1207" s="370" t="s">
        <v>270</v>
      </c>
      <c r="D1207" s="371">
        <v>6000</v>
      </c>
    </row>
    <row r="1208" spans="1:4" s="6" customFormat="1" ht="15.75" customHeight="1">
      <c r="A1208" s="368" t="s">
        <v>180</v>
      </c>
      <c r="B1208" s="369">
        <v>4708</v>
      </c>
      <c r="C1208" s="370" t="s">
        <v>270</v>
      </c>
      <c r="D1208" s="371">
        <v>28017</v>
      </c>
    </row>
    <row r="1209" spans="1:4" s="6" customFormat="1" ht="15.75" customHeight="1">
      <c r="A1209" s="368" t="s">
        <v>180</v>
      </c>
      <c r="B1209" s="369">
        <v>4709</v>
      </c>
      <c r="C1209" s="370" t="s">
        <v>270</v>
      </c>
      <c r="D1209" s="371">
        <v>5183</v>
      </c>
    </row>
    <row r="1210" spans="1:4" s="6" customFormat="1" ht="15.75" customHeight="1">
      <c r="A1210" s="368" t="s">
        <v>180</v>
      </c>
      <c r="B1210" s="369">
        <v>4710</v>
      </c>
      <c r="C1210" s="370" t="s">
        <v>294</v>
      </c>
      <c r="D1210" s="371">
        <v>101163</v>
      </c>
    </row>
    <row r="1211" spans="1:4" s="6" customFormat="1" ht="15.75" customHeight="1">
      <c r="A1211" s="368" t="s">
        <v>180</v>
      </c>
      <c r="B1211" s="369">
        <v>4717</v>
      </c>
      <c r="C1211" s="370" t="s">
        <v>294</v>
      </c>
      <c r="D1211" s="371">
        <v>165</v>
      </c>
    </row>
    <row r="1212" spans="1:4" s="6" customFormat="1" ht="15.75" customHeight="1">
      <c r="A1212" s="368" t="s">
        <v>180</v>
      </c>
      <c r="B1212" s="369">
        <v>4718</v>
      </c>
      <c r="C1212" s="370" t="s">
        <v>294</v>
      </c>
      <c r="D1212" s="371">
        <v>49720</v>
      </c>
    </row>
    <row r="1213" spans="1:4" s="6" customFormat="1" ht="15.75" customHeight="1">
      <c r="A1213" s="368" t="s">
        <v>180</v>
      </c>
      <c r="B1213" s="369">
        <v>4719</v>
      </c>
      <c r="C1213" s="370" t="s">
        <v>294</v>
      </c>
      <c r="D1213" s="371">
        <v>9090</v>
      </c>
    </row>
    <row r="1214" spans="1:4" s="5" customFormat="1">
      <c r="A1214" s="364">
        <v>85395</v>
      </c>
      <c r="B1214" s="365" t="s">
        <v>180</v>
      </c>
      <c r="C1214" s="366" t="s">
        <v>46</v>
      </c>
      <c r="D1214" s="367">
        <f>SUM(D1215:D1247)</f>
        <v>7220868</v>
      </c>
    </row>
    <row r="1215" spans="1:4" s="6" customFormat="1" ht="60">
      <c r="A1215" s="368" t="s">
        <v>180</v>
      </c>
      <c r="B1215" s="369">
        <v>2007</v>
      </c>
      <c r="C1215" s="370" t="s">
        <v>252</v>
      </c>
      <c r="D1215" s="371">
        <v>5104087</v>
      </c>
    </row>
    <row r="1216" spans="1:4" s="6" customFormat="1" ht="60">
      <c r="A1216" s="368" t="s">
        <v>180</v>
      </c>
      <c r="B1216" s="369">
        <v>2009</v>
      </c>
      <c r="C1216" s="370" t="s">
        <v>252</v>
      </c>
      <c r="D1216" s="371">
        <v>1408369</v>
      </c>
    </row>
    <row r="1217" spans="1:4" s="6" customFormat="1" ht="45">
      <c r="A1217" s="368" t="s">
        <v>180</v>
      </c>
      <c r="B1217" s="369">
        <v>2360</v>
      </c>
      <c r="C1217" s="370" t="s">
        <v>298</v>
      </c>
      <c r="D1217" s="371">
        <v>100000</v>
      </c>
    </row>
    <row r="1218" spans="1:4" s="6" customFormat="1">
      <c r="A1218" s="368" t="s">
        <v>180</v>
      </c>
      <c r="B1218" s="369">
        <v>4017</v>
      </c>
      <c r="C1218" s="370" t="s">
        <v>254</v>
      </c>
      <c r="D1218" s="371">
        <v>182309</v>
      </c>
    </row>
    <row r="1219" spans="1:4" s="6" customFormat="1">
      <c r="A1219" s="368" t="s">
        <v>180</v>
      </c>
      <c r="B1219" s="369">
        <v>4019</v>
      </c>
      <c r="C1219" s="370" t="s">
        <v>254</v>
      </c>
      <c r="D1219" s="371">
        <v>25915</v>
      </c>
    </row>
    <row r="1220" spans="1:4" s="6" customFormat="1">
      <c r="A1220" s="368" t="s">
        <v>180</v>
      </c>
      <c r="B1220" s="369">
        <v>4047</v>
      </c>
      <c r="C1220" s="370" t="s">
        <v>255</v>
      </c>
      <c r="D1220" s="371">
        <v>36929</v>
      </c>
    </row>
    <row r="1221" spans="1:4" s="6" customFormat="1">
      <c r="A1221" s="368" t="s">
        <v>180</v>
      </c>
      <c r="B1221" s="369">
        <v>4049</v>
      </c>
      <c r="C1221" s="370" t="s">
        <v>255</v>
      </c>
      <c r="D1221" s="371">
        <v>4346</v>
      </c>
    </row>
    <row r="1222" spans="1:4" s="6" customFormat="1">
      <c r="A1222" s="368" t="s">
        <v>180</v>
      </c>
      <c r="B1222" s="369">
        <v>4117</v>
      </c>
      <c r="C1222" s="370" t="s">
        <v>256</v>
      </c>
      <c r="D1222" s="371">
        <v>37760</v>
      </c>
    </row>
    <row r="1223" spans="1:4" s="6" customFormat="1">
      <c r="A1223" s="368" t="s">
        <v>180</v>
      </c>
      <c r="B1223" s="369">
        <v>4119</v>
      </c>
      <c r="C1223" s="370" t="s">
        <v>256</v>
      </c>
      <c r="D1223" s="371">
        <v>5215</v>
      </c>
    </row>
    <row r="1224" spans="1:4" s="6" customFormat="1">
      <c r="A1224" s="368" t="s">
        <v>180</v>
      </c>
      <c r="B1224" s="369">
        <v>4127</v>
      </c>
      <c r="C1224" s="370" t="s">
        <v>257</v>
      </c>
      <c r="D1224" s="371">
        <v>5382</v>
      </c>
    </row>
    <row r="1225" spans="1:4" s="6" customFormat="1">
      <c r="A1225" s="368" t="s">
        <v>180</v>
      </c>
      <c r="B1225" s="369">
        <v>4129</v>
      </c>
      <c r="C1225" s="370" t="s">
        <v>257</v>
      </c>
      <c r="D1225" s="371">
        <v>743</v>
      </c>
    </row>
    <row r="1226" spans="1:4" s="6" customFormat="1">
      <c r="A1226" s="368" t="s">
        <v>180</v>
      </c>
      <c r="B1226" s="369">
        <v>4190</v>
      </c>
      <c r="C1226" s="370" t="s">
        <v>259</v>
      </c>
      <c r="D1226" s="371">
        <v>21000</v>
      </c>
    </row>
    <row r="1227" spans="1:4" s="6" customFormat="1">
      <c r="A1227" s="368" t="s">
        <v>180</v>
      </c>
      <c r="B1227" s="369">
        <v>4210</v>
      </c>
      <c r="C1227" s="370" t="s">
        <v>260</v>
      </c>
      <c r="D1227" s="371">
        <v>4000</v>
      </c>
    </row>
    <row r="1228" spans="1:4" s="6" customFormat="1">
      <c r="A1228" s="368" t="s">
        <v>180</v>
      </c>
      <c r="B1228" s="369">
        <v>4217</v>
      </c>
      <c r="C1228" s="370" t="s">
        <v>260</v>
      </c>
      <c r="D1228" s="371">
        <v>53684</v>
      </c>
    </row>
    <row r="1229" spans="1:4" s="6" customFormat="1">
      <c r="A1229" s="372" t="s">
        <v>180</v>
      </c>
      <c r="B1229" s="373">
        <v>4219</v>
      </c>
      <c r="C1229" s="374" t="s">
        <v>260</v>
      </c>
      <c r="D1229" s="375">
        <v>6316</v>
      </c>
    </row>
    <row r="1230" spans="1:4" s="6" customFormat="1">
      <c r="A1230" s="376" t="s">
        <v>180</v>
      </c>
      <c r="B1230" s="377">
        <v>4220</v>
      </c>
      <c r="C1230" s="378" t="s">
        <v>261</v>
      </c>
      <c r="D1230" s="379">
        <v>2500</v>
      </c>
    </row>
    <row r="1231" spans="1:4" s="6" customFormat="1">
      <c r="A1231" s="368" t="s">
        <v>180</v>
      </c>
      <c r="B1231" s="369">
        <v>4267</v>
      </c>
      <c r="C1231" s="370" t="s">
        <v>262</v>
      </c>
      <c r="D1231" s="371">
        <v>895</v>
      </c>
    </row>
    <row r="1232" spans="1:4" s="6" customFormat="1">
      <c r="A1232" s="368" t="s">
        <v>180</v>
      </c>
      <c r="B1232" s="369">
        <v>4269</v>
      </c>
      <c r="C1232" s="370" t="s">
        <v>262</v>
      </c>
      <c r="D1232" s="371">
        <v>105</v>
      </c>
    </row>
    <row r="1233" spans="1:4" s="6" customFormat="1">
      <c r="A1233" s="368" t="s">
        <v>180</v>
      </c>
      <c r="B1233" s="369">
        <v>4300</v>
      </c>
      <c r="C1233" s="370" t="s">
        <v>264</v>
      </c>
      <c r="D1233" s="371">
        <v>144000</v>
      </c>
    </row>
    <row r="1234" spans="1:4" s="6" customFormat="1">
      <c r="A1234" s="368" t="s">
        <v>180</v>
      </c>
      <c r="B1234" s="369">
        <v>4307</v>
      </c>
      <c r="C1234" s="370" t="s">
        <v>264</v>
      </c>
      <c r="D1234" s="371">
        <v>60404</v>
      </c>
    </row>
    <row r="1235" spans="1:4" s="6" customFormat="1">
      <c r="A1235" s="368" t="s">
        <v>180</v>
      </c>
      <c r="B1235" s="369">
        <v>4309</v>
      </c>
      <c r="C1235" s="370" t="s">
        <v>264</v>
      </c>
      <c r="D1235" s="371">
        <v>7106</v>
      </c>
    </row>
    <row r="1236" spans="1:4" s="6" customFormat="1">
      <c r="A1236" s="368" t="s">
        <v>180</v>
      </c>
      <c r="B1236" s="369">
        <v>4367</v>
      </c>
      <c r="C1236" s="370" t="s">
        <v>265</v>
      </c>
      <c r="D1236" s="371">
        <v>358</v>
      </c>
    </row>
    <row r="1237" spans="1:4" s="6" customFormat="1">
      <c r="A1237" s="368" t="s">
        <v>180</v>
      </c>
      <c r="B1237" s="369">
        <v>4369</v>
      </c>
      <c r="C1237" s="370" t="s">
        <v>265</v>
      </c>
      <c r="D1237" s="371">
        <v>42</v>
      </c>
    </row>
    <row r="1238" spans="1:4" s="6" customFormat="1">
      <c r="A1238" s="368" t="s">
        <v>180</v>
      </c>
      <c r="B1238" s="369">
        <v>4417</v>
      </c>
      <c r="C1238" s="370" t="s">
        <v>267</v>
      </c>
      <c r="D1238" s="371">
        <v>895</v>
      </c>
    </row>
    <row r="1239" spans="1:4" s="6" customFormat="1">
      <c r="A1239" s="368" t="s">
        <v>180</v>
      </c>
      <c r="B1239" s="369">
        <v>4419</v>
      </c>
      <c r="C1239" s="370" t="s">
        <v>267</v>
      </c>
      <c r="D1239" s="371">
        <v>105</v>
      </c>
    </row>
    <row r="1240" spans="1:4" s="6" customFormat="1">
      <c r="A1240" s="368" t="s">
        <v>180</v>
      </c>
      <c r="B1240" s="369">
        <v>4437</v>
      </c>
      <c r="C1240" s="370" t="s">
        <v>269</v>
      </c>
      <c r="D1240" s="371">
        <v>895</v>
      </c>
    </row>
    <row r="1241" spans="1:4" s="6" customFormat="1">
      <c r="A1241" s="368" t="s">
        <v>180</v>
      </c>
      <c r="B1241" s="369">
        <v>4439</v>
      </c>
      <c r="C1241" s="370" t="s">
        <v>269</v>
      </c>
      <c r="D1241" s="371">
        <v>105</v>
      </c>
    </row>
    <row r="1242" spans="1:4" s="6" customFormat="1">
      <c r="A1242" s="368" t="s">
        <v>180</v>
      </c>
      <c r="B1242" s="369">
        <v>4447</v>
      </c>
      <c r="C1242" s="370" t="s">
        <v>289</v>
      </c>
      <c r="D1242" s="371">
        <v>3131</v>
      </c>
    </row>
    <row r="1243" spans="1:4" s="6" customFormat="1">
      <c r="A1243" s="368" t="s">
        <v>180</v>
      </c>
      <c r="B1243" s="369">
        <v>4449</v>
      </c>
      <c r="C1243" s="370" t="s">
        <v>289</v>
      </c>
      <c r="D1243" s="371">
        <v>369</v>
      </c>
    </row>
    <row r="1244" spans="1:4" s="6" customFormat="1">
      <c r="A1244" s="368" t="s">
        <v>180</v>
      </c>
      <c r="B1244" s="369">
        <v>4707</v>
      </c>
      <c r="C1244" s="370" t="s">
        <v>270</v>
      </c>
      <c r="D1244" s="371">
        <v>895</v>
      </c>
    </row>
    <row r="1245" spans="1:4" s="6" customFormat="1">
      <c r="A1245" s="368" t="s">
        <v>180</v>
      </c>
      <c r="B1245" s="369">
        <v>4709</v>
      </c>
      <c r="C1245" s="370" t="s">
        <v>270</v>
      </c>
      <c r="D1245" s="371">
        <v>105</v>
      </c>
    </row>
    <row r="1246" spans="1:4" s="6" customFormat="1">
      <c r="A1246" s="368" t="s">
        <v>180</v>
      </c>
      <c r="B1246" s="369">
        <v>4717</v>
      </c>
      <c r="C1246" s="370" t="s">
        <v>294</v>
      </c>
      <c r="D1246" s="371">
        <v>2575</v>
      </c>
    </row>
    <row r="1247" spans="1:4" s="6" customFormat="1">
      <c r="A1247" s="368" t="s">
        <v>180</v>
      </c>
      <c r="B1247" s="369">
        <v>4719</v>
      </c>
      <c r="C1247" s="370" t="s">
        <v>294</v>
      </c>
      <c r="D1247" s="371">
        <v>328</v>
      </c>
    </row>
    <row r="1248" spans="1:4" s="6" customFormat="1">
      <c r="A1248" s="362" t="s">
        <v>7</v>
      </c>
      <c r="B1248" s="380" t="s">
        <v>180</v>
      </c>
      <c r="C1248" s="264" t="s">
        <v>8</v>
      </c>
      <c r="D1248" s="363">
        <f>D1249+D1287+D1304+D1320+D1338+D1340+D1357+D1359</f>
        <v>38404026</v>
      </c>
    </row>
    <row r="1249" spans="1:4" s="5" customFormat="1">
      <c r="A1249" s="364">
        <v>85403</v>
      </c>
      <c r="B1249" s="365" t="s">
        <v>180</v>
      </c>
      <c r="C1249" s="366" t="s">
        <v>125</v>
      </c>
      <c r="D1249" s="367">
        <v>26570873</v>
      </c>
    </row>
    <row r="1250" spans="1:4" s="6" customFormat="1">
      <c r="A1250" s="368" t="s">
        <v>180</v>
      </c>
      <c r="B1250" s="369">
        <v>3020</v>
      </c>
      <c r="C1250" s="370" t="s">
        <v>286</v>
      </c>
      <c r="D1250" s="371">
        <v>11200</v>
      </c>
    </row>
    <row r="1251" spans="1:4" s="6" customFormat="1">
      <c r="A1251" s="368" t="s">
        <v>180</v>
      </c>
      <c r="B1251" s="369">
        <v>4010</v>
      </c>
      <c r="C1251" s="370" t="s">
        <v>254</v>
      </c>
      <c r="D1251" s="371">
        <v>4091262</v>
      </c>
    </row>
    <row r="1252" spans="1:4" s="6" customFormat="1">
      <c r="A1252" s="368" t="s">
        <v>180</v>
      </c>
      <c r="B1252" s="369">
        <v>4017</v>
      </c>
      <c r="C1252" s="370" t="s">
        <v>254</v>
      </c>
      <c r="D1252" s="371">
        <v>29103</v>
      </c>
    </row>
    <row r="1253" spans="1:4" s="6" customFormat="1">
      <c r="A1253" s="368" t="s">
        <v>180</v>
      </c>
      <c r="B1253" s="369">
        <v>4019</v>
      </c>
      <c r="C1253" s="370" t="s">
        <v>254</v>
      </c>
      <c r="D1253" s="371">
        <v>6972</v>
      </c>
    </row>
    <row r="1254" spans="1:4" s="6" customFormat="1">
      <c r="A1254" s="368" t="s">
        <v>180</v>
      </c>
      <c r="B1254" s="369">
        <v>4040</v>
      </c>
      <c r="C1254" s="370" t="s">
        <v>255</v>
      </c>
      <c r="D1254" s="371">
        <v>309357</v>
      </c>
    </row>
    <row r="1255" spans="1:4" s="6" customFormat="1">
      <c r="A1255" s="368" t="s">
        <v>180</v>
      </c>
      <c r="B1255" s="369">
        <v>4110</v>
      </c>
      <c r="C1255" s="370" t="s">
        <v>256</v>
      </c>
      <c r="D1255" s="371">
        <v>2405824</v>
      </c>
    </row>
    <row r="1256" spans="1:4" s="6" customFormat="1">
      <c r="A1256" s="368" t="s">
        <v>180</v>
      </c>
      <c r="B1256" s="369">
        <v>4117</v>
      </c>
      <c r="C1256" s="370" t="s">
        <v>256</v>
      </c>
      <c r="D1256" s="371">
        <v>5003</v>
      </c>
    </row>
    <row r="1257" spans="1:4" s="6" customFormat="1">
      <c r="A1257" s="368" t="s">
        <v>180</v>
      </c>
      <c r="B1257" s="369">
        <v>4119</v>
      </c>
      <c r="C1257" s="370" t="s">
        <v>256</v>
      </c>
      <c r="D1257" s="371">
        <v>1197</v>
      </c>
    </row>
    <row r="1258" spans="1:4" s="6" customFormat="1">
      <c r="A1258" s="368" t="s">
        <v>180</v>
      </c>
      <c r="B1258" s="369">
        <v>4120</v>
      </c>
      <c r="C1258" s="370" t="s">
        <v>257</v>
      </c>
      <c r="D1258" s="371">
        <v>296097</v>
      </c>
    </row>
    <row r="1259" spans="1:4" s="6" customFormat="1">
      <c r="A1259" s="368" t="s">
        <v>180</v>
      </c>
      <c r="B1259" s="369">
        <v>4127</v>
      </c>
      <c r="C1259" s="370" t="s">
        <v>257</v>
      </c>
      <c r="D1259" s="371">
        <v>714</v>
      </c>
    </row>
    <row r="1260" spans="1:4" s="6" customFormat="1">
      <c r="A1260" s="368" t="s">
        <v>180</v>
      </c>
      <c r="B1260" s="369">
        <v>4129</v>
      </c>
      <c r="C1260" s="370" t="s">
        <v>257</v>
      </c>
      <c r="D1260" s="371">
        <v>172</v>
      </c>
    </row>
    <row r="1261" spans="1:4" s="6" customFormat="1">
      <c r="A1261" s="368" t="s">
        <v>180</v>
      </c>
      <c r="B1261" s="369">
        <v>4170</v>
      </c>
      <c r="C1261" s="370" t="s">
        <v>258</v>
      </c>
      <c r="D1261" s="371">
        <v>2000</v>
      </c>
    </row>
    <row r="1262" spans="1:4" s="6" customFormat="1">
      <c r="A1262" s="368" t="s">
        <v>180</v>
      </c>
      <c r="B1262" s="369">
        <v>4210</v>
      </c>
      <c r="C1262" s="370" t="s">
        <v>260</v>
      </c>
      <c r="D1262" s="371">
        <v>188100</v>
      </c>
    </row>
    <row r="1263" spans="1:4" s="6" customFormat="1">
      <c r="A1263" s="368" t="s">
        <v>180</v>
      </c>
      <c r="B1263" s="369">
        <v>4220</v>
      </c>
      <c r="C1263" s="370" t="s">
        <v>261</v>
      </c>
      <c r="D1263" s="371">
        <v>508960</v>
      </c>
    </row>
    <row r="1264" spans="1:4" s="6" customFormat="1">
      <c r="A1264" s="368" t="s">
        <v>180</v>
      </c>
      <c r="B1264" s="369">
        <v>4240</v>
      </c>
      <c r="C1264" s="370" t="s">
        <v>307</v>
      </c>
      <c r="D1264" s="371">
        <v>53500</v>
      </c>
    </row>
    <row r="1265" spans="1:4" s="6" customFormat="1">
      <c r="A1265" s="368" t="s">
        <v>180</v>
      </c>
      <c r="B1265" s="369">
        <v>4260</v>
      </c>
      <c r="C1265" s="370" t="s">
        <v>262</v>
      </c>
      <c r="D1265" s="371">
        <v>490000</v>
      </c>
    </row>
    <row r="1266" spans="1:4" s="6" customFormat="1">
      <c r="A1266" s="368" t="s">
        <v>180</v>
      </c>
      <c r="B1266" s="369">
        <v>4270</v>
      </c>
      <c r="C1266" s="370" t="s">
        <v>263</v>
      </c>
      <c r="D1266" s="371">
        <v>284000</v>
      </c>
    </row>
    <row r="1267" spans="1:4" s="6" customFormat="1">
      <c r="A1267" s="368" t="s">
        <v>180</v>
      </c>
      <c r="B1267" s="369">
        <v>4280</v>
      </c>
      <c r="C1267" s="370" t="s">
        <v>288</v>
      </c>
      <c r="D1267" s="371">
        <v>8300</v>
      </c>
    </row>
    <row r="1268" spans="1:4" s="6" customFormat="1">
      <c r="A1268" s="368" t="s">
        <v>180</v>
      </c>
      <c r="B1268" s="369">
        <v>4300</v>
      </c>
      <c r="C1268" s="370" t="s">
        <v>264</v>
      </c>
      <c r="D1268" s="371">
        <v>417032</v>
      </c>
    </row>
    <row r="1269" spans="1:4" s="6" customFormat="1">
      <c r="A1269" s="368" t="s">
        <v>180</v>
      </c>
      <c r="B1269" s="369">
        <v>4307</v>
      </c>
      <c r="C1269" s="370" t="s">
        <v>264</v>
      </c>
      <c r="D1269" s="371">
        <v>149993</v>
      </c>
    </row>
    <row r="1270" spans="1:4" s="6" customFormat="1">
      <c r="A1270" s="368" t="s">
        <v>180</v>
      </c>
      <c r="B1270" s="369">
        <v>4309</v>
      </c>
      <c r="C1270" s="370" t="s">
        <v>264</v>
      </c>
      <c r="D1270" s="371">
        <v>51893</v>
      </c>
    </row>
    <row r="1271" spans="1:4" s="6" customFormat="1">
      <c r="A1271" s="368" t="s">
        <v>180</v>
      </c>
      <c r="B1271" s="369">
        <v>4360</v>
      </c>
      <c r="C1271" s="370" t="s">
        <v>265</v>
      </c>
      <c r="D1271" s="371">
        <v>16300</v>
      </c>
    </row>
    <row r="1272" spans="1:4" s="6" customFormat="1">
      <c r="A1272" s="368" t="s">
        <v>180</v>
      </c>
      <c r="B1272" s="369">
        <v>4390</v>
      </c>
      <c r="C1272" s="370" t="s">
        <v>281</v>
      </c>
      <c r="D1272" s="371">
        <v>1000</v>
      </c>
    </row>
    <row r="1273" spans="1:4" s="6" customFormat="1">
      <c r="A1273" s="368" t="s">
        <v>180</v>
      </c>
      <c r="B1273" s="369">
        <v>4410</v>
      </c>
      <c r="C1273" s="370" t="s">
        <v>267</v>
      </c>
      <c r="D1273" s="371">
        <v>2300</v>
      </c>
    </row>
    <row r="1274" spans="1:4" s="6" customFormat="1">
      <c r="A1274" s="368" t="s">
        <v>180</v>
      </c>
      <c r="B1274" s="369">
        <v>4430</v>
      </c>
      <c r="C1274" s="370" t="s">
        <v>269</v>
      </c>
      <c r="D1274" s="371">
        <v>40200</v>
      </c>
    </row>
    <row r="1275" spans="1:4" s="6" customFormat="1">
      <c r="A1275" s="368" t="s">
        <v>180</v>
      </c>
      <c r="B1275" s="369">
        <v>4440</v>
      </c>
      <c r="C1275" s="370" t="s">
        <v>289</v>
      </c>
      <c r="D1275" s="371">
        <v>515682</v>
      </c>
    </row>
    <row r="1276" spans="1:4" s="6" customFormat="1">
      <c r="A1276" s="368" t="s">
        <v>180</v>
      </c>
      <c r="B1276" s="369">
        <v>4480</v>
      </c>
      <c r="C1276" s="370" t="s">
        <v>290</v>
      </c>
      <c r="D1276" s="371">
        <v>220</v>
      </c>
    </row>
    <row r="1277" spans="1:4" s="6" customFormat="1">
      <c r="A1277" s="368" t="s">
        <v>180</v>
      </c>
      <c r="B1277" s="369">
        <v>4500</v>
      </c>
      <c r="C1277" s="370" t="s">
        <v>291</v>
      </c>
      <c r="D1277" s="371">
        <v>1500</v>
      </c>
    </row>
    <row r="1278" spans="1:4" s="6" customFormat="1">
      <c r="A1278" s="368" t="s">
        <v>180</v>
      </c>
      <c r="B1278" s="369">
        <v>4520</v>
      </c>
      <c r="C1278" s="370" t="s">
        <v>293</v>
      </c>
      <c r="D1278" s="371">
        <v>242</v>
      </c>
    </row>
    <row r="1279" spans="1:4" s="6" customFormat="1">
      <c r="A1279" s="368" t="s">
        <v>180</v>
      </c>
      <c r="B1279" s="369">
        <v>4700</v>
      </c>
      <c r="C1279" s="370" t="s">
        <v>270</v>
      </c>
      <c r="D1279" s="371">
        <v>9000</v>
      </c>
    </row>
    <row r="1280" spans="1:4" s="6" customFormat="1">
      <c r="A1280" s="368" t="s">
        <v>180</v>
      </c>
      <c r="B1280" s="369">
        <v>4710</v>
      </c>
      <c r="C1280" s="370" t="s">
        <v>294</v>
      </c>
      <c r="D1280" s="371">
        <v>65971</v>
      </c>
    </row>
    <row r="1281" spans="1:4" s="6" customFormat="1">
      <c r="A1281" s="368" t="s">
        <v>180</v>
      </c>
      <c r="B1281" s="369">
        <v>4790</v>
      </c>
      <c r="C1281" s="370" t="s">
        <v>391</v>
      </c>
      <c r="D1281" s="371">
        <v>9382191</v>
      </c>
    </row>
    <row r="1282" spans="1:4" s="6" customFormat="1">
      <c r="A1282" s="368" t="s">
        <v>180</v>
      </c>
      <c r="B1282" s="369">
        <v>4800</v>
      </c>
      <c r="C1282" s="370" t="s">
        <v>392</v>
      </c>
      <c r="D1282" s="371">
        <v>756528</v>
      </c>
    </row>
    <row r="1283" spans="1:4" s="6" customFormat="1">
      <c r="A1283" s="368" t="s">
        <v>180</v>
      </c>
      <c r="B1283" s="369">
        <v>6050</v>
      </c>
      <c r="C1283" s="370" t="s">
        <v>282</v>
      </c>
      <c r="D1283" s="371">
        <v>690224</v>
      </c>
    </row>
    <row r="1284" spans="1:4" s="6" customFormat="1">
      <c r="A1284" s="368" t="s">
        <v>180</v>
      </c>
      <c r="B1284" s="369">
        <v>6057</v>
      </c>
      <c r="C1284" s="370" t="s">
        <v>282</v>
      </c>
      <c r="D1284" s="371">
        <v>4225179</v>
      </c>
    </row>
    <row r="1285" spans="1:4" s="6" customFormat="1">
      <c r="A1285" s="368" t="s">
        <v>180</v>
      </c>
      <c r="B1285" s="369">
        <v>6059</v>
      </c>
      <c r="C1285" s="370" t="s">
        <v>282</v>
      </c>
      <c r="D1285" s="371">
        <v>1386657</v>
      </c>
    </row>
    <row r="1286" spans="1:4" s="6" customFormat="1">
      <c r="A1286" s="368" t="s">
        <v>180</v>
      </c>
      <c r="B1286" s="369">
        <v>6060</v>
      </c>
      <c r="C1286" s="370" t="s">
        <v>295</v>
      </c>
      <c r="D1286" s="371">
        <v>167000</v>
      </c>
    </row>
    <row r="1287" spans="1:4" s="5" customFormat="1">
      <c r="A1287" s="364">
        <v>85404</v>
      </c>
      <c r="B1287" s="365" t="s">
        <v>180</v>
      </c>
      <c r="C1287" s="366" t="s">
        <v>126</v>
      </c>
      <c r="D1287" s="367">
        <f>SUM(D1288:D1303)</f>
        <v>1510718</v>
      </c>
    </row>
    <row r="1288" spans="1:4" s="6" customFormat="1">
      <c r="A1288" s="368" t="s">
        <v>180</v>
      </c>
      <c r="B1288" s="369">
        <v>4110</v>
      </c>
      <c r="C1288" s="370" t="s">
        <v>256</v>
      </c>
      <c r="D1288" s="371">
        <v>194899</v>
      </c>
    </row>
    <row r="1289" spans="1:4" s="6" customFormat="1">
      <c r="A1289" s="368" t="s">
        <v>180</v>
      </c>
      <c r="B1289" s="369">
        <v>4120</v>
      </c>
      <c r="C1289" s="370" t="s">
        <v>257</v>
      </c>
      <c r="D1289" s="371">
        <v>26518</v>
      </c>
    </row>
    <row r="1290" spans="1:4" s="6" customFormat="1">
      <c r="A1290" s="368" t="s">
        <v>180</v>
      </c>
      <c r="B1290" s="369">
        <v>4210</v>
      </c>
      <c r="C1290" s="370" t="s">
        <v>260</v>
      </c>
      <c r="D1290" s="371">
        <v>9000</v>
      </c>
    </row>
    <row r="1291" spans="1:4" s="6" customFormat="1">
      <c r="A1291" s="368" t="s">
        <v>180</v>
      </c>
      <c r="B1291" s="369">
        <v>4240</v>
      </c>
      <c r="C1291" s="370" t="s">
        <v>307</v>
      </c>
      <c r="D1291" s="371">
        <v>44000</v>
      </c>
    </row>
    <row r="1292" spans="1:4" s="6" customFormat="1">
      <c r="A1292" s="372" t="s">
        <v>180</v>
      </c>
      <c r="B1292" s="373">
        <v>4260</v>
      </c>
      <c r="C1292" s="374" t="s">
        <v>262</v>
      </c>
      <c r="D1292" s="375">
        <v>33000</v>
      </c>
    </row>
    <row r="1293" spans="1:4" s="6" customFormat="1">
      <c r="A1293" s="376" t="s">
        <v>180</v>
      </c>
      <c r="B1293" s="377">
        <v>4270</v>
      </c>
      <c r="C1293" s="378" t="s">
        <v>263</v>
      </c>
      <c r="D1293" s="379">
        <v>2500</v>
      </c>
    </row>
    <row r="1294" spans="1:4" s="6" customFormat="1">
      <c r="A1294" s="368" t="s">
        <v>180</v>
      </c>
      <c r="B1294" s="369">
        <v>4280</v>
      </c>
      <c r="C1294" s="370" t="s">
        <v>288</v>
      </c>
      <c r="D1294" s="371">
        <v>500</v>
      </c>
    </row>
    <row r="1295" spans="1:4" s="6" customFormat="1">
      <c r="A1295" s="368" t="s">
        <v>180</v>
      </c>
      <c r="B1295" s="369">
        <v>4300</v>
      </c>
      <c r="C1295" s="370" t="s">
        <v>264</v>
      </c>
      <c r="D1295" s="371">
        <v>16000</v>
      </c>
    </row>
    <row r="1296" spans="1:4" s="6" customFormat="1">
      <c r="A1296" s="368" t="s">
        <v>180</v>
      </c>
      <c r="B1296" s="369">
        <v>4360</v>
      </c>
      <c r="C1296" s="370" t="s">
        <v>265</v>
      </c>
      <c r="D1296" s="371">
        <v>200</v>
      </c>
    </row>
    <row r="1297" spans="1:4" s="6" customFormat="1">
      <c r="A1297" s="368" t="s">
        <v>180</v>
      </c>
      <c r="B1297" s="369">
        <v>4410</v>
      </c>
      <c r="C1297" s="370" t="s">
        <v>267</v>
      </c>
      <c r="D1297" s="371">
        <v>600</v>
      </c>
    </row>
    <row r="1298" spans="1:4" s="6" customFormat="1">
      <c r="A1298" s="368" t="s">
        <v>180</v>
      </c>
      <c r="B1298" s="369">
        <v>4430</v>
      </c>
      <c r="C1298" s="370" t="s">
        <v>269</v>
      </c>
      <c r="D1298" s="371">
        <v>800</v>
      </c>
    </row>
    <row r="1299" spans="1:4" s="6" customFormat="1">
      <c r="A1299" s="368" t="s">
        <v>180</v>
      </c>
      <c r="B1299" s="369">
        <v>4440</v>
      </c>
      <c r="C1299" s="370" t="s">
        <v>289</v>
      </c>
      <c r="D1299" s="371">
        <v>34068</v>
      </c>
    </row>
    <row r="1300" spans="1:4" s="6" customFormat="1">
      <c r="A1300" s="368" t="s">
        <v>180</v>
      </c>
      <c r="B1300" s="369">
        <v>4700</v>
      </c>
      <c r="C1300" s="370" t="s">
        <v>270</v>
      </c>
      <c r="D1300" s="371">
        <v>500</v>
      </c>
    </row>
    <row r="1301" spans="1:4" s="6" customFormat="1">
      <c r="A1301" s="368" t="s">
        <v>180</v>
      </c>
      <c r="B1301" s="369">
        <v>4710</v>
      </c>
      <c r="C1301" s="370" t="s">
        <v>294</v>
      </c>
      <c r="D1301" s="371">
        <v>4838</v>
      </c>
    </row>
    <row r="1302" spans="1:4" s="6" customFormat="1">
      <c r="A1302" s="368" t="s">
        <v>180</v>
      </c>
      <c r="B1302" s="369">
        <v>4790</v>
      </c>
      <c r="C1302" s="370" t="s">
        <v>391</v>
      </c>
      <c r="D1302" s="371">
        <v>1062203</v>
      </c>
    </row>
    <row r="1303" spans="1:4" s="6" customFormat="1">
      <c r="A1303" s="368" t="s">
        <v>180</v>
      </c>
      <c r="B1303" s="369">
        <v>4800</v>
      </c>
      <c r="C1303" s="370" t="s">
        <v>392</v>
      </c>
      <c r="D1303" s="371">
        <v>81092</v>
      </c>
    </row>
    <row r="1304" spans="1:4" s="5" customFormat="1">
      <c r="A1304" s="364">
        <v>85407</v>
      </c>
      <c r="B1304" s="365" t="s">
        <v>180</v>
      </c>
      <c r="C1304" s="366" t="s">
        <v>127</v>
      </c>
      <c r="D1304" s="367">
        <f>SUM(D1305:D1319)</f>
        <v>3703364</v>
      </c>
    </row>
    <row r="1305" spans="1:4" s="6" customFormat="1">
      <c r="A1305" s="368" t="s">
        <v>180</v>
      </c>
      <c r="B1305" s="369">
        <v>3020</v>
      </c>
      <c r="C1305" s="370" t="s">
        <v>286</v>
      </c>
      <c r="D1305" s="371">
        <v>10863</v>
      </c>
    </row>
    <row r="1306" spans="1:4" s="6" customFormat="1">
      <c r="A1306" s="368" t="s">
        <v>180</v>
      </c>
      <c r="B1306" s="369">
        <v>4110</v>
      </c>
      <c r="C1306" s="370" t="s">
        <v>256</v>
      </c>
      <c r="D1306" s="371">
        <v>502359</v>
      </c>
    </row>
    <row r="1307" spans="1:4" s="6" customFormat="1">
      <c r="A1307" s="368" t="s">
        <v>180</v>
      </c>
      <c r="B1307" s="369">
        <v>4120</v>
      </c>
      <c r="C1307" s="370" t="s">
        <v>257</v>
      </c>
      <c r="D1307" s="371">
        <v>39316</v>
      </c>
    </row>
    <row r="1308" spans="1:4" s="6" customFormat="1">
      <c r="A1308" s="368" t="s">
        <v>180</v>
      </c>
      <c r="B1308" s="369">
        <v>4210</v>
      </c>
      <c r="C1308" s="370" t="s">
        <v>260</v>
      </c>
      <c r="D1308" s="371">
        <v>10978</v>
      </c>
    </row>
    <row r="1309" spans="1:4" s="6" customFormat="1">
      <c r="A1309" s="368" t="s">
        <v>180</v>
      </c>
      <c r="B1309" s="369">
        <v>4240</v>
      </c>
      <c r="C1309" s="370" t="s">
        <v>307</v>
      </c>
      <c r="D1309" s="371">
        <v>14286</v>
      </c>
    </row>
    <row r="1310" spans="1:4" s="6" customFormat="1">
      <c r="A1310" s="368" t="s">
        <v>180</v>
      </c>
      <c r="B1310" s="369">
        <v>4270</v>
      </c>
      <c r="C1310" s="370" t="s">
        <v>263</v>
      </c>
      <c r="D1310" s="371">
        <v>3106</v>
      </c>
    </row>
    <row r="1311" spans="1:4" s="6" customFormat="1">
      <c r="A1311" s="368" t="s">
        <v>180</v>
      </c>
      <c r="B1311" s="369">
        <v>4280</v>
      </c>
      <c r="C1311" s="370" t="s">
        <v>288</v>
      </c>
      <c r="D1311" s="371">
        <v>1280</v>
      </c>
    </row>
    <row r="1312" spans="1:4" s="6" customFormat="1">
      <c r="A1312" s="368" t="s">
        <v>180</v>
      </c>
      <c r="B1312" s="369">
        <v>4300</v>
      </c>
      <c r="C1312" s="370" t="s">
        <v>264</v>
      </c>
      <c r="D1312" s="371">
        <v>829</v>
      </c>
    </row>
    <row r="1313" spans="1:4" s="6" customFormat="1">
      <c r="A1313" s="368" t="s">
        <v>180</v>
      </c>
      <c r="B1313" s="369">
        <v>4360</v>
      </c>
      <c r="C1313" s="370" t="s">
        <v>265</v>
      </c>
      <c r="D1313" s="371">
        <v>764</v>
      </c>
    </row>
    <row r="1314" spans="1:4" s="6" customFormat="1">
      <c r="A1314" s="368" t="s">
        <v>180</v>
      </c>
      <c r="B1314" s="369">
        <v>4410</v>
      </c>
      <c r="C1314" s="370" t="s">
        <v>267</v>
      </c>
      <c r="D1314" s="371">
        <v>491</v>
      </c>
    </row>
    <row r="1315" spans="1:4" s="6" customFormat="1">
      <c r="A1315" s="368" t="s">
        <v>180</v>
      </c>
      <c r="B1315" s="369">
        <v>4440</v>
      </c>
      <c r="C1315" s="370" t="s">
        <v>289</v>
      </c>
      <c r="D1315" s="371">
        <v>112117</v>
      </c>
    </row>
    <row r="1316" spans="1:4" s="6" customFormat="1">
      <c r="A1316" s="368" t="s">
        <v>180</v>
      </c>
      <c r="B1316" s="369">
        <v>4700</v>
      </c>
      <c r="C1316" s="370" t="s">
        <v>270</v>
      </c>
      <c r="D1316" s="371">
        <v>2000</v>
      </c>
    </row>
    <row r="1317" spans="1:4" s="6" customFormat="1">
      <c r="A1317" s="368" t="s">
        <v>180</v>
      </c>
      <c r="B1317" s="369">
        <v>4710</v>
      </c>
      <c r="C1317" s="370" t="s">
        <v>294</v>
      </c>
      <c r="D1317" s="371">
        <v>9937</v>
      </c>
    </row>
    <row r="1318" spans="1:4" s="6" customFormat="1">
      <c r="A1318" s="368" t="s">
        <v>180</v>
      </c>
      <c r="B1318" s="369">
        <v>4790</v>
      </c>
      <c r="C1318" s="370" t="s">
        <v>391</v>
      </c>
      <c r="D1318" s="371">
        <v>2770834</v>
      </c>
    </row>
    <row r="1319" spans="1:4" s="6" customFormat="1">
      <c r="A1319" s="368" t="s">
        <v>180</v>
      </c>
      <c r="B1319" s="369">
        <v>4800</v>
      </c>
      <c r="C1319" s="370" t="s">
        <v>392</v>
      </c>
      <c r="D1319" s="371">
        <v>224204</v>
      </c>
    </row>
    <row r="1320" spans="1:4" s="5" customFormat="1">
      <c r="A1320" s="364">
        <v>85410</v>
      </c>
      <c r="B1320" s="365" t="s">
        <v>180</v>
      </c>
      <c r="C1320" s="366" t="s">
        <v>128</v>
      </c>
      <c r="D1320" s="367">
        <f>SUM(D1321:D1337)</f>
        <v>1572286</v>
      </c>
    </row>
    <row r="1321" spans="1:4" s="6" customFormat="1">
      <c r="A1321" s="368" t="s">
        <v>180</v>
      </c>
      <c r="B1321" s="369">
        <v>3020</v>
      </c>
      <c r="C1321" s="370" t="s">
        <v>286</v>
      </c>
      <c r="D1321" s="371">
        <v>2500</v>
      </c>
    </row>
    <row r="1322" spans="1:4" s="6" customFormat="1">
      <c r="A1322" s="368" t="s">
        <v>180</v>
      </c>
      <c r="B1322" s="369">
        <v>4010</v>
      </c>
      <c r="C1322" s="370" t="s">
        <v>254</v>
      </c>
      <c r="D1322" s="371">
        <v>482762</v>
      </c>
    </row>
    <row r="1323" spans="1:4" s="6" customFormat="1">
      <c r="A1323" s="368" t="s">
        <v>180</v>
      </c>
      <c r="B1323" s="369">
        <v>4040</v>
      </c>
      <c r="C1323" s="370" t="s">
        <v>255</v>
      </c>
      <c r="D1323" s="371">
        <v>28120</v>
      </c>
    </row>
    <row r="1324" spans="1:4" s="6" customFormat="1">
      <c r="A1324" s="368" t="s">
        <v>180</v>
      </c>
      <c r="B1324" s="369">
        <v>4110</v>
      </c>
      <c r="C1324" s="370" t="s">
        <v>256</v>
      </c>
      <c r="D1324" s="371">
        <v>180695</v>
      </c>
    </row>
    <row r="1325" spans="1:4" s="6" customFormat="1">
      <c r="A1325" s="368" t="s">
        <v>180</v>
      </c>
      <c r="B1325" s="369">
        <v>4120</v>
      </c>
      <c r="C1325" s="370" t="s">
        <v>257</v>
      </c>
      <c r="D1325" s="371">
        <v>15522</v>
      </c>
    </row>
    <row r="1326" spans="1:4" s="6" customFormat="1">
      <c r="A1326" s="368" t="s">
        <v>180</v>
      </c>
      <c r="B1326" s="369">
        <v>4210</v>
      </c>
      <c r="C1326" s="370" t="s">
        <v>260</v>
      </c>
      <c r="D1326" s="371">
        <v>180000</v>
      </c>
    </row>
    <row r="1327" spans="1:4" s="6" customFormat="1">
      <c r="A1327" s="368" t="s">
        <v>180</v>
      </c>
      <c r="B1327" s="369">
        <v>4260</v>
      </c>
      <c r="C1327" s="370" t="s">
        <v>262</v>
      </c>
      <c r="D1327" s="371">
        <v>27500</v>
      </c>
    </row>
    <row r="1328" spans="1:4" s="6" customFormat="1">
      <c r="A1328" s="368" t="s">
        <v>180</v>
      </c>
      <c r="B1328" s="369">
        <v>4270</v>
      </c>
      <c r="C1328" s="370" t="s">
        <v>263</v>
      </c>
      <c r="D1328" s="371">
        <v>1600</v>
      </c>
    </row>
    <row r="1329" spans="1:4" s="6" customFormat="1">
      <c r="A1329" s="368" t="s">
        <v>180</v>
      </c>
      <c r="B1329" s="369">
        <v>4280</v>
      </c>
      <c r="C1329" s="370" t="s">
        <v>288</v>
      </c>
      <c r="D1329" s="371">
        <v>400</v>
      </c>
    </row>
    <row r="1330" spans="1:4" s="6" customFormat="1">
      <c r="A1330" s="368" t="s">
        <v>180</v>
      </c>
      <c r="B1330" s="369">
        <v>4300</v>
      </c>
      <c r="C1330" s="370" t="s">
        <v>264</v>
      </c>
      <c r="D1330" s="371">
        <v>20000</v>
      </c>
    </row>
    <row r="1331" spans="1:4" s="6" customFormat="1">
      <c r="A1331" s="368" t="s">
        <v>180</v>
      </c>
      <c r="B1331" s="369">
        <v>4360</v>
      </c>
      <c r="C1331" s="370" t="s">
        <v>265</v>
      </c>
      <c r="D1331" s="371">
        <v>1500</v>
      </c>
    </row>
    <row r="1332" spans="1:4" s="6" customFormat="1">
      <c r="A1332" s="368" t="s">
        <v>180</v>
      </c>
      <c r="B1332" s="369">
        <v>4440</v>
      </c>
      <c r="C1332" s="370" t="s">
        <v>289</v>
      </c>
      <c r="D1332" s="371">
        <v>45368</v>
      </c>
    </row>
    <row r="1333" spans="1:4" s="6" customFormat="1">
      <c r="A1333" s="368" t="s">
        <v>180</v>
      </c>
      <c r="B1333" s="369">
        <v>4520</v>
      </c>
      <c r="C1333" s="370" t="s">
        <v>293</v>
      </c>
      <c r="D1333" s="371">
        <v>15844</v>
      </c>
    </row>
    <row r="1334" spans="1:4" s="6" customFormat="1">
      <c r="A1334" s="368" t="s">
        <v>180</v>
      </c>
      <c r="B1334" s="369">
        <v>4700</v>
      </c>
      <c r="C1334" s="370" t="s">
        <v>270</v>
      </c>
      <c r="D1334" s="371">
        <v>500</v>
      </c>
    </row>
    <row r="1335" spans="1:4" s="6" customFormat="1">
      <c r="A1335" s="368" t="s">
        <v>180</v>
      </c>
      <c r="B1335" s="369">
        <v>4710</v>
      </c>
      <c r="C1335" s="370" t="s">
        <v>294</v>
      </c>
      <c r="D1335" s="371">
        <v>2040</v>
      </c>
    </row>
    <row r="1336" spans="1:4" s="6" customFormat="1">
      <c r="A1336" s="368" t="s">
        <v>180</v>
      </c>
      <c r="B1336" s="369">
        <v>4790</v>
      </c>
      <c r="C1336" s="370" t="s">
        <v>391</v>
      </c>
      <c r="D1336" s="371">
        <v>535404</v>
      </c>
    </row>
    <row r="1337" spans="1:4" s="6" customFormat="1">
      <c r="A1337" s="368" t="s">
        <v>180</v>
      </c>
      <c r="B1337" s="369">
        <v>4800</v>
      </c>
      <c r="C1337" s="370" t="s">
        <v>392</v>
      </c>
      <c r="D1337" s="371">
        <v>32531</v>
      </c>
    </row>
    <row r="1338" spans="1:4" s="5" customFormat="1">
      <c r="A1338" s="364">
        <v>85415</v>
      </c>
      <c r="B1338" s="365" t="s">
        <v>180</v>
      </c>
      <c r="C1338" s="366" t="s">
        <v>129</v>
      </c>
      <c r="D1338" s="367">
        <f>D1339</f>
        <v>207000</v>
      </c>
    </row>
    <row r="1339" spans="1:4" s="6" customFormat="1" ht="33" customHeight="1">
      <c r="A1339" s="368" t="s">
        <v>180</v>
      </c>
      <c r="B1339" s="369">
        <v>2320</v>
      </c>
      <c r="C1339" s="370" t="s">
        <v>285</v>
      </c>
      <c r="D1339" s="371">
        <v>207000</v>
      </c>
    </row>
    <row r="1340" spans="1:4" s="5" customFormat="1">
      <c r="A1340" s="364">
        <v>85416</v>
      </c>
      <c r="B1340" s="365" t="s">
        <v>180</v>
      </c>
      <c r="C1340" s="366" t="s">
        <v>130</v>
      </c>
      <c r="D1340" s="367">
        <f>SUM(D1341:D1356)</f>
        <v>4356582</v>
      </c>
    </row>
    <row r="1341" spans="1:4" s="6" customFormat="1">
      <c r="A1341" s="368" t="s">
        <v>180</v>
      </c>
      <c r="B1341" s="369">
        <v>3247</v>
      </c>
      <c r="C1341" s="370" t="s">
        <v>312</v>
      </c>
      <c r="D1341" s="371">
        <v>3333700</v>
      </c>
    </row>
    <row r="1342" spans="1:4" s="6" customFormat="1">
      <c r="A1342" s="368" t="s">
        <v>180</v>
      </c>
      <c r="B1342" s="369">
        <v>3249</v>
      </c>
      <c r="C1342" s="370" t="s">
        <v>312</v>
      </c>
      <c r="D1342" s="371">
        <v>588300</v>
      </c>
    </row>
    <row r="1343" spans="1:4" s="6" customFormat="1">
      <c r="A1343" s="368" t="s">
        <v>180</v>
      </c>
      <c r="B1343" s="369">
        <v>4017</v>
      </c>
      <c r="C1343" s="370" t="s">
        <v>254</v>
      </c>
      <c r="D1343" s="371">
        <v>250008</v>
      </c>
    </row>
    <row r="1344" spans="1:4" s="6" customFormat="1">
      <c r="A1344" s="368" t="s">
        <v>180</v>
      </c>
      <c r="B1344" s="369">
        <v>4019</v>
      </c>
      <c r="C1344" s="370" t="s">
        <v>254</v>
      </c>
      <c r="D1344" s="371">
        <v>44118</v>
      </c>
    </row>
    <row r="1345" spans="1:4" s="6" customFormat="1">
      <c r="A1345" s="368" t="s">
        <v>180</v>
      </c>
      <c r="B1345" s="369">
        <v>4117</v>
      </c>
      <c r="C1345" s="370" t="s">
        <v>256</v>
      </c>
      <c r="D1345" s="371">
        <v>43736</v>
      </c>
    </row>
    <row r="1346" spans="1:4" s="6" customFormat="1">
      <c r="A1346" s="368" t="s">
        <v>180</v>
      </c>
      <c r="B1346" s="369">
        <v>4119</v>
      </c>
      <c r="C1346" s="370" t="s">
        <v>256</v>
      </c>
      <c r="D1346" s="371">
        <v>7719</v>
      </c>
    </row>
    <row r="1347" spans="1:4" s="6" customFormat="1">
      <c r="A1347" s="368" t="s">
        <v>180</v>
      </c>
      <c r="B1347" s="369">
        <v>4127</v>
      </c>
      <c r="C1347" s="370" t="s">
        <v>257</v>
      </c>
      <c r="D1347" s="371">
        <v>6050</v>
      </c>
    </row>
    <row r="1348" spans="1:4" s="6" customFormat="1">
      <c r="A1348" s="368" t="s">
        <v>180</v>
      </c>
      <c r="B1348" s="369">
        <v>4129</v>
      </c>
      <c r="C1348" s="370" t="s">
        <v>257</v>
      </c>
      <c r="D1348" s="371">
        <v>1069</v>
      </c>
    </row>
    <row r="1349" spans="1:4" s="6" customFormat="1">
      <c r="A1349" s="368" t="s">
        <v>180</v>
      </c>
      <c r="B1349" s="369">
        <v>4217</v>
      </c>
      <c r="C1349" s="370" t="s">
        <v>260</v>
      </c>
      <c r="D1349" s="371">
        <v>23084</v>
      </c>
    </row>
    <row r="1350" spans="1:4" s="6" customFormat="1">
      <c r="A1350" s="368" t="s">
        <v>180</v>
      </c>
      <c r="B1350" s="369">
        <v>4219</v>
      </c>
      <c r="C1350" s="370" t="s">
        <v>260</v>
      </c>
      <c r="D1350" s="371">
        <v>4074</v>
      </c>
    </row>
    <row r="1351" spans="1:4" s="6" customFormat="1">
      <c r="A1351" s="368" t="s">
        <v>180</v>
      </c>
      <c r="B1351" s="369">
        <v>4267</v>
      </c>
      <c r="C1351" s="370" t="s">
        <v>262</v>
      </c>
      <c r="D1351" s="371">
        <v>787</v>
      </c>
    </row>
    <row r="1352" spans="1:4" s="6" customFormat="1">
      <c r="A1352" s="368" t="s">
        <v>180</v>
      </c>
      <c r="B1352" s="369">
        <v>4269</v>
      </c>
      <c r="C1352" s="370" t="s">
        <v>262</v>
      </c>
      <c r="D1352" s="371">
        <v>138</v>
      </c>
    </row>
    <row r="1353" spans="1:4" s="6" customFormat="1">
      <c r="A1353" s="368" t="s">
        <v>180</v>
      </c>
      <c r="B1353" s="369">
        <v>4307</v>
      </c>
      <c r="C1353" s="370" t="s">
        <v>264</v>
      </c>
      <c r="D1353" s="371">
        <v>42500</v>
      </c>
    </row>
    <row r="1354" spans="1:4" s="6" customFormat="1">
      <c r="A1354" s="372" t="s">
        <v>180</v>
      </c>
      <c r="B1354" s="373">
        <v>4309</v>
      </c>
      <c r="C1354" s="374" t="s">
        <v>264</v>
      </c>
      <c r="D1354" s="375">
        <v>7500</v>
      </c>
    </row>
    <row r="1355" spans="1:4" s="6" customFormat="1">
      <c r="A1355" s="376" t="s">
        <v>180</v>
      </c>
      <c r="B1355" s="377">
        <v>4717</v>
      </c>
      <c r="C1355" s="378" t="s">
        <v>294</v>
      </c>
      <c r="D1355" s="379">
        <v>3229</v>
      </c>
    </row>
    <row r="1356" spans="1:4" s="6" customFormat="1">
      <c r="A1356" s="368" t="s">
        <v>180</v>
      </c>
      <c r="B1356" s="369">
        <v>4719</v>
      </c>
      <c r="C1356" s="370" t="s">
        <v>294</v>
      </c>
      <c r="D1356" s="371">
        <v>570</v>
      </c>
    </row>
    <row r="1357" spans="1:4" s="5" customFormat="1">
      <c r="A1357" s="364">
        <v>85446</v>
      </c>
      <c r="B1357" s="365" t="s">
        <v>180</v>
      </c>
      <c r="C1357" s="366" t="s">
        <v>109</v>
      </c>
      <c r="D1357" s="367">
        <f>D1358</f>
        <v>100000</v>
      </c>
    </row>
    <row r="1358" spans="1:4" s="6" customFormat="1">
      <c r="A1358" s="368" t="s">
        <v>180</v>
      </c>
      <c r="B1358" s="369">
        <v>4300</v>
      </c>
      <c r="C1358" s="370" t="s">
        <v>264</v>
      </c>
      <c r="D1358" s="371">
        <v>100000</v>
      </c>
    </row>
    <row r="1359" spans="1:4" s="5" customFormat="1">
      <c r="A1359" s="364">
        <v>85495</v>
      </c>
      <c r="B1359" s="365" t="s">
        <v>180</v>
      </c>
      <c r="C1359" s="366" t="s">
        <v>46</v>
      </c>
      <c r="D1359" s="367">
        <f>SUM(D1360:D1364)</f>
        <v>383203</v>
      </c>
    </row>
    <row r="1360" spans="1:4" s="6" customFormat="1">
      <c r="A1360" s="368" t="s">
        <v>180</v>
      </c>
      <c r="B1360" s="369">
        <v>3020</v>
      </c>
      <c r="C1360" s="370" t="s">
        <v>286</v>
      </c>
      <c r="D1360" s="371">
        <v>40000</v>
      </c>
    </row>
    <row r="1361" spans="1:4" s="6" customFormat="1">
      <c r="A1361" s="368" t="s">
        <v>180</v>
      </c>
      <c r="B1361" s="369">
        <v>4190</v>
      </c>
      <c r="C1361" s="370" t="s">
        <v>259</v>
      </c>
      <c r="D1361" s="371">
        <v>5000</v>
      </c>
    </row>
    <row r="1362" spans="1:4" s="6" customFormat="1">
      <c r="A1362" s="368" t="s">
        <v>180</v>
      </c>
      <c r="B1362" s="369">
        <v>4210</v>
      </c>
      <c r="C1362" s="370" t="s">
        <v>260</v>
      </c>
      <c r="D1362" s="371">
        <v>5000</v>
      </c>
    </row>
    <row r="1363" spans="1:4" s="6" customFormat="1">
      <c r="A1363" s="368" t="s">
        <v>180</v>
      </c>
      <c r="B1363" s="369">
        <v>4300</v>
      </c>
      <c r="C1363" s="370" t="s">
        <v>264</v>
      </c>
      <c r="D1363" s="371">
        <v>90000</v>
      </c>
    </row>
    <row r="1364" spans="1:4" s="6" customFormat="1">
      <c r="A1364" s="368" t="s">
        <v>180</v>
      </c>
      <c r="B1364" s="369">
        <v>4440</v>
      </c>
      <c r="C1364" s="370" t="s">
        <v>289</v>
      </c>
      <c r="D1364" s="371">
        <v>243203</v>
      </c>
    </row>
    <row r="1365" spans="1:4" s="5" customFormat="1">
      <c r="A1365" s="362" t="s">
        <v>52</v>
      </c>
      <c r="B1365" s="380" t="s">
        <v>180</v>
      </c>
      <c r="C1365" s="264" t="s">
        <v>53</v>
      </c>
      <c r="D1365" s="363">
        <f>D1366+D1389</f>
        <v>9659506</v>
      </c>
    </row>
    <row r="1366" spans="1:4" s="5" customFormat="1">
      <c r="A1366" s="364">
        <v>85509</v>
      </c>
      <c r="B1366" s="365" t="s">
        <v>180</v>
      </c>
      <c r="C1366" s="366" t="s">
        <v>54</v>
      </c>
      <c r="D1366" s="367">
        <f>SUM(D1367:D1388)</f>
        <v>3137000</v>
      </c>
    </row>
    <row r="1367" spans="1:4" s="6" customFormat="1" ht="45">
      <c r="A1367" s="368" t="s">
        <v>180</v>
      </c>
      <c r="B1367" s="369">
        <v>2360</v>
      </c>
      <c r="C1367" s="370" t="s">
        <v>298</v>
      </c>
      <c r="D1367" s="371">
        <v>430000</v>
      </c>
    </row>
    <row r="1368" spans="1:4" s="6" customFormat="1" ht="16.5" customHeight="1">
      <c r="A1368" s="368" t="s">
        <v>180</v>
      </c>
      <c r="B1368" s="369">
        <v>3020</v>
      </c>
      <c r="C1368" s="370" t="s">
        <v>286</v>
      </c>
      <c r="D1368" s="371">
        <v>1000</v>
      </c>
    </row>
    <row r="1369" spans="1:4" s="6" customFormat="1" ht="16.5" customHeight="1">
      <c r="A1369" s="368" t="s">
        <v>180</v>
      </c>
      <c r="B1369" s="369">
        <v>4010</v>
      </c>
      <c r="C1369" s="370" t="s">
        <v>254</v>
      </c>
      <c r="D1369" s="371">
        <v>1724504</v>
      </c>
    </row>
    <row r="1370" spans="1:4" s="6" customFormat="1" ht="16.5" customHeight="1">
      <c r="A1370" s="368" t="s">
        <v>180</v>
      </c>
      <c r="B1370" s="369">
        <v>4040</v>
      </c>
      <c r="C1370" s="370" t="s">
        <v>255</v>
      </c>
      <c r="D1370" s="371">
        <v>135331</v>
      </c>
    </row>
    <row r="1371" spans="1:4" s="6" customFormat="1" ht="16.5" customHeight="1">
      <c r="A1371" s="368" t="s">
        <v>180</v>
      </c>
      <c r="B1371" s="369">
        <v>4110</v>
      </c>
      <c r="C1371" s="370" t="s">
        <v>256</v>
      </c>
      <c r="D1371" s="371">
        <v>309844</v>
      </c>
    </row>
    <row r="1372" spans="1:4" s="6" customFormat="1" ht="16.5" customHeight="1">
      <c r="A1372" s="368" t="s">
        <v>180</v>
      </c>
      <c r="B1372" s="369">
        <v>4120</v>
      </c>
      <c r="C1372" s="370" t="s">
        <v>257</v>
      </c>
      <c r="D1372" s="371">
        <v>30609</v>
      </c>
    </row>
    <row r="1373" spans="1:4" s="6" customFormat="1" ht="16.5" customHeight="1">
      <c r="A1373" s="368" t="s">
        <v>180</v>
      </c>
      <c r="B1373" s="369">
        <v>4140</v>
      </c>
      <c r="C1373" s="370" t="s">
        <v>287</v>
      </c>
      <c r="D1373" s="371">
        <v>23000</v>
      </c>
    </row>
    <row r="1374" spans="1:4" s="6" customFormat="1" ht="16.5" customHeight="1">
      <c r="A1374" s="368" t="s">
        <v>180</v>
      </c>
      <c r="B1374" s="369">
        <v>4170</v>
      </c>
      <c r="C1374" s="370" t="s">
        <v>258</v>
      </c>
      <c r="D1374" s="371">
        <v>2000</v>
      </c>
    </row>
    <row r="1375" spans="1:4" s="6" customFormat="1" ht="16.5" customHeight="1">
      <c r="A1375" s="368" t="s">
        <v>180</v>
      </c>
      <c r="B1375" s="369">
        <v>4210</v>
      </c>
      <c r="C1375" s="370" t="s">
        <v>260</v>
      </c>
      <c r="D1375" s="371">
        <v>150000</v>
      </c>
    </row>
    <row r="1376" spans="1:4" s="6" customFormat="1" ht="16.5" customHeight="1">
      <c r="A1376" s="368" t="s">
        <v>180</v>
      </c>
      <c r="B1376" s="369">
        <v>4220</v>
      </c>
      <c r="C1376" s="370" t="s">
        <v>261</v>
      </c>
      <c r="D1376" s="371">
        <v>5000</v>
      </c>
    </row>
    <row r="1377" spans="1:4" s="6" customFormat="1" ht="16.5" customHeight="1">
      <c r="A1377" s="368" t="s">
        <v>180</v>
      </c>
      <c r="B1377" s="369">
        <v>4260</v>
      </c>
      <c r="C1377" s="370" t="s">
        <v>262</v>
      </c>
      <c r="D1377" s="371">
        <v>60000</v>
      </c>
    </row>
    <row r="1378" spans="1:4" s="6" customFormat="1" ht="16.5" customHeight="1">
      <c r="A1378" s="368" t="s">
        <v>180</v>
      </c>
      <c r="B1378" s="369">
        <v>4270</v>
      </c>
      <c r="C1378" s="370" t="s">
        <v>263</v>
      </c>
      <c r="D1378" s="371">
        <v>20000</v>
      </c>
    </row>
    <row r="1379" spans="1:4" s="6" customFormat="1" ht="16.5" customHeight="1">
      <c r="A1379" s="368" t="s">
        <v>180</v>
      </c>
      <c r="B1379" s="369">
        <v>4280</v>
      </c>
      <c r="C1379" s="370" t="s">
        <v>288</v>
      </c>
      <c r="D1379" s="371">
        <v>1500</v>
      </c>
    </row>
    <row r="1380" spans="1:4" s="6" customFormat="1" ht="16.5" customHeight="1">
      <c r="A1380" s="368" t="s">
        <v>180</v>
      </c>
      <c r="B1380" s="369">
        <v>4300</v>
      </c>
      <c r="C1380" s="370" t="s">
        <v>264</v>
      </c>
      <c r="D1380" s="371">
        <v>124000</v>
      </c>
    </row>
    <row r="1381" spans="1:4" s="6" customFormat="1" ht="16.5" customHeight="1">
      <c r="A1381" s="368" t="s">
        <v>180</v>
      </c>
      <c r="B1381" s="369">
        <v>4360</v>
      </c>
      <c r="C1381" s="370" t="s">
        <v>265</v>
      </c>
      <c r="D1381" s="371">
        <v>13000</v>
      </c>
    </row>
    <row r="1382" spans="1:4" s="6" customFormat="1" ht="15" customHeight="1">
      <c r="A1382" s="368" t="s">
        <v>180</v>
      </c>
      <c r="B1382" s="369">
        <v>4400</v>
      </c>
      <c r="C1382" s="370" t="s">
        <v>266</v>
      </c>
      <c r="D1382" s="371">
        <v>5328</v>
      </c>
    </row>
    <row r="1383" spans="1:4" s="6" customFormat="1">
      <c r="A1383" s="368" t="s">
        <v>180</v>
      </c>
      <c r="B1383" s="369">
        <v>4410</v>
      </c>
      <c r="C1383" s="370" t="s">
        <v>267</v>
      </c>
      <c r="D1383" s="371">
        <v>25000</v>
      </c>
    </row>
    <row r="1384" spans="1:4" s="6" customFormat="1">
      <c r="A1384" s="368" t="s">
        <v>180</v>
      </c>
      <c r="B1384" s="369">
        <v>4430</v>
      </c>
      <c r="C1384" s="370" t="s">
        <v>269</v>
      </c>
      <c r="D1384" s="371">
        <v>165</v>
      </c>
    </row>
    <row r="1385" spans="1:4" s="6" customFormat="1">
      <c r="A1385" s="368" t="s">
        <v>180</v>
      </c>
      <c r="B1385" s="369">
        <v>4440</v>
      </c>
      <c r="C1385" s="370" t="s">
        <v>289</v>
      </c>
      <c r="D1385" s="371">
        <v>55417</v>
      </c>
    </row>
    <row r="1386" spans="1:4" s="6" customFormat="1">
      <c r="A1386" s="368" t="s">
        <v>180</v>
      </c>
      <c r="B1386" s="369">
        <v>4480</v>
      </c>
      <c r="C1386" s="370" t="s">
        <v>290</v>
      </c>
      <c r="D1386" s="371">
        <v>3801</v>
      </c>
    </row>
    <row r="1387" spans="1:4" s="6" customFormat="1">
      <c r="A1387" s="368" t="s">
        <v>180</v>
      </c>
      <c r="B1387" s="369">
        <v>4700</v>
      </c>
      <c r="C1387" s="370" t="s">
        <v>270</v>
      </c>
      <c r="D1387" s="371">
        <v>10000</v>
      </c>
    </row>
    <row r="1388" spans="1:4" s="6" customFormat="1">
      <c r="A1388" s="368" t="s">
        <v>180</v>
      </c>
      <c r="B1388" s="369">
        <v>4710</v>
      </c>
      <c r="C1388" s="370" t="s">
        <v>294</v>
      </c>
      <c r="D1388" s="371">
        <v>7501</v>
      </c>
    </row>
    <row r="1389" spans="1:4" s="5" customFormat="1">
      <c r="A1389" s="364">
        <v>85595</v>
      </c>
      <c r="B1389" s="365" t="s">
        <v>180</v>
      </c>
      <c r="C1389" s="366" t="s">
        <v>46</v>
      </c>
      <c r="D1389" s="367">
        <f>SUM(D1390:D1431)</f>
        <v>6522506</v>
      </c>
    </row>
    <row r="1390" spans="1:4" s="6" customFormat="1" ht="60">
      <c r="A1390" s="368" t="s">
        <v>180</v>
      </c>
      <c r="B1390" s="369">
        <v>2007</v>
      </c>
      <c r="C1390" s="370" t="s">
        <v>252</v>
      </c>
      <c r="D1390" s="371">
        <v>132978</v>
      </c>
    </row>
    <row r="1391" spans="1:4" s="6" customFormat="1" ht="60">
      <c r="A1391" s="368" t="s">
        <v>180</v>
      </c>
      <c r="B1391" s="369">
        <v>2009</v>
      </c>
      <c r="C1391" s="370" t="s">
        <v>252</v>
      </c>
      <c r="D1391" s="371">
        <v>7822</v>
      </c>
    </row>
    <row r="1392" spans="1:4" s="6" customFormat="1" ht="60">
      <c r="A1392" s="368" t="s">
        <v>180</v>
      </c>
      <c r="B1392" s="369">
        <v>2057</v>
      </c>
      <c r="C1392" s="370" t="s">
        <v>381</v>
      </c>
      <c r="D1392" s="371">
        <v>4435385</v>
      </c>
    </row>
    <row r="1393" spans="1:4" s="6" customFormat="1" ht="60">
      <c r="A1393" s="368" t="s">
        <v>180</v>
      </c>
      <c r="B1393" s="369">
        <v>2059</v>
      </c>
      <c r="C1393" s="370" t="s">
        <v>381</v>
      </c>
      <c r="D1393" s="371">
        <v>260905</v>
      </c>
    </row>
    <row r="1394" spans="1:4" s="6" customFormat="1" ht="45">
      <c r="A1394" s="368" t="s">
        <v>180</v>
      </c>
      <c r="B1394" s="369">
        <v>2360</v>
      </c>
      <c r="C1394" s="370" t="s">
        <v>298</v>
      </c>
      <c r="D1394" s="371">
        <v>1010000</v>
      </c>
    </row>
    <row r="1395" spans="1:4" s="6" customFormat="1">
      <c r="A1395" s="368" t="s">
        <v>180</v>
      </c>
      <c r="B1395" s="369">
        <v>4017</v>
      </c>
      <c r="C1395" s="370" t="s">
        <v>254</v>
      </c>
      <c r="D1395" s="371">
        <v>280590</v>
      </c>
    </row>
    <row r="1396" spans="1:4" s="6" customFormat="1">
      <c r="A1396" s="368" t="s">
        <v>180</v>
      </c>
      <c r="B1396" s="369">
        <v>4019</v>
      </c>
      <c r="C1396" s="370" t="s">
        <v>254</v>
      </c>
      <c r="D1396" s="371">
        <v>16505</v>
      </c>
    </row>
    <row r="1397" spans="1:4" s="6" customFormat="1">
      <c r="A1397" s="368" t="s">
        <v>180</v>
      </c>
      <c r="B1397" s="369">
        <v>4047</v>
      </c>
      <c r="C1397" s="370" t="s">
        <v>255</v>
      </c>
      <c r="D1397" s="371">
        <v>14034</v>
      </c>
    </row>
    <row r="1398" spans="1:4" s="6" customFormat="1">
      <c r="A1398" s="368" t="s">
        <v>180</v>
      </c>
      <c r="B1398" s="369">
        <v>4049</v>
      </c>
      <c r="C1398" s="370" t="s">
        <v>255</v>
      </c>
      <c r="D1398" s="371">
        <v>826</v>
      </c>
    </row>
    <row r="1399" spans="1:4" s="6" customFormat="1">
      <c r="A1399" s="372" t="s">
        <v>180</v>
      </c>
      <c r="B1399" s="373">
        <v>4117</v>
      </c>
      <c r="C1399" s="374" t="s">
        <v>256</v>
      </c>
      <c r="D1399" s="375">
        <v>50646</v>
      </c>
    </row>
    <row r="1400" spans="1:4" s="6" customFormat="1">
      <c r="A1400" s="376" t="s">
        <v>180</v>
      </c>
      <c r="B1400" s="377">
        <v>4119</v>
      </c>
      <c r="C1400" s="378" t="s">
        <v>256</v>
      </c>
      <c r="D1400" s="379">
        <v>2978</v>
      </c>
    </row>
    <row r="1401" spans="1:4" s="6" customFormat="1">
      <c r="A1401" s="368" t="s">
        <v>180</v>
      </c>
      <c r="B1401" s="369">
        <v>4127</v>
      </c>
      <c r="C1401" s="370" t="s">
        <v>257</v>
      </c>
      <c r="D1401" s="371">
        <v>7219</v>
      </c>
    </row>
    <row r="1402" spans="1:4" s="6" customFormat="1">
      <c r="A1402" s="368" t="s">
        <v>180</v>
      </c>
      <c r="B1402" s="369">
        <v>4129</v>
      </c>
      <c r="C1402" s="370" t="s">
        <v>257</v>
      </c>
      <c r="D1402" s="371">
        <v>425</v>
      </c>
    </row>
    <row r="1403" spans="1:4" s="6" customFormat="1">
      <c r="A1403" s="368" t="s">
        <v>180</v>
      </c>
      <c r="B1403" s="369">
        <v>4170</v>
      </c>
      <c r="C1403" s="370" t="s">
        <v>258</v>
      </c>
      <c r="D1403" s="371">
        <v>2000</v>
      </c>
    </row>
    <row r="1404" spans="1:4" s="6" customFormat="1">
      <c r="A1404" s="368" t="s">
        <v>180</v>
      </c>
      <c r="B1404" s="369">
        <v>4177</v>
      </c>
      <c r="C1404" s="370" t="s">
        <v>258</v>
      </c>
      <c r="D1404" s="371">
        <v>9444</v>
      </c>
    </row>
    <row r="1405" spans="1:4" s="6" customFormat="1">
      <c r="A1405" s="368" t="s">
        <v>180</v>
      </c>
      <c r="B1405" s="369">
        <v>4179</v>
      </c>
      <c r="C1405" s="370" t="s">
        <v>258</v>
      </c>
      <c r="D1405" s="371">
        <v>556</v>
      </c>
    </row>
    <row r="1406" spans="1:4" s="6" customFormat="1">
      <c r="A1406" s="368" t="s">
        <v>180</v>
      </c>
      <c r="B1406" s="369">
        <v>4190</v>
      </c>
      <c r="C1406" s="370" t="s">
        <v>259</v>
      </c>
      <c r="D1406" s="371">
        <v>4000</v>
      </c>
    </row>
    <row r="1407" spans="1:4" s="6" customFormat="1">
      <c r="A1407" s="368" t="s">
        <v>180</v>
      </c>
      <c r="B1407" s="369">
        <v>4210</v>
      </c>
      <c r="C1407" s="370" t="s">
        <v>260</v>
      </c>
      <c r="D1407" s="371">
        <v>1900</v>
      </c>
    </row>
    <row r="1408" spans="1:4" s="6" customFormat="1">
      <c r="A1408" s="368" t="s">
        <v>180</v>
      </c>
      <c r="B1408" s="369">
        <v>4217</v>
      </c>
      <c r="C1408" s="370" t="s">
        <v>260</v>
      </c>
      <c r="D1408" s="371">
        <v>4722</v>
      </c>
    </row>
    <row r="1409" spans="1:4" s="6" customFormat="1">
      <c r="A1409" s="368" t="s">
        <v>180</v>
      </c>
      <c r="B1409" s="369">
        <v>4219</v>
      </c>
      <c r="C1409" s="370" t="s">
        <v>260</v>
      </c>
      <c r="D1409" s="371">
        <v>278</v>
      </c>
    </row>
    <row r="1410" spans="1:4" s="6" customFormat="1">
      <c r="A1410" s="368" t="s">
        <v>180</v>
      </c>
      <c r="B1410" s="369">
        <v>4220</v>
      </c>
      <c r="C1410" s="370" t="s">
        <v>261</v>
      </c>
      <c r="D1410" s="371">
        <v>100</v>
      </c>
    </row>
    <row r="1411" spans="1:4" s="6" customFormat="1">
      <c r="A1411" s="368" t="s">
        <v>180</v>
      </c>
      <c r="B1411" s="369">
        <v>4227</v>
      </c>
      <c r="C1411" s="370" t="s">
        <v>261</v>
      </c>
      <c r="D1411" s="371">
        <v>1887</v>
      </c>
    </row>
    <row r="1412" spans="1:4" s="6" customFormat="1">
      <c r="A1412" s="368" t="s">
        <v>180</v>
      </c>
      <c r="B1412" s="369">
        <v>4229</v>
      </c>
      <c r="C1412" s="370" t="s">
        <v>261</v>
      </c>
      <c r="D1412" s="371">
        <v>111</v>
      </c>
    </row>
    <row r="1413" spans="1:4" s="6" customFormat="1">
      <c r="A1413" s="368" t="s">
        <v>180</v>
      </c>
      <c r="B1413" s="369">
        <v>4267</v>
      </c>
      <c r="C1413" s="370" t="s">
        <v>262</v>
      </c>
      <c r="D1413" s="371">
        <v>2078</v>
      </c>
    </row>
    <row r="1414" spans="1:4" s="6" customFormat="1">
      <c r="A1414" s="368" t="s">
        <v>180</v>
      </c>
      <c r="B1414" s="369">
        <v>4269</v>
      </c>
      <c r="C1414" s="370" t="s">
        <v>262</v>
      </c>
      <c r="D1414" s="371">
        <v>122</v>
      </c>
    </row>
    <row r="1415" spans="1:4" s="6" customFormat="1">
      <c r="A1415" s="368" t="s">
        <v>180</v>
      </c>
      <c r="B1415" s="369">
        <v>4277</v>
      </c>
      <c r="C1415" s="370" t="s">
        <v>263</v>
      </c>
      <c r="D1415" s="371">
        <v>944</v>
      </c>
    </row>
    <row r="1416" spans="1:4" s="6" customFormat="1">
      <c r="A1416" s="368" t="s">
        <v>180</v>
      </c>
      <c r="B1416" s="369">
        <v>4279</v>
      </c>
      <c r="C1416" s="370" t="s">
        <v>263</v>
      </c>
      <c r="D1416" s="371">
        <v>56</v>
      </c>
    </row>
    <row r="1417" spans="1:4" s="6" customFormat="1">
      <c r="A1417" s="368" t="s">
        <v>180</v>
      </c>
      <c r="B1417" s="369">
        <v>4287</v>
      </c>
      <c r="C1417" s="370" t="s">
        <v>288</v>
      </c>
      <c r="D1417" s="371">
        <v>189</v>
      </c>
    </row>
    <row r="1418" spans="1:4" s="6" customFormat="1">
      <c r="A1418" s="368" t="s">
        <v>180</v>
      </c>
      <c r="B1418" s="369">
        <v>4289</v>
      </c>
      <c r="C1418" s="370" t="s">
        <v>288</v>
      </c>
      <c r="D1418" s="371">
        <v>11</v>
      </c>
    </row>
    <row r="1419" spans="1:4" s="6" customFormat="1">
      <c r="A1419" s="368" t="s">
        <v>180</v>
      </c>
      <c r="B1419" s="369">
        <v>4300</v>
      </c>
      <c r="C1419" s="370" t="s">
        <v>264</v>
      </c>
      <c r="D1419" s="371">
        <v>151000</v>
      </c>
    </row>
    <row r="1420" spans="1:4" s="6" customFormat="1">
      <c r="A1420" s="368" t="s">
        <v>180</v>
      </c>
      <c r="B1420" s="369">
        <v>4307</v>
      </c>
      <c r="C1420" s="370" t="s">
        <v>264</v>
      </c>
      <c r="D1420" s="371">
        <v>98251</v>
      </c>
    </row>
    <row r="1421" spans="1:4" s="6" customFormat="1">
      <c r="A1421" s="368" t="s">
        <v>180</v>
      </c>
      <c r="B1421" s="369">
        <v>4309</v>
      </c>
      <c r="C1421" s="370" t="s">
        <v>264</v>
      </c>
      <c r="D1421" s="371">
        <v>5780</v>
      </c>
    </row>
    <row r="1422" spans="1:4" s="6" customFormat="1">
      <c r="A1422" s="368" t="s">
        <v>180</v>
      </c>
      <c r="B1422" s="369">
        <v>4367</v>
      </c>
      <c r="C1422" s="370" t="s">
        <v>265</v>
      </c>
      <c r="D1422" s="371">
        <v>1417</v>
      </c>
    </row>
    <row r="1423" spans="1:4" s="6" customFormat="1">
      <c r="A1423" s="368" t="s">
        <v>180</v>
      </c>
      <c r="B1423" s="369">
        <v>4369</v>
      </c>
      <c r="C1423" s="370" t="s">
        <v>265</v>
      </c>
      <c r="D1423" s="371">
        <v>83</v>
      </c>
    </row>
    <row r="1424" spans="1:4" s="6" customFormat="1">
      <c r="A1424" s="368" t="s">
        <v>180</v>
      </c>
      <c r="B1424" s="369">
        <v>4417</v>
      </c>
      <c r="C1424" s="370" t="s">
        <v>267</v>
      </c>
      <c r="D1424" s="371">
        <v>3103</v>
      </c>
    </row>
    <row r="1425" spans="1:4" s="6" customFormat="1">
      <c r="A1425" s="368" t="s">
        <v>180</v>
      </c>
      <c r="B1425" s="369">
        <v>4419</v>
      </c>
      <c r="C1425" s="370" t="s">
        <v>267</v>
      </c>
      <c r="D1425" s="371">
        <v>182</v>
      </c>
    </row>
    <row r="1426" spans="1:4" s="6" customFormat="1">
      <c r="A1426" s="368" t="s">
        <v>180</v>
      </c>
      <c r="B1426" s="369">
        <v>4447</v>
      </c>
      <c r="C1426" s="370" t="s">
        <v>289</v>
      </c>
      <c r="D1426" s="371">
        <v>5950</v>
      </c>
    </row>
    <row r="1427" spans="1:4" s="6" customFormat="1">
      <c r="A1427" s="368" t="s">
        <v>180</v>
      </c>
      <c r="B1427" s="369">
        <v>4449</v>
      </c>
      <c r="C1427" s="370" t="s">
        <v>289</v>
      </c>
      <c r="D1427" s="371">
        <v>350</v>
      </c>
    </row>
    <row r="1428" spans="1:4" s="6" customFormat="1">
      <c r="A1428" s="368" t="s">
        <v>180</v>
      </c>
      <c r="B1428" s="369">
        <v>4707</v>
      </c>
      <c r="C1428" s="370" t="s">
        <v>270</v>
      </c>
      <c r="D1428" s="371">
        <v>2833</v>
      </c>
    </row>
    <row r="1429" spans="1:4" s="6" customFormat="1">
      <c r="A1429" s="368" t="s">
        <v>180</v>
      </c>
      <c r="B1429" s="369">
        <v>4709</v>
      </c>
      <c r="C1429" s="370" t="s">
        <v>270</v>
      </c>
      <c r="D1429" s="371">
        <v>167</v>
      </c>
    </row>
    <row r="1430" spans="1:4" s="6" customFormat="1">
      <c r="A1430" s="368" t="s">
        <v>180</v>
      </c>
      <c r="B1430" s="369">
        <v>4717</v>
      </c>
      <c r="C1430" s="370" t="s">
        <v>294</v>
      </c>
      <c r="D1430" s="371">
        <v>4419</v>
      </c>
    </row>
    <row r="1431" spans="1:4" s="6" customFormat="1">
      <c r="A1431" s="368" t="s">
        <v>180</v>
      </c>
      <c r="B1431" s="369">
        <v>4719</v>
      </c>
      <c r="C1431" s="370" t="s">
        <v>294</v>
      </c>
      <c r="D1431" s="371">
        <v>260</v>
      </c>
    </row>
    <row r="1432" spans="1:4" s="5" customFormat="1">
      <c r="A1432" s="362" t="s">
        <v>38</v>
      </c>
      <c r="B1432" s="380" t="s">
        <v>180</v>
      </c>
      <c r="C1432" s="264" t="s">
        <v>39</v>
      </c>
      <c r="D1432" s="363">
        <f>D1433+D1436+D1440+D1442+D1444+D1447+D1457+D1466+D1468+D1484</f>
        <v>31288792</v>
      </c>
    </row>
    <row r="1433" spans="1:4" s="5" customFormat="1">
      <c r="A1433" s="364">
        <v>90001</v>
      </c>
      <c r="B1433" s="365" t="s">
        <v>180</v>
      </c>
      <c r="C1433" s="366" t="s">
        <v>151</v>
      </c>
      <c r="D1433" s="367">
        <f>D1434+D1435</f>
        <v>476427</v>
      </c>
    </row>
    <row r="1434" spans="1:4" s="6" customFormat="1" ht="60">
      <c r="A1434" s="368" t="s">
        <v>180</v>
      </c>
      <c r="B1434" s="369">
        <v>2059</v>
      </c>
      <c r="C1434" s="370" t="s">
        <v>381</v>
      </c>
      <c r="D1434" s="371">
        <v>100</v>
      </c>
    </row>
    <row r="1435" spans="1:4" s="6" customFormat="1" ht="60">
      <c r="A1435" s="368" t="s">
        <v>180</v>
      </c>
      <c r="B1435" s="369">
        <v>6259</v>
      </c>
      <c r="C1435" s="370" t="s">
        <v>183</v>
      </c>
      <c r="D1435" s="371">
        <v>476327</v>
      </c>
    </row>
    <row r="1436" spans="1:4" s="5" customFormat="1">
      <c r="A1436" s="364">
        <v>90002</v>
      </c>
      <c r="B1436" s="365" t="s">
        <v>180</v>
      </c>
      <c r="C1436" s="366" t="s">
        <v>144</v>
      </c>
      <c r="D1436" s="367">
        <f>SUM(D1437:D1439)</f>
        <v>2000</v>
      </c>
    </row>
    <row r="1437" spans="1:4" s="6" customFormat="1">
      <c r="A1437" s="368" t="s">
        <v>180</v>
      </c>
      <c r="B1437" s="369">
        <v>4110</v>
      </c>
      <c r="C1437" s="370" t="s">
        <v>256</v>
      </c>
      <c r="D1437" s="371">
        <v>200</v>
      </c>
    </row>
    <row r="1438" spans="1:4" s="6" customFormat="1">
      <c r="A1438" s="368" t="s">
        <v>180</v>
      </c>
      <c r="B1438" s="369">
        <v>4120</v>
      </c>
      <c r="C1438" s="370" t="s">
        <v>257</v>
      </c>
      <c r="D1438" s="371">
        <v>100</v>
      </c>
    </row>
    <row r="1439" spans="1:4" s="6" customFormat="1">
      <c r="A1439" s="368" t="s">
        <v>180</v>
      </c>
      <c r="B1439" s="369">
        <v>4170</v>
      </c>
      <c r="C1439" s="370" t="s">
        <v>258</v>
      </c>
      <c r="D1439" s="371">
        <v>1700</v>
      </c>
    </row>
    <row r="1440" spans="1:4" s="5" customFormat="1">
      <c r="A1440" s="364">
        <v>90005</v>
      </c>
      <c r="B1440" s="365" t="s">
        <v>180</v>
      </c>
      <c r="C1440" s="366" t="s">
        <v>44</v>
      </c>
      <c r="D1440" s="367">
        <f>D1441</f>
        <v>137000</v>
      </c>
    </row>
    <row r="1441" spans="1:4" s="6" customFormat="1">
      <c r="A1441" s="368" t="s">
        <v>180</v>
      </c>
      <c r="B1441" s="369">
        <v>4300</v>
      </c>
      <c r="C1441" s="370" t="s">
        <v>264</v>
      </c>
      <c r="D1441" s="371">
        <v>137000</v>
      </c>
    </row>
    <row r="1442" spans="1:4" s="5" customFormat="1">
      <c r="A1442" s="364">
        <v>90007</v>
      </c>
      <c r="B1442" s="365" t="s">
        <v>180</v>
      </c>
      <c r="C1442" s="366" t="s">
        <v>45</v>
      </c>
      <c r="D1442" s="367">
        <f>D1443</f>
        <v>59000</v>
      </c>
    </row>
    <row r="1443" spans="1:4" s="6" customFormat="1">
      <c r="A1443" s="368" t="s">
        <v>180</v>
      </c>
      <c r="B1443" s="369">
        <v>4300</v>
      </c>
      <c r="C1443" s="370" t="s">
        <v>264</v>
      </c>
      <c r="D1443" s="371">
        <v>59000</v>
      </c>
    </row>
    <row r="1444" spans="1:4" s="5" customFormat="1">
      <c r="A1444" s="364">
        <v>90015</v>
      </c>
      <c r="B1444" s="365" t="s">
        <v>180</v>
      </c>
      <c r="C1444" s="366" t="s">
        <v>152</v>
      </c>
      <c r="D1444" s="367">
        <f>D1445+D1446</f>
        <v>391592</v>
      </c>
    </row>
    <row r="1445" spans="1:4" s="6" customFormat="1" ht="60">
      <c r="A1445" s="368" t="s">
        <v>180</v>
      </c>
      <c r="B1445" s="369">
        <v>2059</v>
      </c>
      <c r="C1445" s="370" t="s">
        <v>381</v>
      </c>
      <c r="D1445" s="371">
        <v>2800</v>
      </c>
    </row>
    <row r="1446" spans="1:4" s="6" customFormat="1" ht="60">
      <c r="A1446" s="368" t="s">
        <v>180</v>
      </c>
      <c r="B1446" s="369">
        <v>6259</v>
      </c>
      <c r="C1446" s="370" t="s">
        <v>183</v>
      </c>
      <c r="D1446" s="371">
        <v>388792</v>
      </c>
    </row>
    <row r="1447" spans="1:4" s="5" customFormat="1" ht="30">
      <c r="A1447" s="364">
        <v>90019</v>
      </c>
      <c r="B1447" s="365" t="s">
        <v>180</v>
      </c>
      <c r="C1447" s="366" t="s">
        <v>131</v>
      </c>
      <c r="D1447" s="367">
        <f>SUM(D1448:D1456)</f>
        <v>910000</v>
      </c>
    </row>
    <row r="1448" spans="1:4" s="6" customFormat="1">
      <c r="A1448" s="368" t="s">
        <v>180</v>
      </c>
      <c r="B1448" s="369">
        <v>4010</v>
      </c>
      <c r="C1448" s="370" t="s">
        <v>254</v>
      </c>
      <c r="D1448" s="371">
        <v>425011</v>
      </c>
    </row>
    <row r="1449" spans="1:4" s="6" customFormat="1">
      <c r="A1449" s="372" t="s">
        <v>180</v>
      </c>
      <c r="B1449" s="373">
        <v>4040</v>
      </c>
      <c r="C1449" s="374" t="s">
        <v>255</v>
      </c>
      <c r="D1449" s="375">
        <v>65000</v>
      </c>
    </row>
    <row r="1450" spans="1:4" s="6" customFormat="1">
      <c r="A1450" s="376" t="s">
        <v>180</v>
      </c>
      <c r="B1450" s="377">
        <v>4110</v>
      </c>
      <c r="C1450" s="378" t="s">
        <v>256</v>
      </c>
      <c r="D1450" s="379">
        <v>84233</v>
      </c>
    </row>
    <row r="1451" spans="1:4" s="6" customFormat="1">
      <c r="A1451" s="368" t="s">
        <v>180</v>
      </c>
      <c r="B1451" s="369">
        <v>4120</v>
      </c>
      <c r="C1451" s="370" t="s">
        <v>257</v>
      </c>
      <c r="D1451" s="371">
        <v>12006</v>
      </c>
    </row>
    <row r="1452" spans="1:4" s="6" customFormat="1">
      <c r="A1452" s="368" t="s">
        <v>180</v>
      </c>
      <c r="B1452" s="369">
        <v>4210</v>
      </c>
      <c r="C1452" s="370" t="s">
        <v>260</v>
      </c>
      <c r="D1452" s="371">
        <v>10000</v>
      </c>
    </row>
    <row r="1453" spans="1:4" s="6" customFormat="1">
      <c r="A1453" s="368" t="s">
        <v>180</v>
      </c>
      <c r="B1453" s="369">
        <v>4300</v>
      </c>
      <c r="C1453" s="370" t="s">
        <v>264</v>
      </c>
      <c r="D1453" s="371">
        <v>300000</v>
      </c>
    </row>
    <row r="1454" spans="1:4" s="6" customFormat="1">
      <c r="A1454" s="368" t="s">
        <v>180</v>
      </c>
      <c r="B1454" s="369">
        <v>4410</v>
      </c>
      <c r="C1454" s="370" t="s">
        <v>267</v>
      </c>
      <c r="D1454" s="371">
        <v>400</v>
      </c>
    </row>
    <row r="1455" spans="1:4" s="6" customFormat="1">
      <c r="A1455" s="368" t="s">
        <v>180</v>
      </c>
      <c r="B1455" s="369">
        <v>4700</v>
      </c>
      <c r="C1455" s="370" t="s">
        <v>270</v>
      </c>
      <c r="D1455" s="371">
        <v>6000</v>
      </c>
    </row>
    <row r="1456" spans="1:4" s="6" customFormat="1">
      <c r="A1456" s="368" t="s">
        <v>180</v>
      </c>
      <c r="B1456" s="369">
        <v>4710</v>
      </c>
      <c r="C1456" s="370" t="s">
        <v>294</v>
      </c>
      <c r="D1456" s="371">
        <v>7350</v>
      </c>
    </row>
    <row r="1457" spans="1:4" s="5" customFormat="1">
      <c r="A1457" s="364">
        <v>90020</v>
      </c>
      <c r="B1457" s="365" t="s">
        <v>180</v>
      </c>
      <c r="C1457" s="366" t="s">
        <v>132</v>
      </c>
      <c r="D1457" s="367">
        <f>SUM(D1458:D1465)</f>
        <v>24248</v>
      </c>
    </row>
    <row r="1458" spans="1:4" s="6" customFormat="1">
      <c r="A1458" s="368" t="s">
        <v>180</v>
      </c>
      <c r="B1458" s="369">
        <v>4010</v>
      </c>
      <c r="C1458" s="370" t="s">
        <v>254</v>
      </c>
      <c r="D1458" s="371">
        <v>12782</v>
      </c>
    </row>
    <row r="1459" spans="1:4" s="6" customFormat="1">
      <c r="A1459" s="368" t="s">
        <v>180</v>
      </c>
      <c r="B1459" s="369">
        <v>4040</v>
      </c>
      <c r="C1459" s="370" t="s">
        <v>255</v>
      </c>
      <c r="D1459" s="371">
        <v>800</v>
      </c>
    </row>
    <row r="1460" spans="1:4" s="6" customFormat="1">
      <c r="A1460" s="368" t="s">
        <v>180</v>
      </c>
      <c r="B1460" s="369">
        <v>4110</v>
      </c>
      <c r="C1460" s="370" t="s">
        <v>256</v>
      </c>
      <c r="D1460" s="371">
        <v>2335</v>
      </c>
    </row>
    <row r="1461" spans="1:4" s="6" customFormat="1">
      <c r="A1461" s="368" t="s">
        <v>180</v>
      </c>
      <c r="B1461" s="369">
        <v>4120</v>
      </c>
      <c r="C1461" s="370" t="s">
        <v>257</v>
      </c>
      <c r="D1461" s="371">
        <v>334</v>
      </c>
    </row>
    <row r="1462" spans="1:4" s="6" customFormat="1">
      <c r="A1462" s="368" t="s">
        <v>180</v>
      </c>
      <c r="B1462" s="369">
        <v>4210</v>
      </c>
      <c r="C1462" s="370" t="s">
        <v>260</v>
      </c>
      <c r="D1462" s="371">
        <v>2748</v>
      </c>
    </row>
    <row r="1463" spans="1:4" s="6" customFormat="1">
      <c r="A1463" s="368" t="s">
        <v>180</v>
      </c>
      <c r="B1463" s="369">
        <v>4610</v>
      </c>
      <c r="C1463" s="370" t="s">
        <v>272</v>
      </c>
      <c r="D1463" s="371">
        <v>500</v>
      </c>
    </row>
    <row r="1464" spans="1:4" s="6" customFormat="1">
      <c r="A1464" s="368" t="s">
        <v>180</v>
      </c>
      <c r="B1464" s="369">
        <v>4700</v>
      </c>
      <c r="C1464" s="370" t="s">
        <v>270</v>
      </c>
      <c r="D1464" s="371">
        <v>4000</v>
      </c>
    </row>
    <row r="1465" spans="1:4" s="6" customFormat="1">
      <c r="A1465" s="368" t="s">
        <v>180</v>
      </c>
      <c r="B1465" s="369">
        <v>4710</v>
      </c>
      <c r="C1465" s="370" t="s">
        <v>294</v>
      </c>
      <c r="D1465" s="371">
        <v>749</v>
      </c>
    </row>
    <row r="1466" spans="1:4" s="5" customFormat="1" ht="16.5" customHeight="1">
      <c r="A1466" s="364">
        <v>90024</v>
      </c>
      <c r="B1466" s="365" t="s">
        <v>180</v>
      </c>
      <c r="C1466" s="366" t="s">
        <v>246</v>
      </c>
      <c r="D1466" s="367">
        <f>D1467</f>
        <v>3510</v>
      </c>
    </row>
    <row r="1467" spans="1:4" s="6" customFormat="1" ht="16.5" customHeight="1">
      <c r="A1467" s="368" t="s">
        <v>180</v>
      </c>
      <c r="B1467" s="369">
        <v>4210</v>
      </c>
      <c r="C1467" s="370" t="s">
        <v>260</v>
      </c>
      <c r="D1467" s="371">
        <v>3510</v>
      </c>
    </row>
    <row r="1468" spans="1:4" s="5" customFormat="1" ht="16.5" customHeight="1">
      <c r="A1468" s="364">
        <v>90026</v>
      </c>
      <c r="B1468" s="365" t="s">
        <v>180</v>
      </c>
      <c r="C1468" s="366" t="s">
        <v>133</v>
      </c>
      <c r="D1468" s="367">
        <f>SUM(D1469:D1483)</f>
        <v>6273269</v>
      </c>
    </row>
    <row r="1469" spans="1:4" s="6" customFormat="1" ht="16.5" customHeight="1">
      <c r="A1469" s="368" t="s">
        <v>180</v>
      </c>
      <c r="B1469" s="369">
        <v>4010</v>
      </c>
      <c r="C1469" s="370" t="s">
        <v>254</v>
      </c>
      <c r="D1469" s="371">
        <v>66184</v>
      </c>
    </row>
    <row r="1470" spans="1:4" s="6" customFormat="1" ht="16.5" customHeight="1">
      <c r="A1470" s="368" t="s">
        <v>180</v>
      </c>
      <c r="B1470" s="369">
        <v>4017</v>
      </c>
      <c r="C1470" s="370" t="s">
        <v>254</v>
      </c>
      <c r="D1470" s="371">
        <v>260000</v>
      </c>
    </row>
    <row r="1471" spans="1:4" s="6" customFormat="1" ht="16.5" customHeight="1">
      <c r="A1471" s="368" t="s">
        <v>180</v>
      </c>
      <c r="B1471" s="369">
        <v>4040</v>
      </c>
      <c r="C1471" s="370" t="s">
        <v>255</v>
      </c>
      <c r="D1471" s="371">
        <v>6500</v>
      </c>
    </row>
    <row r="1472" spans="1:4" s="6" customFormat="1" ht="16.5" customHeight="1">
      <c r="A1472" s="368" t="s">
        <v>180</v>
      </c>
      <c r="B1472" s="369">
        <v>4047</v>
      </c>
      <c r="C1472" s="370" t="s">
        <v>255</v>
      </c>
      <c r="D1472" s="371">
        <v>30000</v>
      </c>
    </row>
    <row r="1473" spans="1:4" s="6" customFormat="1" ht="16.5" customHeight="1">
      <c r="A1473" s="368" t="s">
        <v>180</v>
      </c>
      <c r="B1473" s="369">
        <v>4110</v>
      </c>
      <c r="C1473" s="370" t="s">
        <v>256</v>
      </c>
      <c r="D1473" s="371">
        <v>12495</v>
      </c>
    </row>
    <row r="1474" spans="1:4" s="6" customFormat="1" ht="16.5" customHeight="1">
      <c r="A1474" s="368" t="s">
        <v>180</v>
      </c>
      <c r="B1474" s="369">
        <v>4117</v>
      </c>
      <c r="C1474" s="370" t="s">
        <v>256</v>
      </c>
      <c r="D1474" s="371">
        <v>49851</v>
      </c>
    </row>
    <row r="1475" spans="1:4" s="6" customFormat="1" ht="16.5" customHeight="1">
      <c r="A1475" s="368" t="s">
        <v>180</v>
      </c>
      <c r="B1475" s="369">
        <v>4120</v>
      </c>
      <c r="C1475" s="370" t="s">
        <v>257</v>
      </c>
      <c r="D1475" s="371">
        <v>1781</v>
      </c>
    </row>
    <row r="1476" spans="1:4" s="6" customFormat="1" ht="16.5" customHeight="1">
      <c r="A1476" s="368" t="s">
        <v>180</v>
      </c>
      <c r="B1476" s="369">
        <v>4127</v>
      </c>
      <c r="C1476" s="370" t="s">
        <v>257</v>
      </c>
      <c r="D1476" s="371">
        <v>7105</v>
      </c>
    </row>
    <row r="1477" spans="1:4" s="6" customFormat="1" ht="16.5" customHeight="1">
      <c r="A1477" s="368" t="s">
        <v>180</v>
      </c>
      <c r="B1477" s="369">
        <v>4210</v>
      </c>
      <c r="C1477" s="370" t="s">
        <v>260</v>
      </c>
      <c r="D1477" s="371">
        <v>30250</v>
      </c>
    </row>
    <row r="1478" spans="1:4" s="6" customFormat="1" ht="16.5" customHeight="1">
      <c r="A1478" s="368" t="s">
        <v>180</v>
      </c>
      <c r="B1478" s="369">
        <v>4217</v>
      </c>
      <c r="C1478" s="370" t="s">
        <v>260</v>
      </c>
      <c r="D1478" s="371">
        <v>5000</v>
      </c>
    </row>
    <row r="1479" spans="1:4" s="6" customFormat="1" ht="16.5" customHeight="1">
      <c r="A1479" s="368" t="s">
        <v>180</v>
      </c>
      <c r="B1479" s="369">
        <v>4307</v>
      </c>
      <c r="C1479" s="370" t="s">
        <v>264</v>
      </c>
      <c r="D1479" s="371">
        <v>671968</v>
      </c>
    </row>
    <row r="1480" spans="1:4" s="6" customFormat="1" ht="16.5" customHeight="1">
      <c r="A1480" s="368" t="s">
        <v>180</v>
      </c>
      <c r="B1480" s="369">
        <v>4700</v>
      </c>
      <c r="C1480" s="370" t="s">
        <v>270</v>
      </c>
      <c r="D1480" s="371">
        <v>2000</v>
      </c>
    </row>
    <row r="1481" spans="1:4" s="6" customFormat="1" ht="16.5" customHeight="1">
      <c r="A1481" s="368" t="s">
        <v>180</v>
      </c>
      <c r="B1481" s="369">
        <v>4710</v>
      </c>
      <c r="C1481" s="370" t="s">
        <v>294</v>
      </c>
      <c r="D1481" s="371">
        <v>1090</v>
      </c>
    </row>
    <row r="1482" spans="1:4" s="6" customFormat="1" ht="17.25" customHeight="1">
      <c r="A1482" s="368" t="s">
        <v>180</v>
      </c>
      <c r="B1482" s="369">
        <v>4717</v>
      </c>
      <c r="C1482" s="370" t="s">
        <v>294</v>
      </c>
      <c r="D1482" s="371">
        <v>4350</v>
      </c>
    </row>
    <row r="1483" spans="1:4" s="6" customFormat="1" ht="32.25" customHeight="1">
      <c r="A1483" s="368" t="s">
        <v>180</v>
      </c>
      <c r="B1483" s="369">
        <v>6617</v>
      </c>
      <c r="C1483" s="370" t="s">
        <v>274</v>
      </c>
      <c r="D1483" s="371">
        <v>5124695</v>
      </c>
    </row>
    <row r="1484" spans="1:4" s="5" customFormat="1">
      <c r="A1484" s="364">
        <v>90095</v>
      </c>
      <c r="B1484" s="365" t="s">
        <v>180</v>
      </c>
      <c r="C1484" s="366" t="s">
        <v>46</v>
      </c>
      <c r="D1484" s="367">
        <f>SUM(D1485:D1501)</f>
        <v>23011746</v>
      </c>
    </row>
    <row r="1485" spans="1:4" s="6" customFormat="1" ht="60">
      <c r="A1485" s="368" t="s">
        <v>180</v>
      </c>
      <c r="B1485" s="369">
        <v>2009</v>
      </c>
      <c r="C1485" s="370" t="s">
        <v>252</v>
      </c>
      <c r="D1485" s="371">
        <v>4380</v>
      </c>
    </row>
    <row r="1486" spans="1:4" s="6" customFormat="1" ht="60">
      <c r="A1486" s="368" t="s">
        <v>180</v>
      </c>
      <c r="B1486" s="369">
        <v>2059</v>
      </c>
      <c r="C1486" s="370" t="s">
        <v>381</v>
      </c>
      <c r="D1486" s="371">
        <v>41120</v>
      </c>
    </row>
    <row r="1487" spans="1:4" s="6" customFormat="1">
      <c r="A1487" s="368" t="s">
        <v>180</v>
      </c>
      <c r="B1487" s="369">
        <v>4010</v>
      </c>
      <c r="C1487" s="370" t="s">
        <v>254</v>
      </c>
      <c r="D1487" s="371">
        <v>586464</v>
      </c>
    </row>
    <row r="1488" spans="1:4" s="6" customFormat="1">
      <c r="A1488" s="368" t="s">
        <v>180</v>
      </c>
      <c r="B1488" s="369">
        <v>4040</v>
      </c>
      <c r="C1488" s="370" t="s">
        <v>255</v>
      </c>
      <c r="D1488" s="371">
        <v>81000</v>
      </c>
    </row>
    <row r="1489" spans="1:4" s="6" customFormat="1">
      <c r="A1489" s="368" t="s">
        <v>180</v>
      </c>
      <c r="B1489" s="369">
        <v>4110</v>
      </c>
      <c r="C1489" s="370" t="s">
        <v>256</v>
      </c>
      <c r="D1489" s="371">
        <v>121823</v>
      </c>
    </row>
    <row r="1490" spans="1:4" s="6" customFormat="1">
      <c r="A1490" s="368" t="s">
        <v>180</v>
      </c>
      <c r="B1490" s="369">
        <v>4120</v>
      </c>
      <c r="C1490" s="370" t="s">
        <v>257</v>
      </c>
      <c r="D1490" s="371">
        <v>15938</v>
      </c>
    </row>
    <row r="1491" spans="1:4" s="6" customFormat="1">
      <c r="A1491" s="368" t="s">
        <v>180</v>
      </c>
      <c r="B1491" s="369">
        <v>4170</v>
      </c>
      <c r="C1491" s="370" t="s">
        <v>258</v>
      </c>
      <c r="D1491" s="371">
        <v>55000</v>
      </c>
    </row>
    <row r="1492" spans="1:4" s="6" customFormat="1">
      <c r="A1492" s="368" t="s">
        <v>180</v>
      </c>
      <c r="B1492" s="369">
        <v>4190</v>
      </c>
      <c r="C1492" s="370" t="s">
        <v>259</v>
      </c>
      <c r="D1492" s="371">
        <v>5000</v>
      </c>
    </row>
    <row r="1493" spans="1:4" s="6" customFormat="1">
      <c r="A1493" s="368" t="s">
        <v>180</v>
      </c>
      <c r="B1493" s="369">
        <v>4210</v>
      </c>
      <c r="C1493" s="370" t="s">
        <v>260</v>
      </c>
      <c r="D1493" s="371">
        <v>25350</v>
      </c>
    </row>
    <row r="1494" spans="1:4" s="6" customFormat="1">
      <c r="A1494" s="368" t="s">
        <v>180</v>
      </c>
      <c r="B1494" s="369">
        <v>4300</v>
      </c>
      <c r="C1494" s="370" t="s">
        <v>264</v>
      </c>
      <c r="D1494" s="371">
        <v>669335</v>
      </c>
    </row>
    <row r="1495" spans="1:4" s="6" customFormat="1">
      <c r="A1495" s="368" t="s">
        <v>180</v>
      </c>
      <c r="B1495" s="369">
        <v>4390</v>
      </c>
      <c r="C1495" s="370" t="s">
        <v>281</v>
      </c>
      <c r="D1495" s="371">
        <v>3000</v>
      </c>
    </row>
    <row r="1496" spans="1:4" s="6" customFormat="1">
      <c r="A1496" s="368" t="s">
        <v>180</v>
      </c>
      <c r="B1496" s="369">
        <v>4700</v>
      </c>
      <c r="C1496" s="370" t="s">
        <v>270</v>
      </c>
      <c r="D1496" s="371">
        <v>15000</v>
      </c>
    </row>
    <row r="1497" spans="1:4" s="6" customFormat="1">
      <c r="A1497" s="368" t="s">
        <v>180</v>
      </c>
      <c r="B1497" s="369">
        <v>4710</v>
      </c>
      <c r="C1497" s="370" t="s">
        <v>294</v>
      </c>
      <c r="D1497" s="371">
        <v>7500</v>
      </c>
    </row>
    <row r="1498" spans="1:4" s="6" customFormat="1">
      <c r="A1498" s="368" t="s">
        <v>180</v>
      </c>
      <c r="B1498" s="369">
        <v>6010</v>
      </c>
      <c r="C1498" s="370" t="s">
        <v>299</v>
      </c>
      <c r="D1498" s="371">
        <v>1500000</v>
      </c>
    </row>
    <row r="1499" spans="1:4" s="6" customFormat="1">
      <c r="A1499" s="368" t="s">
        <v>180</v>
      </c>
      <c r="B1499" s="369">
        <v>6060</v>
      </c>
      <c r="C1499" s="370" t="s">
        <v>295</v>
      </c>
      <c r="D1499" s="371">
        <v>700000</v>
      </c>
    </row>
    <row r="1500" spans="1:4" s="6" customFormat="1" ht="60">
      <c r="A1500" s="372" t="s">
        <v>180</v>
      </c>
      <c r="B1500" s="373">
        <v>6209</v>
      </c>
      <c r="C1500" s="374" t="s">
        <v>279</v>
      </c>
      <c r="D1500" s="375">
        <v>1325598</v>
      </c>
    </row>
    <row r="1501" spans="1:4" s="6" customFormat="1" ht="60">
      <c r="A1501" s="386" t="s">
        <v>180</v>
      </c>
      <c r="B1501" s="387">
        <v>6259</v>
      </c>
      <c r="C1501" s="388" t="s">
        <v>183</v>
      </c>
      <c r="D1501" s="389">
        <v>17855238</v>
      </c>
    </row>
    <row r="1502" spans="1:4" s="6" customFormat="1">
      <c r="A1502" s="362" t="s">
        <v>40</v>
      </c>
      <c r="B1502" s="380" t="s">
        <v>180</v>
      </c>
      <c r="C1502" s="264" t="s">
        <v>41</v>
      </c>
      <c r="D1502" s="363">
        <f>D1503+D1508+D1511+D1515+D1517+D1519+D1523+D1527+D1534</f>
        <v>159235959</v>
      </c>
    </row>
    <row r="1503" spans="1:4" s="5" customFormat="1">
      <c r="A1503" s="364">
        <v>92106</v>
      </c>
      <c r="B1503" s="365" t="s">
        <v>180</v>
      </c>
      <c r="C1503" s="366" t="s">
        <v>314</v>
      </c>
      <c r="D1503" s="367">
        <f>SUM(D1504:D1507)</f>
        <v>76528676</v>
      </c>
    </row>
    <row r="1504" spans="1:4" s="6" customFormat="1">
      <c r="A1504" s="368" t="s">
        <v>180</v>
      </c>
      <c r="B1504" s="369">
        <v>2480</v>
      </c>
      <c r="C1504" s="370" t="s">
        <v>315</v>
      </c>
      <c r="D1504" s="371">
        <v>34678500</v>
      </c>
    </row>
    <row r="1505" spans="1:4" s="6" customFormat="1" ht="30">
      <c r="A1505" s="368" t="s">
        <v>180</v>
      </c>
      <c r="B1505" s="369">
        <v>2800</v>
      </c>
      <c r="C1505" s="370" t="s">
        <v>278</v>
      </c>
      <c r="D1505" s="371">
        <v>342181</v>
      </c>
    </row>
    <row r="1506" spans="1:4" s="6" customFormat="1">
      <c r="A1506" s="368" t="s">
        <v>180</v>
      </c>
      <c r="B1506" s="369">
        <v>6050</v>
      </c>
      <c r="C1506" s="370" t="s">
        <v>282</v>
      </c>
      <c r="D1506" s="371">
        <v>14760</v>
      </c>
    </row>
    <row r="1507" spans="1:4" s="6" customFormat="1" ht="32.25" customHeight="1">
      <c r="A1507" s="368" t="s">
        <v>180</v>
      </c>
      <c r="B1507" s="369">
        <v>6220</v>
      </c>
      <c r="C1507" s="370" t="s">
        <v>300</v>
      </c>
      <c r="D1507" s="371">
        <v>41493235</v>
      </c>
    </row>
    <row r="1508" spans="1:4" s="5" customFormat="1">
      <c r="A1508" s="364">
        <v>92108</v>
      </c>
      <c r="B1508" s="365" t="s">
        <v>180</v>
      </c>
      <c r="C1508" s="366" t="s">
        <v>134</v>
      </c>
      <c r="D1508" s="367">
        <f>SUM(D1509:D1510)</f>
        <v>19113356</v>
      </c>
    </row>
    <row r="1509" spans="1:4" s="6" customFormat="1">
      <c r="A1509" s="368" t="s">
        <v>180</v>
      </c>
      <c r="B1509" s="369">
        <v>2480</v>
      </c>
      <c r="C1509" s="370" t="s">
        <v>315</v>
      </c>
      <c r="D1509" s="371">
        <v>10513162</v>
      </c>
    </row>
    <row r="1510" spans="1:4" s="6" customFormat="1" ht="32.25" customHeight="1">
      <c r="A1510" s="368" t="s">
        <v>180</v>
      </c>
      <c r="B1510" s="369">
        <v>6220</v>
      </c>
      <c r="C1510" s="370" t="s">
        <v>300</v>
      </c>
      <c r="D1510" s="371">
        <v>8600194</v>
      </c>
    </row>
    <row r="1511" spans="1:4" s="5" customFormat="1">
      <c r="A1511" s="364">
        <v>92109</v>
      </c>
      <c r="B1511" s="365" t="s">
        <v>180</v>
      </c>
      <c r="C1511" s="366" t="s">
        <v>135</v>
      </c>
      <c r="D1511" s="367">
        <f>SUM(D1512:D1514)</f>
        <v>9944114</v>
      </c>
    </row>
    <row r="1512" spans="1:4" s="6" customFormat="1">
      <c r="A1512" s="368" t="s">
        <v>180</v>
      </c>
      <c r="B1512" s="369">
        <v>2480</v>
      </c>
      <c r="C1512" s="370" t="s">
        <v>315</v>
      </c>
      <c r="D1512" s="371">
        <v>8740621</v>
      </c>
    </row>
    <row r="1513" spans="1:4" s="6" customFormat="1" ht="30">
      <c r="A1513" s="368" t="s">
        <v>180</v>
      </c>
      <c r="B1513" s="369">
        <v>2800</v>
      </c>
      <c r="C1513" s="370" t="s">
        <v>278</v>
      </c>
      <c r="D1513" s="371">
        <v>40280</v>
      </c>
    </row>
    <row r="1514" spans="1:4" s="6" customFormat="1" ht="32.25" customHeight="1">
      <c r="A1514" s="368" t="s">
        <v>180</v>
      </c>
      <c r="B1514" s="369">
        <v>6220</v>
      </c>
      <c r="C1514" s="370" t="s">
        <v>300</v>
      </c>
      <c r="D1514" s="371">
        <v>1163213</v>
      </c>
    </row>
    <row r="1515" spans="1:4" s="5" customFormat="1" ht="17.25" customHeight="1">
      <c r="A1515" s="364">
        <v>92110</v>
      </c>
      <c r="B1515" s="365" t="s">
        <v>180</v>
      </c>
      <c r="C1515" s="366" t="s">
        <v>136</v>
      </c>
      <c r="D1515" s="367">
        <f>D1516</f>
        <v>2668426</v>
      </c>
    </row>
    <row r="1516" spans="1:4" s="6" customFormat="1" ht="17.25" customHeight="1">
      <c r="A1516" s="368" t="s">
        <v>180</v>
      </c>
      <c r="B1516" s="369">
        <v>2480</v>
      </c>
      <c r="C1516" s="370" t="s">
        <v>315</v>
      </c>
      <c r="D1516" s="371">
        <v>2668426</v>
      </c>
    </row>
    <row r="1517" spans="1:4" s="5" customFormat="1" ht="17.25" customHeight="1">
      <c r="A1517" s="364">
        <v>92113</v>
      </c>
      <c r="B1517" s="365" t="s">
        <v>180</v>
      </c>
      <c r="C1517" s="366" t="s">
        <v>137</v>
      </c>
      <c r="D1517" s="367">
        <f>D1518</f>
        <v>1299500</v>
      </c>
    </row>
    <row r="1518" spans="1:4" s="6" customFormat="1" ht="17.25" customHeight="1">
      <c r="A1518" s="368" t="s">
        <v>180</v>
      </c>
      <c r="B1518" s="369">
        <v>2480</v>
      </c>
      <c r="C1518" s="370" t="s">
        <v>315</v>
      </c>
      <c r="D1518" s="371">
        <v>1299500</v>
      </c>
    </row>
    <row r="1519" spans="1:4" s="5" customFormat="1" ht="17.25" customHeight="1">
      <c r="A1519" s="364">
        <v>92116</v>
      </c>
      <c r="B1519" s="365" t="s">
        <v>180</v>
      </c>
      <c r="C1519" s="366" t="s">
        <v>138</v>
      </c>
      <c r="D1519" s="367">
        <f>SUM(D1520:D1522)</f>
        <v>23493880</v>
      </c>
    </row>
    <row r="1520" spans="1:4" s="6" customFormat="1" ht="17.25" customHeight="1">
      <c r="A1520" s="368" t="s">
        <v>180</v>
      </c>
      <c r="B1520" s="369">
        <v>2480</v>
      </c>
      <c r="C1520" s="370" t="s">
        <v>315</v>
      </c>
      <c r="D1520" s="371">
        <v>23129180</v>
      </c>
    </row>
    <row r="1521" spans="1:4" s="6" customFormat="1" ht="30">
      <c r="A1521" s="368" t="s">
        <v>180</v>
      </c>
      <c r="B1521" s="369">
        <v>2800</v>
      </c>
      <c r="C1521" s="370" t="s">
        <v>278</v>
      </c>
      <c r="D1521" s="371">
        <v>190710</v>
      </c>
    </row>
    <row r="1522" spans="1:4" s="6" customFormat="1" ht="32.25" customHeight="1">
      <c r="A1522" s="368" t="s">
        <v>180</v>
      </c>
      <c r="B1522" s="369">
        <v>6220</v>
      </c>
      <c r="C1522" s="370" t="s">
        <v>300</v>
      </c>
      <c r="D1522" s="371">
        <v>173990</v>
      </c>
    </row>
    <row r="1523" spans="1:4" s="5" customFormat="1">
      <c r="A1523" s="364">
        <v>92118</v>
      </c>
      <c r="B1523" s="365" t="s">
        <v>180</v>
      </c>
      <c r="C1523" s="366" t="s">
        <v>139</v>
      </c>
      <c r="D1523" s="367">
        <f>SUM(D1524:D1526)</f>
        <v>16161366</v>
      </c>
    </row>
    <row r="1524" spans="1:4" s="6" customFormat="1">
      <c r="A1524" s="368" t="s">
        <v>180</v>
      </c>
      <c r="B1524" s="369">
        <v>2480</v>
      </c>
      <c r="C1524" s="370" t="s">
        <v>315</v>
      </c>
      <c r="D1524" s="371">
        <v>15989479</v>
      </c>
    </row>
    <row r="1525" spans="1:4" s="6" customFormat="1" ht="30">
      <c r="A1525" s="368" t="s">
        <v>180</v>
      </c>
      <c r="B1525" s="369">
        <v>2710</v>
      </c>
      <c r="C1525" s="370" t="s">
        <v>313</v>
      </c>
      <c r="D1525" s="371">
        <v>74000</v>
      </c>
    </row>
    <row r="1526" spans="1:4" s="6" customFormat="1" ht="32.25" customHeight="1">
      <c r="A1526" s="368" t="s">
        <v>180</v>
      </c>
      <c r="B1526" s="369">
        <v>6220</v>
      </c>
      <c r="C1526" s="370" t="s">
        <v>300</v>
      </c>
      <c r="D1526" s="371">
        <v>97887</v>
      </c>
    </row>
    <row r="1527" spans="1:4" s="5" customFormat="1">
      <c r="A1527" s="364">
        <v>92120</v>
      </c>
      <c r="B1527" s="365" t="s">
        <v>180</v>
      </c>
      <c r="C1527" s="366" t="s">
        <v>140</v>
      </c>
      <c r="D1527" s="367">
        <f>SUM(D1528:D1533)</f>
        <v>1200000</v>
      </c>
    </row>
    <row r="1528" spans="1:4" s="6" customFormat="1" ht="45">
      <c r="A1528" s="368" t="s">
        <v>180</v>
      </c>
      <c r="B1528" s="369">
        <v>2720</v>
      </c>
      <c r="C1528" s="370" t="s">
        <v>316</v>
      </c>
      <c r="D1528" s="371">
        <v>900000</v>
      </c>
    </row>
    <row r="1529" spans="1:4" s="6" customFormat="1" ht="45">
      <c r="A1529" s="368" t="s">
        <v>180</v>
      </c>
      <c r="B1529" s="369">
        <v>2730</v>
      </c>
      <c r="C1529" s="370" t="s">
        <v>317</v>
      </c>
      <c r="D1529" s="371">
        <v>225000</v>
      </c>
    </row>
    <row r="1530" spans="1:4" s="6" customFormat="1">
      <c r="A1530" s="368" t="s">
        <v>180</v>
      </c>
      <c r="B1530" s="369">
        <v>4170</v>
      </c>
      <c r="C1530" s="370" t="s">
        <v>258</v>
      </c>
      <c r="D1530" s="371">
        <v>19000</v>
      </c>
    </row>
    <row r="1531" spans="1:4" s="6" customFormat="1">
      <c r="A1531" s="368" t="s">
        <v>180</v>
      </c>
      <c r="B1531" s="369">
        <v>4190</v>
      </c>
      <c r="C1531" s="370" t="s">
        <v>259</v>
      </c>
      <c r="D1531" s="371">
        <v>2000</v>
      </c>
    </row>
    <row r="1532" spans="1:4" s="6" customFormat="1">
      <c r="A1532" s="368" t="s">
        <v>180</v>
      </c>
      <c r="B1532" s="369">
        <v>4210</v>
      </c>
      <c r="C1532" s="370" t="s">
        <v>260</v>
      </c>
      <c r="D1532" s="371">
        <v>4000</v>
      </c>
    </row>
    <row r="1533" spans="1:4" s="6" customFormat="1">
      <c r="A1533" s="368" t="s">
        <v>180</v>
      </c>
      <c r="B1533" s="369">
        <v>4300</v>
      </c>
      <c r="C1533" s="370" t="s">
        <v>264</v>
      </c>
      <c r="D1533" s="371">
        <v>50000</v>
      </c>
    </row>
    <row r="1534" spans="1:4" s="5" customFormat="1">
      <c r="A1534" s="364">
        <v>92195</v>
      </c>
      <c r="B1534" s="365" t="s">
        <v>180</v>
      </c>
      <c r="C1534" s="366" t="s">
        <v>46</v>
      </c>
      <c r="D1534" s="367">
        <f>SUM(D1535:D1556)</f>
        <v>8826641</v>
      </c>
    </row>
    <row r="1535" spans="1:4" s="6" customFormat="1" ht="45">
      <c r="A1535" s="368" t="s">
        <v>180</v>
      </c>
      <c r="B1535" s="369">
        <v>2360</v>
      </c>
      <c r="C1535" s="370" t="s">
        <v>298</v>
      </c>
      <c r="D1535" s="371">
        <v>1100000</v>
      </c>
    </row>
    <row r="1536" spans="1:4" s="6" customFormat="1" ht="30">
      <c r="A1536" s="368" t="s">
        <v>180</v>
      </c>
      <c r="B1536" s="369">
        <v>2710</v>
      </c>
      <c r="C1536" s="370" t="s">
        <v>313</v>
      </c>
      <c r="D1536" s="371">
        <v>250000</v>
      </c>
    </row>
    <row r="1537" spans="1:4" s="6" customFormat="1" ht="30">
      <c r="A1537" s="368" t="s">
        <v>180</v>
      </c>
      <c r="B1537" s="369">
        <v>2800</v>
      </c>
      <c r="C1537" s="370" t="s">
        <v>278</v>
      </c>
      <c r="D1537" s="371">
        <v>2270000</v>
      </c>
    </row>
    <row r="1538" spans="1:4" s="6" customFormat="1">
      <c r="A1538" s="368" t="s">
        <v>180</v>
      </c>
      <c r="B1538" s="369">
        <v>3040</v>
      </c>
      <c r="C1538" s="370" t="s">
        <v>301</v>
      </c>
      <c r="D1538" s="371">
        <v>276000</v>
      </c>
    </row>
    <row r="1539" spans="1:4" s="6" customFormat="1">
      <c r="A1539" s="368" t="s">
        <v>180</v>
      </c>
      <c r="B1539" s="369">
        <v>3250</v>
      </c>
      <c r="C1539" s="370" t="s">
        <v>318</v>
      </c>
      <c r="D1539" s="371">
        <v>150000</v>
      </c>
    </row>
    <row r="1540" spans="1:4" s="6" customFormat="1">
      <c r="A1540" s="368" t="s">
        <v>180</v>
      </c>
      <c r="B1540" s="369">
        <v>4017</v>
      </c>
      <c r="C1540" s="370" t="s">
        <v>254</v>
      </c>
      <c r="D1540" s="371">
        <v>31828</v>
      </c>
    </row>
    <row r="1541" spans="1:4" s="6" customFormat="1">
      <c r="A1541" s="372" t="s">
        <v>180</v>
      </c>
      <c r="B1541" s="373">
        <v>4019</v>
      </c>
      <c r="C1541" s="374" t="s">
        <v>254</v>
      </c>
      <c r="D1541" s="375">
        <v>5617</v>
      </c>
    </row>
    <row r="1542" spans="1:4" s="6" customFormat="1">
      <c r="A1542" s="376" t="s">
        <v>180</v>
      </c>
      <c r="B1542" s="377">
        <v>4110</v>
      </c>
      <c r="C1542" s="378" t="s">
        <v>256</v>
      </c>
      <c r="D1542" s="379">
        <v>3500</v>
      </c>
    </row>
    <row r="1543" spans="1:4" s="6" customFormat="1">
      <c r="A1543" s="368" t="s">
        <v>180</v>
      </c>
      <c r="B1543" s="369">
        <v>4117</v>
      </c>
      <c r="C1543" s="370" t="s">
        <v>256</v>
      </c>
      <c r="D1543" s="371">
        <v>5470</v>
      </c>
    </row>
    <row r="1544" spans="1:4" s="6" customFormat="1">
      <c r="A1544" s="368" t="s">
        <v>180</v>
      </c>
      <c r="B1544" s="369">
        <v>4119</v>
      </c>
      <c r="C1544" s="370" t="s">
        <v>256</v>
      </c>
      <c r="D1544" s="371">
        <v>965</v>
      </c>
    </row>
    <row r="1545" spans="1:4" s="6" customFormat="1">
      <c r="A1545" s="368" t="s">
        <v>180</v>
      </c>
      <c r="B1545" s="369">
        <v>4120</v>
      </c>
      <c r="C1545" s="370" t="s">
        <v>257</v>
      </c>
      <c r="D1545" s="371">
        <v>500</v>
      </c>
    </row>
    <row r="1546" spans="1:4" s="6" customFormat="1">
      <c r="A1546" s="368" t="s">
        <v>180</v>
      </c>
      <c r="B1546" s="369">
        <v>4127</v>
      </c>
      <c r="C1546" s="370" t="s">
        <v>257</v>
      </c>
      <c r="D1546" s="371">
        <v>782</v>
      </c>
    </row>
    <row r="1547" spans="1:4" s="6" customFormat="1">
      <c r="A1547" s="368" t="s">
        <v>180</v>
      </c>
      <c r="B1547" s="369">
        <v>4129</v>
      </c>
      <c r="C1547" s="370" t="s">
        <v>257</v>
      </c>
      <c r="D1547" s="371">
        <v>138</v>
      </c>
    </row>
    <row r="1548" spans="1:4" s="6" customFormat="1">
      <c r="A1548" s="368" t="s">
        <v>180</v>
      </c>
      <c r="B1548" s="369">
        <v>4170</v>
      </c>
      <c r="C1548" s="370" t="s">
        <v>258</v>
      </c>
      <c r="D1548" s="371">
        <v>120000</v>
      </c>
    </row>
    <row r="1549" spans="1:4" s="6" customFormat="1">
      <c r="A1549" s="368" t="s">
        <v>180</v>
      </c>
      <c r="B1549" s="369">
        <v>4190</v>
      </c>
      <c r="C1549" s="370" t="s">
        <v>259</v>
      </c>
      <c r="D1549" s="371">
        <v>110000</v>
      </c>
    </row>
    <row r="1550" spans="1:4" s="6" customFormat="1">
      <c r="A1550" s="368" t="s">
        <v>180</v>
      </c>
      <c r="B1550" s="369">
        <v>4210</v>
      </c>
      <c r="C1550" s="370" t="s">
        <v>260</v>
      </c>
      <c r="D1550" s="371">
        <v>52000</v>
      </c>
    </row>
    <row r="1551" spans="1:4" s="6" customFormat="1">
      <c r="A1551" s="368" t="s">
        <v>180</v>
      </c>
      <c r="B1551" s="369">
        <v>4267</v>
      </c>
      <c r="C1551" s="370" t="s">
        <v>262</v>
      </c>
      <c r="D1551" s="371">
        <v>1615</v>
      </c>
    </row>
    <row r="1552" spans="1:4" s="6" customFormat="1">
      <c r="A1552" s="368" t="s">
        <v>180</v>
      </c>
      <c r="B1552" s="369">
        <v>4269</v>
      </c>
      <c r="C1552" s="370" t="s">
        <v>262</v>
      </c>
      <c r="D1552" s="371">
        <v>285</v>
      </c>
    </row>
    <row r="1553" spans="1:4" s="6" customFormat="1">
      <c r="A1553" s="368" t="s">
        <v>180</v>
      </c>
      <c r="B1553" s="369">
        <v>4300</v>
      </c>
      <c r="C1553" s="370" t="s">
        <v>264</v>
      </c>
      <c r="D1553" s="371">
        <v>3177718</v>
      </c>
    </row>
    <row r="1554" spans="1:4" s="6" customFormat="1">
      <c r="A1554" s="368" t="s">
        <v>180</v>
      </c>
      <c r="B1554" s="369">
        <v>4397</v>
      </c>
      <c r="C1554" s="370" t="s">
        <v>281</v>
      </c>
      <c r="D1554" s="371">
        <v>42500</v>
      </c>
    </row>
    <row r="1555" spans="1:4" s="6" customFormat="1">
      <c r="A1555" s="368" t="s">
        <v>180</v>
      </c>
      <c r="B1555" s="369">
        <v>4399</v>
      </c>
      <c r="C1555" s="370" t="s">
        <v>281</v>
      </c>
      <c r="D1555" s="371">
        <v>7500</v>
      </c>
    </row>
    <row r="1556" spans="1:4" s="6" customFormat="1">
      <c r="A1556" s="368" t="s">
        <v>180</v>
      </c>
      <c r="B1556" s="369">
        <v>6050</v>
      </c>
      <c r="C1556" s="370" t="s">
        <v>282</v>
      </c>
      <c r="D1556" s="371">
        <v>1220223</v>
      </c>
    </row>
    <row r="1557" spans="1:4" s="5" customFormat="1" ht="30">
      <c r="A1557" s="362">
        <v>925</v>
      </c>
      <c r="B1557" s="380" t="s">
        <v>180</v>
      </c>
      <c r="C1557" s="264" t="s">
        <v>141</v>
      </c>
      <c r="D1557" s="363">
        <f>D1558</f>
        <v>5738960</v>
      </c>
    </row>
    <row r="1558" spans="1:4" s="5" customFormat="1">
      <c r="A1558" s="364">
        <v>92502</v>
      </c>
      <c r="B1558" s="365" t="s">
        <v>180</v>
      </c>
      <c r="C1558" s="366" t="s">
        <v>142</v>
      </c>
      <c r="D1558" s="367">
        <f>SUM(D1559:D1583)</f>
        <v>5738960</v>
      </c>
    </row>
    <row r="1559" spans="1:4" s="6" customFormat="1">
      <c r="A1559" s="368" t="s">
        <v>180</v>
      </c>
      <c r="B1559" s="369">
        <v>3020</v>
      </c>
      <c r="C1559" s="370" t="s">
        <v>286</v>
      </c>
      <c r="D1559" s="371">
        <v>105100</v>
      </c>
    </row>
    <row r="1560" spans="1:4" s="6" customFormat="1">
      <c r="A1560" s="368" t="s">
        <v>180</v>
      </c>
      <c r="B1560" s="369">
        <v>4010</v>
      </c>
      <c r="C1560" s="370" t="s">
        <v>254</v>
      </c>
      <c r="D1560" s="371">
        <v>3325246</v>
      </c>
    </row>
    <row r="1561" spans="1:4" s="6" customFormat="1">
      <c r="A1561" s="368" t="s">
        <v>180</v>
      </c>
      <c r="B1561" s="369">
        <v>4040</v>
      </c>
      <c r="C1561" s="370" t="s">
        <v>255</v>
      </c>
      <c r="D1561" s="371">
        <v>246729</v>
      </c>
    </row>
    <row r="1562" spans="1:4" s="6" customFormat="1">
      <c r="A1562" s="368" t="s">
        <v>180</v>
      </c>
      <c r="B1562" s="369">
        <v>4110</v>
      </c>
      <c r="C1562" s="370" t="s">
        <v>256</v>
      </c>
      <c r="D1562" s="371">
        <v>609115</v>
      </c>
    </row>
    <row r="1563" spans="1:4" s="6" customFormat="1">
      <c r="A1563" s="368" t="s">
        <v>180</v>
      </c>
      <c r="B1563" s="369">
        <v>4120</v>
      </c>
      <c r="C1563" s="370" t="s">
        <v>257</v>
      </c>
      <c r="D1563" s="371">
        <v>74092</v>
      </c>
    </row>
    <row r="1564" spans="1:4" s="6" customFormat="1">
      <c r="A1564" s="368" t="s">
        <v>180</v>
      </c>
      <c r="B1564" s="369">
        <v>4170</v>
      </c>
      <c r="C1564" s="370" t="s">
        <v>258</v>
      </c>
      <c r="D1564" s="371">
        <v>46340</v>
      </c>
    </row>
    <row r="1565" spans="1:4" s="6" customFormat="1">
      <c r="A1565" s="368" t="s">
        <v>180</v>
      </c>
      <c r="B1565" s="369">
        <v>4210</v>
      </c>
      <c r="C1565" s="370" t="s">
        <v>260</v>
      </c>
      <c r="D1565" s="371">
        <v>263583</v>
      </c>
    </row>
    <row r="1566" spans="1:4" s="6" customFormat="1">
      <c r="A1566" s="368" t="s">
        <v>180</v>
      </c>
      <c r="B1566" s="369">
        <v>4220</v>
      </c>
      <c r="C1566" s="370" t="s">
        <v>261</v>
      </c>
      <c r="D1566" s="371">
        <v>1750</v>
      </c>
    </row>
    <row r="1567" spans="1:4" s="6" customFormat="1">
      <c r="A1567" s="368" t="s">
        <v>180</v>
      </c>
      <c r="B1567" s="369">
        <v>4260</v>
      </c>
      <c r="C1567" s="370" t="s">
        <v>262</v>
      </c>
      <c r="D1567" s="371">
        <v>172100</v>
      </c>
    </row>
    <row r="1568" spans="1:4" s="6" customFormat="1">
      <c r="A1568" s="368" t="s">
        <v>180</v>
      </c>
      <c r="B1568" s="369">
        <v>4270</v>
      </c>
      <c r="C1568" s="370" t="s">
        <v>263</v>
      </c>
      <c r="D1568" s="371">
        <v>49456</v>
      </c>
    </row>
    <row r="1569" spans="1:4" s="6" customFormat="1">
      <c r="A1569" s="368" t="s">
        <v>180</v>
      </c>
      <c r="B1569" s="369">
        <v>4280</v>
      </c>
      <c r="C1569" s="370" t="s">
        <v>288</v>
      </c>
      <c r="D1569" s="371">
        <v>5150</v>
      </c>
    </row>
    <row r="1570" spans="1:4" s="6" customFormat="1">
      <c r="A1570" s="368" t="s">
        <v>180</v>
      </c>
      <c r="B1570" s="369">
        <v>4300</v>
      </c>
      <c r="C1570" s="370" t="s">
        <v>264</v>
      </c>
      <c r="D1570" s="371">
        <v>480000</v>
      </c>
    </row>
    <row r="1571" spans="1:4" s="6" customFormat="1">
      <c r="A1571" s="368" t="s">
        <v>180</v>
      </c>
      <c r="B1571" s="369">
        <v>4360</v>
      </c>
      <c r="C1571" s="370" t="s">
        <v>265</v>
      </c>
      <c r="D1571" s="371">
        <v>48352</v>
      </c>
    </row>
    <row r="1572" spans="1:4" s="6" customFormat="1">
      <c r="A1572" s="368" t="s">
        <v>180</v>
      </c>
      <c r="B1572" s="369">
        <v>4380</v>
      </c>
      <c r="C1572" s="370" t="s">
        <v>382</v>
      </c>
      <c r="D1572" s="371">
        <v>1000</v>
      </c>
    </row>
    <row r="1573" spans="1:4" s="6" customFormat="1" ht="15" customHeight="1">
      <c r="A1573" s="368" t="s">
        <v>180</v>
      </c>
      <c r="B1573" s="369">
        <v>4400</v>
      </c>
      <c r="C1573" s="370" t="s">
        <v>266</v>
      </c>
      <c r="D1573" s="371">
        <v>50218</v>
      </c>
    </row>
    <row r="1574" spans="1:4" s="6" customFormat="1">
      <c r="A1574" s="368" t="s">
        <v>180</v>
      </c>
      <c r="B1574" s="369">
        <v>4410</v>
      </c>
      <c r="C1574" s="370" t="s">
        <v>267</v>
      </c>
      <c r="D1574" s="371">
        <v>2300</v>
      </c>
    </row>
    <row r="1575" spans="1:4" s="6" customFormat="1">
      <c r="A1575" s="368" t="s">
        <v>180</v>
      </c>
      <c r="B1575" s="369">
        <v>4420</v>
      </c>
      <c r="C1575" s="370" t="s">
        <v>268</v>
      </c>
      <c r="D1575" s="371">
        <v>1000</v>
      </c>
    </row>
    <row r="1576" spans="1:4" s="6" customFormat="1">
      <c r="A1576" s="368" t="s">
        <v>180</v>
      </c>
      <c r="B1576" s="369">
        <v>4430</v>
      </c>
      <c r="C1576" s="370" t="s">
        <v>269</v>
      </c>
      <c r="D1576" s="371">
        <v>80213</v>
      </c>
    </row>
    <row r="1577" spans="1:4" s="6" customFormat="1">
      <c r="A1577" s="368" t="s">
        <v>180</v>
      </c>
      <c r="B1577" s="369">
        <v>4440</v>
      </c>
      <c r="C1577" s="370" t="s">
        <v>289</v>
      </c>
      <c r="D1577" s="371">
        <v>104022</v>
      </c>
    </row>
    <row r="1578" spans="1:4" s="6" customFormat="1">
      <c r="A1578" s="368" t="s">
        <v>180</v>
      </c>
      <c r="B1578" s="369">
        <v>4480</v>
      </c>
      <c r="C1578" s="370" t="s">
        <v>290</v>
      </c>
      <c r="D1578" s="371">
        <v>28894</v>
      </c>
    </row>
    <row r="1579" spans="1:4" s="6" customFormat="1">
      <c r="A1579" s="368" t="s">
        <v>180</v>
      </c>
      <c r="B1579" s="369">
        <v>4500</v>
      </c>
      <c r="C1579" s="370" t="s">
        <v>291</v>
      </c>
      <c r="D1579" s="371">
        <v>3100</v>
      </c>
    </row>
    <row r="1580" spans="1:4" s="6" customFormat="1">
      <c r="A1580" s="368" t="s">
        <v>180</v>
      </c>
      <c r="B1580" s="369">
        <v>4510</v>
      </c>
      <c r="C1580" s="370" t="s">
        <v>292</v>
      </c>
      <c r="D1580" s="371">
        <v>577</v>
      </c>
    </row>
    <row r="1581" spans="1:4" s="6" customFormat="1">
      <c r="A1581" s="368" t="s">
        <v>180</v>
      </c>
      <c r="B1581" s="369">
        <v>4520</v>
      </c>
      <c r="C1581" s="370" t="s">
        <v>293</v>
      </c>
      <c r="D1581" s="371">
        <v>1200</v>
      </c>
    </row>
    <row r="1582" spans="1:4" s="6" customFormat="1">
      <c r="A1582" s="368" t="s">
        <v>180</v>
      </c>
      <c r="B1582" s="369">
        <v>4700</v>
      </c>
      <c r="C1582" s="370" t="s">
        <v>270</v>
      </c>
      <c r="D1582" s="371">
        <v>6950</v>
      </c>
    </row>
    <row r="1583" spans="1:4" s="6" customFormat="1">
      <c r="A1583" s="368" t="s">
        <v>180</v>
      </c>
      <c r="B1583" s="369">
        <v>4710</v>
      </c>
      <c r="C1583" s="370" t="s">
        <v>294</v>
      </c>
      <c r="D1583" s="371">
        <v>32473</v>
      </c>
    </row>
    <row r="1584" spans="1:4" s="5" customFormat="1">
      <c r="A1584" s="362" t="s">
        <v>147</v>
      </c>
      <c r="B1584" s="380" t="s">
        <v>180</v>
      </c>
      <c r="C1584" s="264" t="s">
        <v>148</v>
      </c>
      <c r="D1584" s="363">
        <f>D1585</f>
        <v>9390000</v>
      </c>
    </row>
    <row r="1585" spans="1:4" s="5" customFormat="1">
      <c r="A1585" s="364">
        <v>92605</v>
      </c>
      <c r="B1585" s="365" t="s">
        <v>180</v>
      </c>
      <c r="C1585" s="366" t="s">
        <v>143</v>
      </c>
      <c r="D1585" s="367">
        <f>SUM(D1586:D1595)</f>
        <v>9390000</v>
      </c>
    </row>
    <row r="1586" spans="1:4" s="6" customFormat="1" ht="45">
      <c r="A1586" s="368" t="s">
        <v>180</v>
      </c>
      <c r="B1586" s="369">
        <v>2360</v>
      </c>
      <c r="C1586" s="370" t="s">
        <v>298</v>
      </c>
      <c r="D1586" s="371">
        <v>2900000</v>
      </c>
    </row>
    <row r="1587" spans="1:4" s="6" customFormat="1" ht="30">
      <c r="A1587" s="368" t="s">
        <v>180</v>
      </c>
      <c r="B1587" s="369">
        <v>2820</v>
      </c>
      <c r="C1587" s="370" t="s">
        <v>311</v>
      </c>
      <c r="D1587" s="371">
        <v>2740000</v>
      </c>
    </row>
    <row r="1588" spans="1:4" s="6" customFormat="1">
      <c r="A1588" s="368" t="s">
        <v>180</v>
      </c>
      <c r="B1588" s="369">
        <v>3040</v>
      </c>
      <c r="C1588" s="370" t="s">
        <v>301</v>
      </c>
      <c r="D1588" s="371">
        <v>372000</v>
      </c>
    </row>
    <row r="1589" spans="1:4" s="6" customFormat="1">
      <c r="A1589" s="368" t="s">
        <v>180</v>
      </c>
      <c r="B1589" s="369">
        <v>4170</v>
      </c>
      <c r="C1589" s="370" t="s">
        <v>258</v>
      </c>
      <c r="D1589" s="371">
        <v>4000</v>
      </c>
    </row>
    <row r="1590" spans="1:4" s="6" customFormat="1">
      <c r="A1590" s="368" t="s">
        <v>180</v>
      </c>
      <c r="B1590" s="369">
        <v>4190</v>
      </c>
      <c r="C1590" s="370" t="s">
        <v>259</v>
      </c>
      <c r="D1590" s="371">
        <v>20000</v>
      </c>
    </row>
    <row r="1591" spans="1:4" s="6" customFormat="1">
      <c r="A1591" s="368" t="s">
        <v>180</v>
      </c>
      <c r="B1591" s="369">
        <v>4210</v>
      </c>
      <c r="C1591" s="370" t="s">
        <v>260</v>
      </c>
      <c r="D1591" s="371">
        <v>80000</v>
      </c>
    </row>
    <row r="1592" spans="1:4" s="6" customFormat="1">
      <c r="A1592" s="368" t="s">
        <v>180</v>
      </c>
      <c r="B1592" s="369">
        <v>4220</v>
      </c>
      <c r="C1592" s="370" t="s">
        <v>261</v>
      </c>
      <c r="D1592" s="371">
        <v>2000</v>
      </c>
    </row>
    <row r="1593" spans="1:4" s="6" customFormat="1">
      <c r="A1593" s="368" t="s">
        <v>180</v>
      </c>
      <c r="B1593" s="369">
        <v>4300</v>
      </c>
      <c r="C1593" s="370" t="s">
        <v>264</v>
      </c>
      <c r="D1593" s="371">
        <v>270000</v>
      </c>
    </row>
    <row r="1594" spans="1:4" s="6" customFormat="1">
      <c r="A1594" s="368" t="s">
        <v>180</v>
      </c>
      <c r="B1594" s="369">
        <v>4700</v>
      </c>
      <c r="C1594" s="370" t="s">
        <v>270</v>
      </c>
      <c r="D1594" s="371">
        <v>2000</v>
      </c>
    </row>
    <row r="1595" spans="1:4" s="6" customFormat="1" ht="45">
      <c r="A1595" s="372" t="s">
        <v>180</v>
      </c>
      <c r="B1595" s="373">
        <v>6300</v>
      </c>
      <c r="C1595" s="374" t="s">
        <v>297</v>
      </c>
      <c r="D1595" s="375">
        <v>3000000</v>
      </c>
    </row>
    <row r="1596" spans="1:4" s="6" customFormat="1">
      <c r="A1596" s="226"/>
      <c r="B1596" s="1"/>
      <c r="D1596" s="7"/>
    </row>
  </sheetData>
  <sheetProtection algorithmName="SHA-512" hashValue="/UQpOEuueWCn7nyiOEJP2Aatiz6Bll/14K+zlqDQvPJ11JPmVzNjriE94erJTX4LPd1YNUCuZzVliXemjtXRPg==" saltValue="6BKTqXdJcZ8nSCH23qbOpg==" spinCount="100000" sheet="1" objects="1" scenarios="1"/>
  <mergeCells count="5">
    <mergeCell ref="C1:D1"/>
    <mergeCell ref="C2:D2"/>
    <mergeCell ref="C3:D3"/>
    <mergeCell ref="A5:D5"/>
    <mergeCell ref="A6:D6"/>
  </mergeCells>
  <printOptions horizontalCentered="1"/>
  <pageMargins left="0.98425196850393704" right="0.98425196850393704" top="0.98425196850393704" bottom="0.74803149606299213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5"/>
  <sheetViews>
    <sheetView view="pageBreakPreview" zoomScaleSheetLayoutView="100" workbookViewId="0">
      <selection activeCell="C22" sqref="C22"/>
    </sheetView>
  </sheetViews>
  <sheetFormatPr defaultColWidth="16.75" defaultRowHeight="12.75"/>
  <cols>
    <col min="1" max="1" width="5.75" style="393" customWidth="1"/>
    <col min="2" max="2" width="5.875" style="393" customWidth="1"/>
    <col min="3" max="3" width="55.875" style="393" customWidth="1"/>
    <col min="4" max="4" width="32.25" style="477" customWidth="1"/>
    <col min="5" max="5" width="16.375" style="393" customWidth="1"/>
    <col min="6" max="250" width="10.375" style="393" customWidth="1"/>
    <col min="251" max="251" width="5.75" style="393" customWidth="1"/>
    <col min="252" max="252" width="5.875" style="393" customWidth="1"/>
    <col min="253" max="253" width="34.125" style="393" customWidth="1"/>
    <col min="254" max="254" width="16.25" style="393" customWidth="1"/>
    <col min="255" max="256" width="16.75" style="393"/>
    <col min="257" max="257" width="5.75" style="393" customWidth="1"/>
    <col min="258" max="258" width="5.875" style="393" customWidth="1"/>
    <col min="259" max="259" width="55.875" style="393" customWidth="1"/>
    <col min="260" max="260" width="32.25" style="393" customWidth="1"/>
    <col min="261" max="261" width="16.375" style="393" customWidth="1"/>
    <col min="262" max="506" width="10.375" style="393" customWidth="1"/>
    <col min="507" max="507" width="5.75" style="393" customWidth="1"/>
    <col min="508" max="508" width="5.875" style="393" customWidth="1"/>
    <col min="509" max="509" width="34.125" style="393" customWidth="1"/>
    <col min="510" max="510" width="16.25" style="393" customWidth="1"/>
    <col min="511" max="512" width="16.75" style="393"/>
    <col min="513" max="513" width="5.75" style="393" customWidth="1"/>
    <col min="514" max="514" width="5.875" style="393" customWidth="1"/>
    <col min="515" max="515" width="55.875" style="393" customWidth="1"/>
    <col min="516" max="516" width="32.25" style="393" customWidth="1"/>
    <col min="517" max="517" width="16.375" style="393" customWidth="1"/>
    <col min="518" max="762" width="10.375" style="393" customWidth="1"/>
    <col min="763" max="763" width="5.75" style="393" customWidth="1"/>
    <col min="764" max="764" width="5.875" style="393" customWidth="1"/>
    <col min="765" max="765" width="34.125" style="393" customWidth="1"/>
    <col min="766" max="766" width="16.25" style="393" customWidth="1"/>
    <col min="767" max="768" width="16.75" style="393"/>
    <col min="769" max="769" width="5.75" style="393" customWidth="1"/>
    <col min="770" max="770" width="5.875" style="393" customWidth="1"/>
    <col min="771" max="771" width="55.875" style="393" customWidth="1"/>
    <col min="772" max="772" width="32.25" style="393" customWidth="1"/>
    <col min="773" max="773" width="16.375" style="393" customWidth="1"/>
    <col min="774" max="1018" width="10.375" style="393" customWidth="1"/>
    <col min="1019" max="1019" width="5.75" style="393" customWidth="1"/>
    <col min="1020" max="1020" width="5.875" style="393" customWidth="1"/>
    <col min="1021" max="1021" width="34.125" style="393" customWidth="1"/>
    <col min="1022" max="1022" width="16.25" style="393" customWidth="1"/>
    <col min="1023" max="1024" width="16.75" style="393"/>
    <col min="1025" max="1025" width="5.75" style="393" customWidth="1"/>
    <col min="1026" max="1026" width="5.875" style="393" customWidth="1"/>
    <col min="1027" max="1027" width="55.875" style="393" customWidth="1"/>
    <col min="1028" max="1028" width="32.25" style="393" customWidth="1"/>
    <col min="1029" max="1029" width="16.375" style="393" customWidth="1"/>
    <col min="1030" max="1274" width="10.375" style="393" customWidth="1"/>
    <col min="1275" max="1275" width="5.75" style="393" customWidth="1"/>
    <col min="1276" max="1276" width="5.875" style="393" customWidth="1"/>
    <col min="1277" max="1277" width="34.125" style="393" customWidth="1"/>
    <col min="1278" max="1278" width="16.25" style="393" customWidth="1"/>
    <col min="1279" max="1280" width="16.75" style="393"/>
    <col min="1281" max="1281" width="5.75" style="393" customWidth="1"/>
    <col min="1282" max="1282" width="5.875" style="393" customWidth="1"/>
    <col min="1283" max="1283" width="55.875" style="393" customWidth="1"/>
    <col min="1284" max="1284" width="32.25" style="393" customWidth="1"/>
    <col min="1285" max="1285" width="16.375" style="393" customWidth="1"/>
    <col min="1286" max="1530" width="10.375" style="393" customWidth="1"/>
    <col min="1531" max="1531" width="5.75" style="393" customWidth="1"/>
    <col min="1532" max="1532" width="5.875" style="393" customWidth="1"/>
    <col min="1533" max="1533" width="34.125" style="393" customWidth="1"/>
    <col min="1534" max="1534" width="16.25" style="393" customWidth="1"/>
    <col min="1535" max="1536" width="16.75" style="393"/>
    <col min="1537" max="1537" width="5.75" style="393" customWidth="1"/>
    <col min="1538" max="1538" width="5.875" style="393" customWidth="1"/>
    <col min="1539" max="1539" width="55.875" style="393" customWidth="1"/>
    <col min="1540" max="1540" width="32.25" style="393" customWidth="1"/>
    <col min="1541" max="1541" width="16.375" style="393" customWidth="1"/>
    <col min="1542" max="1786" width="10.375" style="393" customWidth="1"/>
    <col min="1787" max="1787" width="5.75" style="393" customWidth="1"/>
    <col min="1788" max="1788" width="5.875" style="393" customWidth="1"/>
    <col min="1789" max="1789" width="34.125" style="393" customWidth="1"/>
    <col min="1790" max="1790" width="16.25" style="393" customWidth="1"/>
    <col min="1791" max="1792" width="16.75" style="393"/>
    <col min="1793" max="1793" width="5.75" style="393" customWidth="1"/>
    <col min="1794" max="1794" width="5.875" style="393" customWidth="1"/>
    <col min="1795" max="1795" width="55.875" style="393" customWidth="1"/>
    <col min="1796" max="1796" width="32.25" style="393" customWidth="1"/>
    <col min="1797" max="1797" width="16.375" style="393" customWidth="1"/>
    <col min="1798" max="2042" width="10.375" style="393" customWidth="1"/>
    <col min="2043" max="2043" width="5.75" style="393" customWidth="1"/>
    <col min="2044" max="2044" width="5.875" style="393" customWidth="1"/>
    <col min="2045" max="2045" width="34.125" style="393" customWidth="1"/>
    <col min="2046" max="2046" width="16.25" style="393" customWidth="1"/>
    <col min="2047" max="2048" width="16.75" style="393"/>
    <col min="2049" max="2049" width="5.75" style="393" customWidth="1"/>
    <col min="2050" max="2050" width="5.875" style="393" customWidth="1"/>
    <col min="2051" max="2051" width="55.875" style="393" customWidth="1"/>
    <col min="2052" max="2052" width="32.25" style="393" customWidth="1"/>
    <col min="2053" max="2053" width="16.375" style="393" customWidth="1"/>
    <col min="2054" max="2298" width="10.375" style="393" customWidth="1"/>
    <col min="2299" max="2299" width="5.75" style="393" customWidth="1"/>
    <col min="2300" max="2300" width="5.875" style="393" customWidth="1"/>
    <col min="2301" max="2301" width="34.125" style="393" customWidth="1"/>
    <col min="2302" max="2302" width="16.25" style="393" customWidth="1"/>
    <col min="2303" max="2304" width="16.75" style="393"/>
    <col min="2305" max="2305" width="5.75" style="393" customWidth="1"/>
    <col min="2306" max="2306" width="5.875" style="393" customWidth="1"/>
    <col min="2307" max="2307" width="55.875" style="393" customWidth="1"/>
    <col min="2308" max="2308" width="32.25" style="393" customWidth="1"/>
    <col min="2309" max="2309" width="16.375" style="393" customWidth="1"/>
    <col min="2310" max="2554" width="10.375" style="393" customWidth="1"/>
    <col min="2555" max="2555" width="5.75" style="393" customWidth="1"/>
    <col min="2556" max="2556" width="5.875" style="393" customWidth="1"/>
    <col min="2557" max="2557" width="34.125" style="393" customWidth="1"/>
    <col min="2558" max="2558" width="16.25" style="393" customWidth="1"/>
    <col min="2559" max="2560" width="16.75" style="393"/>
    <col min="2561" max="2561" width="5.75" style="393" customWidth="1"/>
    <col min="2562" max="2562" width="5.875" style="393" customWidth="1"/>
    <col min="2563" max="2563" width="55.875" style="393" customWidth="1"/>
    <col min="2564" max="2564" width="32.25" style="393" customWidth="1"/>
    <col min="2565" max="2565" width="16.375" style="393" customWidth="1"/>
    <col min="2566" max="2810" width="10.375" style="393" customWidth="1"/>
    <col min="2811" max="2811" width="5.75" style="393" customWidth="1"/>
    <col min="2812" max="2812" width="5.875" style="393" customWidth="1"/>
    <col min="2813" max="2813" width="34.125" style="393" customWidth="1"/>
    <col min="2814" max="2814" width="16.25" style="393" customWidth="1"/>
    <col min="2815" max="2816" width="16.75" style="393"/>
    <col min="2817" max="2817" width="5.75" style="393" customWidth="1"/>
    <col min="2818" max="2818" width="5.875" style="393" customWidth="1"/>
    <col min="2819" max="2819" width="55.875" style="393" customWidth="1"/>
    <col min="2820" max="2820" width="32.25" style="393" customWidth="1"/>
    <col min="2821" max="2821" width="16.375" style="393" customWidth="1"/>
    <col min="2822" max="3066" width="10.375" style="393" customWidth="1"/>
    <col min="3067" max="3067" width="5.75" style="393" customWidth="1"/>
    <col min="3068" max="3068" width="5.875" style="393" customWidth="1"/>
    <col min="3069" max="3069" width="34.125" style="393" customWidth="1"/>
    <col min="3070" max="3070" width="16.25" style="393" customWidth="1"/>
    <col min="3071" max="3072" width="16.75" style="393"/>
    <col min="3073" max="3073" width="5.75" style="393" customWidth="1"/>
    <col min="3074" max="3074" width="5.875" style="393" customWidth="1"/>
    <col min="3075" max="3075" width="55.875" style="393" customWidth="1"/>
    <col min="3076" max="3076" width="32.25" style="393" customWidth="1"/>
    <col min="3077" max="3077" width="16.375" style="393" customWidth="1"/>
    <col min="3078" max="3322" width="10.375" style="393" customWidth="1"/>
    <col min="3323" max="3323" width="5.75" style="393" customWidth="1"/>
    <col min="3324" max="3324" width="5.875" style="393" customWidth="1"/>
    <col min="3325" max="3325" width="34.125" style="393" customWidth="1"/>
    <col min="3326" max="3326" width="16.25" style="393" customWidth="1"/>
    <col min="3327" max="3328" width="16.75" style="393"/>
    <col min="3329" max="3329" width="5.75" style="393" customWidth="1"/>
    <col min="3330" max="3330" width="5.875" style="393" customWidth="1"/>
    <col min="3331" max="3331" width="55.875" style="393" customWidth="1"/>
    <col min="3332" max="3332" width="32.25" style="393" customWidth="1"/>
    <col min="3333" max="3333" width="16.375" style="393" customWidth="1"/>
    <col min="3334" max="3578" width="10.375" style="393" customWidth="1"/>
    <col min="3579" max="3579" width="5.75" style="393" customWidth="1"/>
    <col min="3580" max="3580" width="5.875" style="393" customWidth="1"/>
    <col min="3581" max="3581" width="34.125" style="393" customWidth="1"/>
    <col min="3582" max="3582" width="16.25" style="393" customWidth="1"/>
    <col min="3583" max="3584" width="16.75" style="393"/>
    <col min="3585" max="3585" width="5.75" style="393" customWidth="1"/>
    <col min="3586" max="3586" width="5.875" style="393" customWidth="1"/>
    <col min="3587" max="3587" width="55.875" style="393" customWidth="1"/>
    <col min="3588" max="3588" width="32.25" style="393" customWidth="1"/>
    <col min="3589" max="3589" width="16.375" style="393" customWidth="1"/>
    <col min="3590" max="3834" width="10.375" style="393" customWidth="1"/>
    <col min="3835" max="3835" width="5.75" style="393" customWidth="1"/>
    <col min="3836" max="3836" width="5.875" style="393" customWidth="1"/>
    <col min="3837" max="3837" width="34.125" style="393" customWidth="1"/>
    <col min="3838" max="3838" width="16.25" style="393" customWidth="1"/>
    <col min="3839" max="3840" width="16.75" style="393"/>
    <col min="3841" max="3841" width="5.75" style="393" customWidth="1"/>
    <col min="3842" max="3842" width="5.875" style="393" customWidth="1"/>
    <col min="3843" max="3843" width="55.875" style="393" customWidth="1"/>
    <col min="3844" max="3844" width="32.25" style="393" customWidth="1"/>
    <col min="3845" max="3845" width="16.375" style="393" customWidth="1"/>
    <col min="3846" max="4090" width="10.375" style="393" customWidth="1"/>
    <col min="4091" max="4091" width="5.75" style="393" customWidth="1"/>
    <col min="4092" max="4092" width="5.875" style="393" customWidth="1"/>
    <col min="4093" max="4093" width="34.125" style="393" customWidth="1"/>
    <col min="4094" max="4094" width="16.25" style="393" customWidth="1"/>
    <col min="4095" max="4096" width="16.75" style="393"/>
    <col min="4097" max="4097" width="5.75" style="393" customWidth="1"/>
    <col min="4098" max="4098" width="5.875" style="393" customWidth="1"/>
    <col min="4099" max="4099" width="55.875" style="393" customWidth="1"/>
    <col min="4100" max="4100" width="32.25" style="393" customWidth="1"/>
    <col min="4101" max="4101" width="16.375" style="393" customWidth="1"/>
    <col min="4102" max="4346" width="10.375" style="393" customWidth="1"/>
    <col min="4347" max="4347" width="5.75" style="393" customWidth="1"/>
    <col min="4348" max="4348" width="5.875" style="393" customWidth="1"/>
    <col min="4349" max="4349" width="34.125" style="393" customWidth="1"/>
    <col min="4350" max="4350" width="16.25" style="393" customWidth="1"/>
    <col min="4351" max="4352" width="16.75" style="393"/>
    <col min="4353" max="4353" width="5.75" style="393" customWidth="1"/>
    <col min="4354" max="4354" width="5.875" style="393" customWidth="1"/>
    <col min="4355" max="4355" width="55.875" style="393" customWidth="1"/>
    <col min="4356" max="4356" width="32.25" style="393" customWidth="1"/>
    <col min="4357" max="4357" width="16.375" style="393" customWidth="1"/>
    <col min="4358" max="4602" width="10.375" style="393" customWidth="1"/>
    <col min="4603" max="4603" width="5.75" style="393" customWidth="1"/>
    <col min="4604" max="4604" width="5.875" style="393" customWidth="1"/>
    <col min="4605" max="4605" width="34.125" style="393" customWidth="1"/>
    <col min="4606" max="4606" width="16.25" style="393" customWidth="1"/>
    <col min="4607" max="4608" width="16.75" style="393"/>
    <col min="4609" max="4609" width="5.75" style="393" customWidth="1"/>
    <col min="4610" max="4610" width="5.875" style="393" customWidth="1"/>
    <col min="4611" max="4611" width="55.875" style="393" customWidth="1"/>
    <col min="4612" max="4612" width="32.25" style="393" customWidth="1"/>
    <col min="4613" max="4613" width="16.375" style="393" customWidth="1"/>
    <col min="4614" max="4858" width="10.375" style="393" customWidth="1"/>
    <col min="4859" max="4859" width="5.75" style="393" customWidth="1"/>
    <col min="4860" max="4860" width="5.875" style="393" customWidth="1"/>
    <col min="4861" max="4861" width="34.125" style="393" customWidth="1"/>
    <col min="4862" max="4862" width="16.25" style="393" customWidth="1"/>
    <col min="4863" max="4864" width="16.75" style="393"/>
    <col min="4865" max="4865" width="5.75" style="393" customWidth="1"/>
    <col min="4866" max="4866" width="5.875" style="393" customWidth="1"/>
    <col min="4867" max="4867" width="55.875" style="393" customWidth="1"/>
    <col min="4868" max="4868" width="32.25" style="393" customWidth="1"/>
    <col min="4869" max="4869" width="16.375" style="393" customWidth="1"/>
    <col min="4870" max="5114" width="10.375" style="393" customWidth="1"/>
    <col min="5115" max="5115" width="5.75" style="393" customWidth="1"/>
    <col min="5116" max="5116" width="5.875" style="393" customWidth="1"/>
    <col min="5117" max="5117" width="34.125" style="393" customWidth="1"/>
    <col min="5118" max="5118" width="16.25" style="393" customWidth="1"/>
    <col min="5119" max="5120" width="16.75" style="393"/>
    <col min="5121" max="5121" width="5.75" style="393" customWidth="1"/>
    <col min="5122" max="5122" width="5.875" style="393" customWidth="1"/>
    <col min="5123" max="5123" width="55.875" style="393" customWidth="1"/>
    <col min="5124" max="5124" width="32.25" style="393" customWidth="1"/>
    <col min="5125" max="5125" width="16.375" style="393" customWidth="1"/>
    <col min="5126" max="5370" width="10.375" style="393" customWidth="1"/>
    <col min="5371" max="5371" width="5.75" style="393" customWidth="1"/>
    <col min="5372" max="5372" width="5.875" style="393" customWidth="1"/>
    <col min="5373" max="5373" width="34.125" style="393" customWidth="1"/>
    <col min="5374" max="5374" width="16.25" style="393" customWidth="1"/>
    <col min="5375" max="5376" width="16.75" style="393"/>
    <col min="5377" max="5377" width="5.75" style="393" customWidth="1"/>
    <col min="5378" max="5378" width="5.875" style="393" customWidth="1"/>
    <col min="5379" max="5379" width="55.875" style="393" customWidth="1"/>
    <col min="5380" max="5380" width="32.25" style="393" customWidth="1"/>
    <col min="5381" max="5381" width="16.375" style="393" customWidth="1"/>
    <col min="5382" max="5626" width="10.375" style="393" customWidth="1"/>
    <col min="5627" max="5627" width="5.75" style="393" customWidth="1"/>
    <col min="5628" max="5628" width="5.875" style="393" customWidth="1"/>
    <col min="5629" max="5629" width="34.125" style="393" customWidth="1"/>
    <col min="5630" max="5630" width="16.25" style="393" customWidth="1"/>
    <col min="5631" max="5632" width="16.75" style="393"/>
    <col min="5633" max="5633" width="5.75" style="393" customWidth="1"/>
    <col min="5634" max="5634" width="5.875" style="393" customWidth="1"/>
    <col min="5635" max="5635" width="55.875" style="393" customWidth="1"/>
    <col min="5636" max="5636" width="32.25" style="393" customWidth="1"/>
    <col min="5637" max="5637" width="16.375" style="393" customWidth="1"/>
    <col min="5638" max="5882" width="10.375" style="393" customWidth="1"/>
    <col min="5883" max="5883" width="5.75" style="393" customWidth="1"/>
    <col min="5884" max="5884" width="5.875" style="393" customWidth="1"/>
    <col min="5885" max="5885" width="34.125" style="393" customWidth="1"/>
    <col min="5886" max="5886" width="16.25" style="393" customWidth="1"/>
    <col min="5887" max="5888" width="16.75" style="393"/>
    <col min="5889" max="5889" width="5.75" style="393" customWidth="1"/>
    <col min="5890" max="5890" width="5.875" style="393" customWidth="1"/>
    <col min="5891" max="5891" width="55.875" style="393" customWidth="1"/>
    <col min="5892" max="5892" width="32.25" style="393" customWidth="1"/>
    <col min="5893" max="5893" width="16.375" style="393" customWidth="1"/>
    <col min="5894" max="6138" width="10.375" style="393" customWidth="1"/>
    <col min="6139" max="6139" width="5.75" style="393" customWidth="1"/>
    <col min="6140" max="6140" width="5.875" style="393" customWidth="1"/>
    <col min="6141" max="6141" width="34.125" style="393" customWidth="1"/>
    <col min="6142" max="6142" width="16.25" style="393" customWidth="1"/>
    <col min="6143" max="6144" width="16.75" style="393"/>
    <col min="6145" max="6145" width="5.75" style="393" customWidth="1"/>
    <col min="6146" max="6146" width="5.875" style="393" customWidth="1"/>
    <col min="6147" max="6147" width="55.875" style="393" customWidth="1"/>
    <col min="6148" max="6148" width="32.25" style="393" customWidth="1"/>
    <col min="6149" max="6149" width="16.375" style="393" customWidth="1"/>
    <col min="6150" max="6394" width="10.375" style="393" customWidth="1"/>
    <col min="6395" max="6395" width="5.75" style="393" customWidth="1"/>
    <col min="6396" max="6396" width="5.875" style="393" customWidth="1"/>
    <col min="6397" max="6397" width="34.125" style="393" customWidth="1"/>
    <col min="6398" max="6398" width="16.25" style="393" customWidth="1"/>
    <col min="6399" max="6400" width="16.75" style="393"/>
    <col min="6401" max="6401" width="5.75" style="393" customWidth="1"/>
    <col min="6402" max="6402" width="5.875" style="393" customWidth="1"/>
    <col min="6403" max="6403" width="55.875" style="393" customWidth="1"/>
    <col min="6404" max="6404" width="32.25" style="393" customWidth="1"/>
    <col min="6405" max="6405" width="16.375" style="393" customWidth="1"/>
    <col min="6406" max="6650" width="10.375" style="393" customWidth="1"/>
    <col min="6651" max="6651" width="5.75" style="393" customWidth="1"/>
    <col min="6652" max="6652" width="5.875" style="393" customWidth="1"/>
    <col min="6653" max="6653" width="34.125" style="393" customWidth="1"/>
    <col min="6654" max="6654" width="16.25" style="393" customWidth="1"/>
    <col min="6655" max="6656" width="16.75" style="393"/>
    <col min="6657" max="6657" width="5.75" style="393" customWidth="1"/>
    <col min="6658" max="6658" width="5.875" style="393" customWidth="1"/>
    <col min="6659" max="6659" width="55.875" style="393" customWidth="1"/>
    <col min="6660" max="6660" width="32.25" style="393" customWidth="1"/>
    <col min="6661" max="6661" width="16.375" style="393" customWidth="1"/>
    <col min="6662" max="6906" width="10.375" style="393" customWidth="1"/>
    <col min="6907" max="6907" width="5.75" style="393" customWidth="1"/>
    <col min="6908" max="6908" width="5.875" style="393" customWidth="1"/>
    <col min="6909" max="6909" width="34.125" style="393" customWidth="1"/>
    <col min="6910" max="6910" width="16.25" style="393" customWidth="1"/>
    <col min="6911" max="6912" width="16.75" style="393"/>
    <col min="6913" max="6913" width="5.75" style="393" customWidth="1"/>
    <col min="6914" max="6914" width="5.875" style="393" customWidth="1"/>
    <col min="6915" max="6915" width="55.875" style="393" customWidth="1"/>
    <col min="6916" max="6916" width="32.25" style="393" customWidth="1"/>
    <col min="6917" max="6917" width="16.375" style="393" customWidth="1"/>
    <col min="6918" max="7162" width="10.375" style="393" customWidth="1"/>
    <col min="7163" max="7163" width="5.75" style="393" customWidth="1"/>
    <col min="7164" max="7164" width="5.875" style="393" customWidth="1"/>
    <col min="7165" max="7165" width="34.125" style="393" customWidth="1"/>
    <col min="7166" max="7166" width="16.25" style="393" customWidth="1"/>
    <col min="7167" max="7168" width="16.75" style="393"/>
    <col min="7169" max="7169" width="5.75" style="393" customWidth="1"/>
    <col min="7170" max="7170" width="5.875" style="393" customWidth="1"/>
    <col min="7171" max="7171" width="55.875" style="393" customWidth="1"/>
    <col min="7172" max="7172" width="32.25" style="393" customWidth="1"/>
    <col min="7173" max="7173" width="16.375" style="393" customWidth="1"/>
    <col min="7174" max="7418" width="10.375" style="393" customWidth="1"/>
    <col min="7419" max="7419" width="5.75" style="393" customWidth="1"/>
    <col min="7420" max="7420" width="5.875" style="393" customWidth="1"/>
    <col min="7421" max="7421" width="34.125" style="393" customWidth="1"/>
    <col min="7422" max="7422" width="16.25" style="393" customWidth="1"/>
    <col min="7423" max="7424" width="16.75" style="393"/>
    <col min="7425" max="7425" width="5.75" style="393" customWidth="1"/>
    <col min="7426" max="7426" width="5.875" style="393" customWidth="1"/>
    <col min="7427" max="7427" width="55.875" style="393" customWidth="1"/>
    <col min="7428" max="7428" width="32.25" style="393" customWidth="1"/>
    <col min="7429" max="7429" width="16.375" style="393" customWidth="1"/>
    <col min="7430" max="7674" width="10.375" style="393" customWidth="1"/>
    <col min="7675" max="7675" width="5.75" style="393" customWidth="1"/>
    <col min="7676" max="7676" width="5.875" style="393" customWidth="1"/>
    <col min="7677" max="7677" width="34.125" style="393" customWidth="1"/>
    <col min="7678" max="7678" width="16.25" style="393" customWidth="1"/>
    <col min="7679" max="7680" width="16.75" style="393"/>
    <col min="7681" max="7681" width="5.75" style="393" customWidth="1"/>
    <col min="7682" max="7682" width="5.875" style="393" customWidth="1"/>
    <col min="7683" max="7683" width="55.875" style="393" customWidth="1"/>
    <col min="7684" max="7684" width="32.25" style="393" customWidth="1"/>
    <col min="7685" max="7685" width="16.375" style="393" customWidth="1"/>
    <col min="7686" max="7930" width="10.375" style="393" customWidth="1"/>
    <col min="7931" max="7931" width="5.75" style="393" customWidth="1"/>
    <col min="7932" max="7932" width="5.875" style="393" customWidth="1"/>
    <col min="7933" max="7933" width="34.125" style="393" customWidth="1"/>
    <col min="7934" max="7934" width="16.25" style="393" customWidth="1"/>
    <col min="7935" max="7936" width="16.75" style="393"/>
    <col min="7937" max="7937" width="5.75" style="393" customWidth="1"/>
    <col min="7938" max="7938" width="5.875" style="393" customWidth="1"/>
    <col min="7939" max="7939" width="55.875" style="393" customWidth="1"/>
    <col min="7940" max="7940" width="32.25" style="393" customWidth="1"/>
    <col min="7941" max="7941" width="16.375" style="393" customWidth="1"/>
    <col min="7942" max="8186" width="10.375" style="393" customWidth="1"/>
    <col min="8187" max="8187" width="5.75" style="393" customWidth="1"/>
    <col min="8188" max="8188" width="5.875" style="393" customWidth="1"/>
    <col min="8189" max="8189" width="34.125" style="393" customWidth="1"/>
    <col min="8190" max="8190" width="16.25" style="393" customWidth="1"/>
    <col min="8191" max="8192" width="16.75" style="393"/>
    <col min="8193" max="8193" width="5.75" style="393" customWidth="1"/>
    <col min="8194" max="8194" width="5.875" style="393" customWidth="1"/>
    <col min="8195" max="8195" width="55.875" style="393" customWidth="1"/>
    <col min="8196" max="8196" width="32.25" style="393" customWidth="1"/>
    <col min="8197" max="8197" width="16.375" style="393" customWidth="1"/>
    <col min="8198" max="8442" width="10.375" style="393" customWidth="1"/>
    <col min="8443" max="8443" width="5.75" style="393" customWidth="1"/>
    <col min="8444" max="8444" width="5.875" style="393" customWidth="1"/>
    <col min="8445" max="8445" width="34.125" style="393" customWidth="1"/>
    <col min="8446" max="8446" width="16.25" style="393" customWidth="1"/>
    <col min="8447" max="8448" width="16.75" style="393"/>
    <col min="8449" max="8449" width="5.75" style="393" customWidth="1"/>
    <col min="8450" max="8450" width="5.875" style="393" customWidth="1"/>
    <col min="8451" max="8451" width="55.875" style="393" customWidth="1"/>
    <col min="8452" max="8452" width="32.25" style="393" customWidth="1"/>
    <col min="8453" max="8453" width="16.375" style="393" customWidth="1"/>
    <col min="8454" max="8698" width="10.375" style="393" customWidth="1"/>
    <col min="8699" max="8699" width="5.75" style="393" customWidth="1"/>
    <col min="8700" max="8700" width="5.875" style="393" customWidth="1"/>
    <col min="8701" max="8701" width="34.125" style="393" customWidth="1"/>
    <col min="8702" max="8702" width="16.25" style="393" customWidth="1"/>
    <col min="8703" max="8704" width="16.75" style="393"/>
    <col min="8705" max="8705" width="5.75" style="393" customWidth="1"/>
    <col min="8706" max="8706" width="5.875" style="393" customWidth="1"/>
    <col min="8707" max="8707" width="55.875" style="393" customWidth="1"/>
    <col min="8708" max="8708" width="32.25" style="393" customWidth="1"/>
    <col min="8709" max="8709" width="16.375" style="393" customWidth="1"/>
    <col min="8710" max="8954" width="10.375" style="393" customWidth="1"/>
    <col min="8955" max="8955" width="5.75" style="393" customWidth="1"/>
    <col min="8956" max="8956" width="5.875" style="393" customWidth="1"/>
    <col min="8957" max="8957" width="34.125" style="393" customWidth="1"/>
    <col min="8958" max="8958" width="16.25" style="393" customWidth="1"/>
    <col min="8959" max="8960" width="16.75" style="393"/>
    <col min="8961" max="8961" width="5.75" style="393" customWidth="1"/>
    <col min="8962" max="8962" width="5.875" style="393" customWidth="1"/>
    <col min="8963" max="8963" width="55.875" style="393" customWidth="1"/>
    <col min="8964" max="8964" width="32.25" style="393" customWidth="1"/>
    <col min="8965" max="8965" width="16.375" style="393" customWidth="1"/>
    <col min="8966" max="9210" width="10.375" style="393" customWidth="1"/>
    <col min="9211" max="9211" width="5.75" style="393" customWidth="1"/>
    <col min="9212" max="9212" width="5.875" style="393" customWidth="1"/>
    <col min="9213" max="9213" width="34.125" style="393" customWidth="1"/>
    <col min="9214" max="9214" width="16.25" style="393" customWidth="1"/>
    <col min="9215" max="9216" width="16.75" style="393"/>
    <col min="9217" max="9217" width="5.75" style="393" customWidth="1"/>
    <col min="9218" max="9218" width="5.875" style="393" customWidth="1"/>
    <col min="9219" max="9219" width="55.875" style="393" customWidth="1"/>
    <col min="9220" max="9220" width="32.25" style="393" customWidth="1"/>
    <col min="9221" max="9221" width="16.375" style="393" customWidth="1"/>
    <col min="9222" max="9466" width="10.375" style="393" customWidth="1"/>
    <col min="9467" max="9467" width="5.75" style="393" customWidth="1"/>
    <col min="9468" max="9468" width="5.875" style="393" customWidth="1"/>
    <col min="9469" max="9469" width="34.125" style="393" customWidth="1"/>
    <col min="9470" max="9470" width="16.25" style="393" customWidth="1"/>
    <col min="9471" max="9472" width="16.75" style="393"/>
    <col min="9473" max="9473" width="5.75" style="393" customWidth="1"/>
    <col min="9474" max="9474" width="5.875" style="393" customWidth="1"/>
    <col min="9475" max="9475" width="55.875" style="393" customWidth="1"/>
    <col min="9476" max="9476" width="32.25" style="393" customWidth="1"/>
    <col min="9477" max="9477" width="16.375" style="393" customWidth="1"/>
    <col min="9478" max="9722" width="10.375" style="393" customWidth="1"/>
    <col min="9723" max="9723" width="5.75" style="393" customWidth="1"/>
    <col min="9724" max="9724" width="5.875" style="393" customWidth="1"/>
    <col min="9725" max="9725" width="34.125" style="393" customWidth="1"/>
    <col min="9726" max="9726" width="16.25" style="393" customWidth="1"/>
    <col min="9727" max="9728" width="16.75" style="393"/>
    <col min="9729" max="9729" width="5.75" style="393" customWidth="1"/>
    <col min="9730" max="9730" width="5.875" style="393" customWidth="1"/>
    <col min="9731" max="9731" width="55.875" style="393" customWidth="1"/>
    <col min="9732" max="9732" width="32.25" style="393" customWidth="1"/>
    <col min="9733" max="9733" width="16.375" style="393" customWidth="1"/>
    <col min="9734" max="9978" width="10.375" style="393" customWidth="1"/>
    <col min="9979" max="9979" width="5.75" style="393" customWidth="1"/>
    <col min="9980" max="9980" width="5.875" style="393" customWidth="1"/>
    <col min="9981" max="9981" width="34.125" style="393" customWidth="1"/>
    <col min="9982" max="9982" width="16.25" style="393" customWidth="1"/>
    <col min="9983" max="9984" width="16.75" style="393"/>
    <col min="9985" max="9985" width="5.75" style="393" customWidth="1"/>
    <col min="9986" max="9986" width="5.875" style="393" customWidth="1"/>
    <col min="9987" max="9987" width="55.875" style="393" customWidth="1"/>
    <col min="9988" max="9988" width="32.25" style="393" customWidth="1"/>
    <col min="9989" max="9989" width="16.375" style="393" customWidth="1"/>
    <col min="9990" max="10234" width="10.375" style="393" customWidth="1"/>
    <col min="10235" max="10235" width="5.75" style="393" customWidth="1"/>
    <col min="10236" max="10236" width="5.875" style="393" customWidth="1"/>
    <col min="10237" max="10237" width="34.125" style="393" customWidth="1"/>
    <col min="10238" max="10238" width="16.25" style="393" customWidth="1"/>
    <col min="10239" max="10240" width="16.75" style="393"/>
    <col min="10241" max="10241" width="5.75" style="393" customWidth="1"/>
    <col min="10242" max="10242" width="5.875" style="393" customWidth="1"/>
    <col min="10243" max="10243" width="55.875" style="393" customWidth="1"/>
    <col min="10244" max="10244" width="32.25" style="393" customWidth="1"/>
    <col min="10245" max="10245" width="16.375" style="393" customWidth="1"/>
    <col min="10246" max="10490" width="10.375" style="393" customWidth="1"/>
    <col min="10491" max="10491" width="5.75" style="393" customWidth="1"/>
    <col min="10492" max="10492" width="5.875" style="393" customWidth="1"/>
    <col min="10493" max="10493" width="34.125" style="393" customWidth="1"/>
    <col min="10494" max="10494" width="16.25" style="393" customWidth="1"/>
    <col min="10495" max="10496" width="16.75" style="393"/>
    <col min="10497" max="10497" width="5.75" style="393" customWidth="1"/>
    <col min="10498" max="10498" width="5.875" style="393" customWidth="1"/>
    <col min="10499" max="10499" width="55.875" style="393" customWidth="1"/>
    <col min="10500" max="10500" width="32.25" style="393" customWidth="1"/>
    <col min="10501" max="10501" width="16.375" style="393" customWidth="1"/>
    <col min="10502" max="10746" width="10.375" style="393" customWidth="1"/>
    <col min="10747" max="10747" width="5.75" style="393" customWidth="1"/>
    <col min="10748" max="10748" width="5.875" style="393" customWidth="1"/>
    <col min="10749" max="10749" width="34.125" style="393" customWidth="1"/>
    <col min="10750" max="10750" width="16.25" style="393" customWidth="1"/>
    <col min="10751" max="10752" width="16.75" style="393"/>
    <col min="10753" max="10753" width="5.75" style="393" customWidth="1"/>
    <col min="10754" max="10754" width="5.875" style="393" customWidth="1"/>
    <col min="10755" max="10755" width="55.875" style="393" customWidth="1"/>
    <col min="10756" max="10756" width="32.25" style="393" customWidth="1"/>
    <col min="10757" max="10757" width="16.375" style="393" customWidth="1"/>
    <col min="10758" max="11002" width="10.375" style="393" customWidth="1"/>
    <col min="11003" max="11003" width="5.75" style="393" customWidth="1"/>
    <col min="11004" max="11004" width="5.875" style="393" customWidth="1"/>
    <col min="11005" max="11005" width="34.125" style="393" customWidth="1"/>
    <col min="11006" max="11006" width="16.25" style="393" customWidth="1"/>
    <col min="11007" max="11008" width="16.75" style="393"/>
    <col min="11009" max="11009" width="5.75" style="393" customWidth="1"/>
    <col min="11010" max="11010" width="5.875" style="393" customWidth="1"/>
    <col min="11011" max="11011" width="55.875" style="393" customWidth="1"/>
    <col min="11012" max="11012" width="32.25" style="393" customWidth="1"/>
    <col min="11013" max="11013" width="16.375" style="393" customWidth="1"/>
    <col min="11014" max="11258" width="10.375" style="393" customWidth="1"/>
    <col min="11259" max="11259" width="5.75" style="393" customWidth="1"/>
    <col min="11260" max="11260" width="5.875" style="393" customWidth="1"/>
    <col min="11261" max="11261" width="34.125" style="393" customWidth="1"/>
    <col min="11262" max="11262" width="16.25" style="393" customWidth="1"/>
    <col min="11263" max="11264" width="16.75" style="393"/>
    <col min="11265" max="11265" width="5.75" style="393" customWidth="1"/>
    <col min="11266" max="11266" width="5.875" style="393" customWidth="1"/>
    <col min="11267" max="11267" width="55.875" style="393" customWidth="1"/>
    <col min="11268" max="11268" width="32.25" style="393" customWidth="1"/>
    <col min="11269" max="11269" width="16.375" style="393" customWidth="1"/>
    <col min="11270" max="11514" width="10.375" style="393" customWidth="1"/>
    <col min="11515" max="11515" width="5.75" style="393" customWidth="1"/>
    <col min="11516" max="11516" width="5.875" style="393" customWidth="1"/>
    <col min="11517" max="11517" width="34.125" style="393" customWidth="1"/>
    <col min="11518" max="11518" width="16.25" style="393" customWidth="1"/>
    <col min="11519" max="11520" width="16.75" style="393"/>
    <col min="11521" max="11521" width="5.75" style="393" customWidth="1"/>
    <col min="11522" max="11522" width="5.875" style="393" customWidth="1"/>
    <col min="11523" max="11523" width="55.875" style="393" customWidth="1"/>
    <col min="11524" max="11524" width="32.25" style="393" customWidth="1"/>
    <col min="11525" max="11525" width="16.375" style="393" customWidth="1"/>
    <col min="11526" max="11770" width="10.375" style="393" customWidth="1"/>
    <col min="11771" max="11771" width="5.75" style="393" customWidth="1"/>
    <col min="11772" max="11772" width="5.875" style="393" customWidth="1"/>
    <col min="11773" max="11773" width="34.125" style="393" customWidth="1"/>
    <col min="11774" max="11774" width="16.25" style="393" customWidth="1"/>
    <col min="11775" max="11776" width="16.75" style="393"/>
    <col min="11777" max="11777" width="5.75" style="393" customWidth="1"/>
    <col min="11778" max="11778" width="5.875" style="393" customWidth="1"/>
    <col min="11779" max="11779" width="55.875" style="393" customWidth="1"/>
    <col min="11780" max="11780" width="32.25" style="393" customWidth="1"/>
    <col min="11781" max="11781" width="16.375" style="393" customWidth="1"/>
    <col min="11782" max="12026" width="10.375" style="393" customWidth="1"/>
    <col min="12027" max="12027" width="5.75" style="393" customWidth="1"/>
    <col min="12028" max="12028" width="5.875" style="393" customWidth="1"/>
    <col min="12029" max="12029" width="34.125" style="393" customWidth="1"/>
    <col min="12030" max="12030" width="16.25" style="393" customWidth="1"/>
    <col min="12031" max="12032" width="16.75" style="393"/>
    <col min="12033" max="12033" width="5.75" style="393" customWidth="1"/>
    <col min="12034" max="12034" width="5.875" style="393" customWidth="1"/>
    <col min="12035" max="12035" width="55.875" style="393" customWidth="1"/>
    <col min="12036" max="12036" width="32.25" style="393" customWidth="1"/>
    <col min="12037" max="12037" width="16.375" style="393" customWidth="1"/>
    <col min="12038" max="12282" width="10.375" style="393" customWidth="1"/>
    <col min="12283" max="12283" width="5.75" style="393" customWidth="1"/>
    <col min="12284" max="12284" width="5.875" style="393" customWidth="1"/>
    <col min="12285" max="12285" width="34.125" style="393" customWidth="1"/>
    <col min="12286" max="12286" width="16.25" style="393" customWidth="1"/>
    <col min="12287" max="12288" width="16.75" style="393"/>
    <col min="12289" max="12289" width="5.75" style="393" customWidth="1"/>
    <col min="12290" max="12290" width="5.875" style="393" customWidth="1"/>
    <col min="12291" max="12291" width="55.875" style="393" customWidth="1"/>
    <col min="12292" max="12292" width="32.25" style="393" customWidth="1"/>
    <col min="12293" max="12293" width="16.375" style="393" customWidth="1"/>
    <col min="12294" max="12538" width="10.375" style="393" customWidth="1"/>
    <col min="12539" max="12539" width="5.75" style="393" customWidth="1"/>
    <col min="12540" max="12540" width="5.875" style="393" customWidth="1"/>
    <col min="12541" max="12541" width="34.125" style="393" customWidth="1"/>
    <col min="12542" max="12542" width="16.25" style="393" customWidth="1"/>
    <col min="12543" max="12544" width="16.75" style="393"/>
    <col min="12545" max="12545" width="5.75" style="393" customWidth="1"/>
    <col min="12546" max="12546" width="5.875" style="393" customWidth="1"/>
    <col min="12547" max="12547" width="55.875" style="393" customWidth="1"/>
    <col min="12548" max="12548" width="32.25" style="393" customWidth="1"/>
    <col min="12549" max="12549" width="16.375" style="393" customWidth="1"/>
    <col min="12550" max="12794" width="10.375" style="393" customWidth="1"/>
    <col min="12795" max="12795" width="5.75" style="393" customWidth="1"/>
    <col min="12796" max="12796" width="5.875" style="393" customWidth="1"/>
    <col min="12797" max="12797" width="34.125" style="393" customWidth="1"/>
    <col min="12798" max="12798" width="16.25" style="393" customWidth="1"/>
    <col min="12799" max="12800" width="16.75" style="393"/>
    <col min="12801" max="12801" width="5.75" style="393" customWidth="1"/>
    <col min="12802" max="12802" width="5.875" style="393" customWidth="1"/>
    <col min="12803" max="12803" width="55.875" style="393" customWidth="1"/>
    <col min="12804" max="12804" width="32.25" style="393" customWidth="1"/>
    <col min="12805" max="12805" width="16.375" style="393" customWidth="1"/>
    <col min="12806" max="13050" width="10.375" style="393" customWidth="1"/>
    <col min="13051" max="13051" width="5.75" style="393" customWidth="1"/>
    <col min="13052" max="13052" width="5.875" style="393" customWidth="1"/>
    <col min="13053" max="13053" width="34.125" style="393" customWidth="1"/>
    <col min="13054" max="13054" width="16.25" style="393" customWidth="1"/>
    <col min="13055" max="13056" width="16.75" style="393"/>
    <col min="13057" max="13057" width="5.75" style="393" customWidth="1"/>
    <col min="13058" max="13058" width="5.875" style="393" customWidth="1"/>
    <col min="13059" max="13059" width="55.875" style="393" customWidth="1"/>
    <col min="13060" max="13060" width="32.25" style="393" customWidth="1"/>
    <col min="13061" max="13061" width="16.375" style="393" customWidth="1"/>
    <col min="13062" max="13306" width="10.375" style="393" customWidth="1"/>
    <col min="13307" max="13307" width="5.75" style="393" customWidth="1"/>
    <col min="13308" max="13308" width="5.875" style="393" customWidth="1"/>
    <col min="13309" max="13309" width="34.125" style="393" customWidth="1"/>
    <col min="13310" max="13310" width="16.25" style="393" customWidth="1"/>
    <col min="13311" max="13312" width="16.75" style="393"/>
    <col min="13313" max="13313" width="5.75" style="393" customWidth="1"/>
    <col min="13314" max="13314" width="5.875" style="393" customWidth="1"/>
    <col min="13315" max="13315" width="55.875" style="393" customWidth="1"/>
    <col min="13316" max="13316" width="32.25" style="393" customWidth="1"/>
    <col min="13317" max="13317" width="16.375" style="393" customWidth="1"/>
    <col min="13318" max="13562" width="10.375" style="393" customWidth="1"/>
    <col min="13563" max="13563" width="5.75" style="393" customWidth="1"/>
    <col min="13564" max="13564" width="5.875" style="393" customWidth="1"/>
    <col min="13565" max="13565" width="34.125" style="393" customWidth="1"/>
    <col min="13566" max="13566" width="16.25" style="393" customWidth="1"/>
    <col min="13567" max="13568" width="16.75" style="393"/>
    <col min="13569" max="13569" width="5.75" style="393" customWidth="1"/>
    <col min="13570" max="13570" width="5.875" style="393" customWidth="1"/>
    <col min="13571" max="13571" width="55.875" style="393" customWidth="1"/>
    <col min="13572" max="13572" width="32.25" style="393" customWidth="1"/>
    <col min="13573" max="13573" width="16.375" style="393" customWidth="1"/>
    <col min="13574" max="13818" width="10.375" style="393" customWidth="1"/>
    <col min="13819" max="13819" width="5.75" style="393" customWidth="1"/>
    <col min="13820" max="13820" width="5.875" style="393" customWidth="1"/>
    <col min="13821" max="13821" width="34.125" style="393" customWidth="1"/>
    <col min="13822" max="13822" width="16.25" style="393" customWidth="1"/>
    <col min="13823" max="13824" width="16.75" style="393"/>
    <col min="13825" max="13825" width="5.75" style="393" customWidth="1"/>
    <col min="13826" max="13826" width="5.875" style="393" customWidth="1"/>
    <col min="13827" max="13827" width="55.875" style="393" customWidth="1"/>
    <col min="13828" max="13828" width="32.25" style="393" customWidth="1"/>
    <col min="13829" max="13829" width="16.375" style="393" customWidth="1"/>
    <col min="13830" max="14074" width="10.375" style="393" customWidth="1"/>
    <col min="14075" max="14075" width="5.75" style="393" customWidth="1"/>
    <col min="14076" max="14076" width="5.875" style="393" customWidth="1"/>
    <col min="14077" max="14077" width="34.125" style="393" customWidth="1"/>
    <col min="14078" max="14078" width="16.25" style="393" customWidth="1"/>
    <col min="14079" max="14080" width="16.75" style="393"/>
    <col min="14081" max="14081" width="5.75" style="393" customWidth="1"/>
    <col min="14082" max="14082" width="5.875" style="393" customWidth="1"/>
    <col min="14083" max="14083" width="55.875" style="393" customWidth="1"/>
    <col min="14084" max="14084" width="32.25" style="393" customWidth="1"/>
    <col min="14085" max="14085" width="16.375" style="393" customWidth="1"/>
    <col min="14086" max="14330" width="10.375" style="393" customWidth="1"/>
    <col min="14331" max="14331" width="5.75" style="393" customWidth="1"/>
    <col min="14332" max="14332" width="5.875" style="393" customWidth="1"/>
    <col min="14333" max="14333" width="34.125" style="393" customWidth="1"/>
    <col min="14334" max="14334" width="16.25" style="393" customWidth="1"/>
    <col min="14335" max="14336" width="16.75" style="393"/>
    <col min="14337" max="14337" width="5.75" style="393" customWidth="1"/>
    <col min="14338" max="14338" width="5.875" style="393" customWidth="1"/>
    <col min="14339" max="14339" width="55.875" style="393" customWidth="1"/>
    <col min="14340" max="14340" width="32.25" style="393" customWidth="1"/>
    <col min="14341" max="14341" width="16.375" style="393" customWidth="1"/>
    <col min="14342" max="14586" width="10.375" style="393" customWidth="1"/>
    <col min="14587" max="14587" width="5.75" style="393" customWidth="1"/>
    <col min="14588" max="14588" width="5.875" style="393" customWidth="1"/>
    <col min="14589" max="14589" width="34.125" style="393" customWidth="1"/>
    <col min="14590" max="14590" width="16.25" style="393" customWidth="1"/>
    <col min="14591" max="14592" width="16.75" style="393"/>
    <col min="14593" max="14593" width="5.75" style="393" customWidth="1"/>
    <col min="14594" max="14594" width="5.875" style="393" customWidth="1"/>
    <col min="14595" max="14595" width="55.875" style="393" customWidth="1"/>
    <col min="14596" max="14596" width="32.25" style="393" customWidth="1"/>
    <col min="14597" max="14597" width="16.375" style="393" customWidth="1"/>
    <col min="14598" max="14842" width="10.375" style="393" customWidth="1"/>
    <col min="14843" max="14843" width="5.75" style="393" customWidth="1"/>
    <col min="14844" max="14844" width="5.875" style="393" customWidth="1"/>
    <col min="14845" max="14845" width="34.125" style="393" customWidth="1"/>
    <col min="14846" max="14846" width="16.25" style="393" customWidth="1"/>
    <col min="14847" max="14848" width="16.75" style="393"/>
    <col min="14849" max="14849" width="5.75" style="393" customWidth="1"/>
    <col min="14850" max="14850" width="5.875" style="393" customWidth="1"/>
    <col min="14851" max="14851" width="55.875" style="393" customWidth="1"/>
    <col min="14852" max="14852" width="32.25" style="393" customWidth="1"/>
    <col min="14853" max="14853" width="16.375" style="393" customWidth="1"/>
    <col min="14854" max="15098" width="10.375" style="393" customWidth="1"/>
    <col min="15099" max="15099" width="5.75" style="393" customWidth="1"/>
    <col min="15100" max="15100" width="5.875" style="393" customWidth="1"/>
    <col min="15101" max="15101" width="34.125" style="393" customWidth="1"/>
    <col min="15102" max="15102" width="16.25" style="393" customWidth="1"/>
    <col min="15103" max="15104" width="16.75" style="393"/>
    <col min="15105" max="15105" width="5.75" style="393" customWidth="1"/>
    <col min="15106" max="15106" width="5.875" style="393" customWidth="1"/>
    <col min="15107" max="15107" width="55.875" style="393" customWidth="1"/>
    <col min="15108" max="15108" width="32.25" style="393" customWidth="1"/>
    <col min="15109" max="15109" width="16.375" style="393" customWidth="1"/>
    <col min="15110" max="15354" width="10.375" style="393" customWidth="1"/>
    <col min="15355" max="15355" width="5.75" style="393" customWidth="1"/>
    <col min="15356" max="15356" width="5.875" style="393" customWidth="1"/>
    <col min="15357" max="15357" width="34.125" style="393" customWidth="1"/>
    <col min="15358" max="15358" width="16.25" style="393" customWidth="1"/>
    <col min="15359" max="15360" width="16.75" style="393"/>
    <col min="15361" max="15361" width="5.75" style="393" customWidth="1"/>
    <col min="15362" max="15362" width="5.875" style="393" customWidth="1"/>
    <col min="15363" max="15363" width="55.875" style="393" customWidth="1"/>
    <col min="15364" max="15364" width="32.25" style="393" customWidth="1"/>
    <col min="15365" max="15365" width="16.375" style="393" customWidth="1"/>
    <col min="15366" max="15610" width="10.375" style="393" customWidth="1"/>
    <col min="15611" max="15611" width="5.75" style="393" customWidth="1"/>
    <col min="15612" max="15612" width="5.875" style="393" customWidth="1"/>
    <col min="15613" max="15613" width="34.125" style="393" customWidth="1"/>
    <col min="15614" max="15614" width="16.25" style="393" customWidth="1"/>
    <col min="15615" max="15616" width="16.75" style="393"/>
    <col min="15617" max="15617" width="5.75" style="393" customWidth="1"/>
    <col min="15618" max="15618" width="5.875" style="393" customWidth="1"/>
    <col min="15619" max="15619" width="55.875" style="393" customWidth="1"/>
    <col min="15620" max="15620" width="32.25" style="393" customWidth="1"/>
    <col min="15621" max="15621" width="16.375" style="393" customWidth="1"/>
    <col min="15622" max="15866" width="10.375" style="393" customWidth="1"/>
    <col min="15867" max="15867" width="5.75" style="393" customWidth="1"/>
    <col min="15868" max="15868" width="5.875" style="393" customWidth="1"/>
    <col min="15869" max="15869" width="34.125" style="393" customWidth="1"/>
    <col min="15870" max="15870" width="16.25" style="393" customWidth="1"/>
    <col min="15871" max="15872" width="16.75" style="393"/>
    <col min="15873" max="15873" width="5.75" style="393" customWidth="1"/>
    <col min="15874" max="15874" width="5.875" style="393" customWidth="1"/>
    <col min="15875" max="15875" width="55.875" style="393" customWidth="1"/>
    <col min="15876" max="15876" width="32.25" style="393" customWidth="1"/>
    <col min="15877" max="15877" width="16.375" style="393" customWidth="1"/>
    <col min="15878" max="16122" width="10.375" style="393" customWidth="1"/>
    <col min="16123" max="16123" width="5.75" style="393" customWidth="1"/>
    <col min="16124" max="16124" width="5.875" style="393" customWidth="1"/>
    <col min="16125" max="16125" width="34.125" style="393" customWidth="1"/>
    <col min="16126" max="16126" width="16.25" style="393" customWidth="1"/>
    <col min="16127" max="16128" width="16.75" style="393"/>
    <col min="16129" max="16129" width="5.75" style="393" customWidth="1"/>
    <col min="16130" max="16130" width="5.875" style="393" customWidth="1"/>
    <col min="16131" max="16131" width="55.875" style="393" customWidth="1"/>
    <col min="16132" max="16132" width="32.25" style="393" customWidth="1"/>
    <col min="16133" max="16133" width="16.375" style="393" customWidth="1"/>
    <col min="16134" max="16378" width="10.375" style="393" customWidth="1"/>
    <col min="16379" max="16379" width="5.75" style="393" customWidth="1"/>
    <col min="16380" max="16380" width="5.875" style="393" customWidth="1"/>
    <col min="16381" max="16381" width="34.125" style="393" customWidth="1"/>
    <col min="16382" max="16382" width="16.25" style="393" customWidth="1"/>
    <col min="16383" max="16384" width="16.75" style="393"/>
  </cols>
  <sheetData>
    <row r="1" spans="1:5" ht="15" customHeight="1">
      <c r="A1" s="390"/>
      <c r="B1" s="390"/>
      <c r="C1" s="390"/>
      <c r="D1" s="391" t="s">
        <v>467</v>
      </c>
      <c r="E1" s="392"/>
    </row>
    <row r="2" spans="1:5" ht="15" customHeight="1">
      <c r="A2" s="390"/>
      <c r="B2" s="390"/>
      <c r="C2" s="390"/>
      <c r="D2" s="394" t="s">
        <v>535</v>
      </c>
      <c r="E2" s="395"/>
    </row>
    <row r="3" spans="1:5" ht="15" customHeight="1">
      <c r="A3" s="396"/>
      <c r="B3" s="396"/>
      <c r="C3" s="396"/>
      <c r="D3" s="394" t="s">
        <v>536</v>
      </c>
      <c r="E3" s="395"/>
    </row>
    <row r="4" spans="1:5" ht="3.75" customHeight="1">
      <c r="A4" s="396"/>
      <c r="B4" s="396"/>
      <c r="C4" s="396"/>
      <c r="D4" s="394"/>
      <c r="E4" s="395"/>
    </row>
    <row r="5" spans="1:5" s="397" customFormat="1" ht="18.75" customHeight="1">
      <c r="A5" s="937" t="s">
        <v>468</v>
      </c>
      <c r="B5" s="937"/>
      <c r="C5" s="937"/>
      <c r="D5" s="937"/>
    </row>
    <row r="6" spans="1:5" s="397" customFormat="1" ht="18.75" customHeight="1">
      <c r="A6" s="937" t="s">
        <v>362</v>
      </c>
      <c r="B6" s="937"/>
      <c r="C6" s="937"/>
      <c r="D6" s="937"/>
    </row>
    <row r="7" spans="1:5" s="397" customFormat="1" ht="12.75" customHeight="1">
      <c r="A7" s="938"/>
      <c r="B7" s="938"/>
      <c r="C7" s="938"/>
      <c r="D7" s="479" t="s">
        <v>15</v>
      </c>
    </row>
    <row r="8" spans="1:5" s="398" customFormat="1" ht="15.75" customHeight="1">
      <c r="A8" s="939" t="s">
        <v>469</v>
      </c>
      <c r="B8" s="939" t="s">
        <v>177</v>
      </c>
      <c r="C8" s="940" t="s">
        <v>470</v>
      </c>
      <c r="D8" s="939" t="s">
        <v>471</v>
      </c>
    </row>
    <row r="9" spans="1:5" s="399" customFormat="1" ht="9" customHeight="1">
      <c r="A9" s="939"/>
      <c r="B9" s="939"/>
      <c r="C9" s="940"/>
      <c r="D9" s="939"/>
    </row>
    <row r="10" spans="1:5" s="402" customFormat="1">
      <c r="A10" s="400">
        <v>1</v>
      </c>
      <c r="B10" s="400">
        <v>2</v>
      </c>
      <c r="C10" s="401">
        <v>3</v>
      </c>
      <c r="D10" s="400">
        <v>4</v>
      </c>
    </row>
    <row r="11" spans="1:5" s="402" customFormat="1" ht="8.25" customHeight="1">
      <c r="A11" s="403"/>
      <c r="B11" s="404"/>
      <c r="C11" s="404"/>
      <c r="D11" s="405"/>
    </row>
    <row r="12" spans="1:5" s="409" customFormat="1" ht="21" customHeight="1">
      <c r="A12" s="406">
        <v>1</v>
      </c>
      <c r="B12" s="406"/>
      <c r="C12" s="407" t="s">
        <v>321</v>
      </c>
      <c r="D12" s="408">
        <f>D14+D13</f>
        <v>1521229829</v>
      </c>
    </row>
    <row r="13" spans="1:5" s="413" customFormat="1" ht="21" customHeight="1">
      <c r="A13" s="410" t="s">
        <v>472</v>
      </c>
      <c r="B13" s="410"/>
      <c r="C13" s="411" t="s">
        <v>473</v>
      </c>
      <c r="D13" s="412">
        <v>1106016697</v>
      </c>
    </row>
    <row r="14" spans="1:5" s="413" customFormat="1" ht="21" customHeight="1">
      <c r="A14" s="410" t="s">
        <v>474</v>
      </c>
      <c r="B14" s="410"/>
      <c r="C14" s="411" t="s">
        <v>475</v>
      </c>
      <c r="D14" s="412">
        <v>415213132</v>
      </c>
    </row>
    <row r="15" spans="1:5" s="409" customFormat="1" ht="21" customHeight="1">
      <c r="A15" s="406">
        <v>2</v>
      </c>
      <c r="B15" s="406"/>
      <c r="C15" s="407" t="s">
        <v>476</v>
      </c>
      <c r="D15" s="408">
        <f>D16+D19+D22</f>
        <v>64580952</v>
      </c>
    </row>
    <row r="16" spans="1:5" s="418" customFormat="1" ht="30.75" customHeight="1">
      <c r="A16" s="414" t="s">
        <v>477</v>
      </c>
      <c r="B16" s="415"/>
      <c r="C16" s="416" t="s">
        <v>478</v>
      </c>
      <c r="D16" s="417">
        <f>D17+D18</f>
        <v>2050588</v>
      </c>
    </row>
    <row r="17" spans="1:4" s="423" customFormat="1" ht="30" customHeight="1">
      <c r="A17" s="419" t="s">
        <v>479</v>
      </c>
      <c r="B17" s="420">
        <v>905</v>
      </c>
      <c r="C17" s="421" t="s">
        <v>480</v>
      </c>
      <c r="D17" s="422">
        <v>2000000</v>
      </c>
    </row>
    <row r="18" spans="1:4" s="423" customFormat="1" ht="39" customHeight="1">
      <c r="A18" s="424" t="s">
        <v>481</v>
      </c>
      <c r="B18" s="420">
        <v>906</v>
      </c>
      <c r="C18" s="421" t="s">
        <v>482</v>
      </c>
      <c r="D18" s="422">
        <v>50588</v>
      </c>
    </row>
    <row r="19" spans="1:4" s="418" customFormat="1" ht="21.95" customHeight="1">
      <c r="A19" s="425" t="s">
        <v>483</v>
      </c>
      <c r="B19" s="426">
        <v>952</v>
      </c>
      <c r="C19" s="427" t="s">
        <v>484</v>
      </c>
      <c r="D19" s="417">
        <f>D20+D21</f>
        <v>40000000</v>
      </c>
    </row>
    <row r="20" spans="1:4" s="402" customFormat="1" ht="18.75" customHeight="1">
      <c r="A20" s="424" t="s">
        <v>485</v>
      </c>
      <c r="B20" s="400"/>
      <c r="C20" s="428" t="s">
        <v>486</v>
      </c>
      <c r="D20" s="422">
        <v>10000000</v>
      </c>
    </row>
    <row r="21" spans="1:4" s="402" customFormat="1" ht="18.75" customHeight="1">
      <c r="A21" s="424" t="s">
        <v>487</v>
      </c>
      <c r="B21" s="400"/>
      <c r="C21" s="428" t="s">
        <v>488</v>
      </c>
      <c r="D21" s="422">
        <v>30000000</v>
      </c>
    </row>
    <row r="22" spans="1:4" s="418" customFormat="1" ht="27.75" customHeight="1">
      <c r="A22" s="425" t="s">
        <v>489</v>
      </c>
      <c r="B22" s="426">
        <v>950</v>
      </c>
      <c r="C22" s="427" t="s">
        <v>490</v>
      </c>
      <c r="D22" s="417">
        <f>D23+D24</f>
        <v>22530364</v>
      </c>
    </row>
    <row r="23" spans="1:4" s="423" customFormat="1" ht="19.5" customHeight="1">
      <c r="A23" s="424" t="s">
        <v>491</v>
      </c>
      <c r="B23" s="400"/>
      <c r="C23" s="428" t="s">
        <v>492</v>
      </c>
      <c r="D23" s="422">
        <v>7580952</v>
      </c>
    </row>
    <row r="24" spans="1:4" s="423" customFormat="1" ht="19.5" customHeight="1">
      <c r="A24" s="424" t="s">
        <v>493</v>
      </c>
      <c r="B24" s="400"/>
      <c r="C24" s="428" t="s">
        <v>494</v>
      </c>
      <c r="D24" s="422">
        <v>14949412</v>
      </c>
    </row>
    <row r="25" spans="1:4" s="431" customFormat="1" ht="21.95" customHeight="1">
      <c r="A25" s="429">
        <v>3</v>
      </c>
      <c r="B25" s="429"/>
      <c r="C25" s="430" t="s">
        <v>495</v>
      </c>
      <c r="D25" s="408">
        <f>D12+D15</f>
        <v>1585810781</v>
      </c>
    </row>
    <row r="26" spans="1:4" ht="4.5" customHeight="1">
      <c r="A26" s="432"/>
      <c r="B26" s="433"/>
      <c r="C26" s="434"/>
      <c r="D26" s="435"/>
    </row>
    <row r="27" spans="1:4" s="436" customFormat="1" ht="21.95" customHeight="1">
      <c r="A27" s="406">
        <v>4</v>
      </c>
      <c r="B27" s="406"/>
      <c r="C27" s="407" t="s">
        <v>322</v>
      </c>
      <c r="D27" s="408">
        <f>D28+D31</f>
        <v>1568229829</v>
      </c>
    </row>
    <row r="28" spans="1:4" s="413" customFormat="1" ht="21.95" customHeight="1">
      <c r="A28" s="410" t="s">
        <v>496</v>
      </c>
      <c r="B28" s="410"/>
      <c r="C28" s="411" t="s">
        <v>497</v>
      </c>
      <c r="D28" s="412">
        <f>D29+D30</f>
        <v>859127010</v>
      </c>
    </row>
    <row r="29" spans="1:4" s="440" customFormat="1" ht="19.5" customHeight="1">
      <c r="A29" s="437" t="s">
        <v>498</v>
      </c>
      <c r="B29" s="437"/>
      <c r="C29" s="438" t="s">
        <v>499</v>
      </c>
      <c r="D29" s="439">
        <v>805638409</v>
      </c>
    </row>
    <row r="30" spans="1:4" s="440" customFormat="1" ht="19.5" customHeight="1">
      <c r="A30" s="437" t="s">
        <v>500</v>
      </c>
      <c r="B30" s="437"/>
      <c r="C30" s="438" t="s">
        <v>501</v>
      </c>
      <c r="D30" s="439">
        <v>53488601</v>
      </c>
    </row>
    <row r="31" spans="1:4" s="413" customFormat="1" ht="21.95" customHeight="1">
      <c r="A31" s="410" t="s">
        <v>502</v>
      </c>
      <c r="B31" s="410"/>
      <c r="C31" s="411" t="s">
        <v>503</v>
      </c>
      <c r="D31" s="412">
        <v>709102819</v>
      </c>
    </row>
    <row r="32" spans="1:4" s="409" customFormat="1" ht="21.95" customHeight="1">
      <c r="A32" s="406">
        <v>5</v>
      </c>
      <c r="B32" s="406"/>
      <c r="C32" s="407" t="s">
        <v>504</v>
      </c>
      <c r="D32" s="408">
        <f>D33</f>
        <v>17580952</v>
      </c>
    </row>
    <row r="33" spans="1:4" ht="21.95" customHeight="1">
      <c r="A33" s="426" t="s">
        <v>505</v>
      </c>
      <c r="B33" s="426">
        <v>992</v>
      </c>
      <c r="C33" s="427" t="s">
        <v>506</v>
      </c>
      <c r="D33" s="417">
        <v>17580952</v>
      </c>
    </row>
    <row r="34" spans="1:4" s="431" customFormat="1" ht="21.95" customHeight="1">
      <c r="A34" s="429">
        <v>6</v>
      </c>
      <c r="B34" s="429"/>
      <c r="C34" s="430" t="s">
        <v>507</v>
      </c>
      <c r="D34" s="408">
        <f>D27+D32</f>
        <v>1585810781</v>
      </c>
    </row>
    <row r="35" spans="1:4" s="431" customFormat="1" ht="6.75" customHeight="1">
      <c r="A35" s="441"/>
      <c r="B35" s="442"/>
      <c r="C35" s="443"/>
      <c r="D35" s="444"/>
    </row>
    <row r="36" spans="1:4" s="409" customFormat="1" ht="21.95" customHeight="1">
      <c r="A36" s="406">
        <v>7</v>
      </c>
      <c r="B36" s="406"/>
      <c r="C36" s="407" t="s">
        <v>508</v>
      </c>
      <c r="D36" s="408">
        <f>D25-D34</f>
        <v>0</v>
      </c>
    </row>
    <row r="37" spans="1:4" s="409" customFormat="1" ht="6" customHeight="1">
      <c r="A37" s="445"/>
      <c r="B37" s="446"/>
      <c r="C37" s="447"/>
      <c r="D37" s="435"/>
    </row>
    <row r="38" spans="1:4" s="409" customFormat="1" ht="21.95" customHeight="1">
      <c r="A38" s="406">
        <v>8</v>
      </c>
      <c r="B38" s="406"/>
      <c r="C38" s="407" t="s">
        <v>509</v>
      </c>
      <c r="D38" s="408">
        <f>D12-D27</f>
        <v>-47000000</v>
      </c>
    </row>
    <row r="39" spans="1:4" s="409" customFormat="1" ht="6.75" customHeight="1">
      <c r="A39" s="445"/>
      <c r="B39" s="446"/>
      <c r="C39" s="447"/>
      <c r="D39" s="435"/>
    </row>
    <row r="40" spans="1:4" s="409" customFormat="1" ht="21.95" customHeight="1">
      <c r="A40" s="448">
        <v>9</v>
      </c>
      <c r="B40" s="448"/>
      <c r="C40" s="449" t="s">
        <v>510</v>
      </c>
      <c r="D40" s="450">
        <f>D41+D44+D45</f>
        <v>47000000</v>
      </c>
    </row>
    <row r="41" spans="1:4" s="452" customFormat="1" ht="29.25" customHeight="1">
      <c r="A41" s="425" t="s">
        <v>511</v>
      </c>
      <c r="B41" s="426"/>
      <c r="C41" s="416" t="s">
        <v>478</v>
      </c>
      <c r="D41" s="451">
        <f>D42+D43</f>
        <v>2050588</v>
      </c>
    </row>
    <row r="42" spans="1:4" s="455" customFormat="1" ht="32.25" customHeight="1">
      <c r="A42" s="424" t="s">
        <v>512</v>
      </c>
      <c r="B42" s="400"/>
      <c r="C42" s="453" t="s">
        <v>480</v>
      </c>
      <c r="D42" s="454">
        <f>D17</f>
        <v>2000000</v>
      </c>
    </row>
    <row r="43" spans="1:4" s="455" customFormat="1" ht="41.25" customHeight="1">
      <c r="A43" s="424" t="s">
        <v>513</v>
      </c>
      <c r="B43" s="400"/>
      <c r="C43" s="456" t="s">
        <v>514</v>
      </c>
      <c r="D43" s="454">
        <f>D18</f>
        <v>50588</v>
      </c>
    </row>
    <row r="44" spans="1:4" ht="17.25" customHeight="1">
      <c r="A44" s="425" t="s">
        <v>515</v>
      </c>
      <c r="B44" s="426"/>
      <c r="C44" s="427" t="s">
        <v>516</v>
      </c>
      <c r="D44" s="417">
        <f>D21</f>
        <v>30000000</v>
      </c>
    </row>
    <row r="45" spans="1:4" ht="30" customHeight="1">
      <c r="A45" s="457" t="s">
        <v>517</v>
      </c>
      <c r="B45" s="458"/>
      <c r="C45" s="427" t="s">
        <v>490</v>
      </c>
      <c r="D45" s="417">
        <f>D24</f>
        <v>14949412</v>
      </c>
    </row>
    <row r="46" spans="1:4" ht="21.95" hidden="1" customHeight="1">
      <c r="A46" s="457" t="s">
        <v>517</v>
      </c>
      <c r="B46" s="458"/>
      <c r="C46" s="459" t="s">
        <v>518</v>
      </c>
      <c r="D46" s="435">
        <v>0</v>
      </c>
    </row>
    <row r="47" spans="1:4" ht="5.25" customHeight="1">
      <c r="A47" s="460"/>
      <c r="B47" s="461"/>
      <c r="C47" s="462"/>
      <c r="D47" s="463"/>
    </row>
    <row r="48" spans="1:4" s="431" customFormat="1" ht="14.25" customHeight="1">
      <c r="A48" s="941" t="s">
        <v>519</v>
      </c>
      <c r="B48" s="941"/>
      <c r="C48" s="941"/>
      <c r="D48" s="464"/>
    </row>
    <row r="49" spans="1:4" ht="15" customHeight="1">
      <c r="A49" s="934" t="s">
        <v>520</v>
      </c>
      <c r="B49" s="934"/>
      <c r="C49" s="934"/>
      <c r="D49" s="465">
        <f>D13</f>
        <v>1106016697</v>
      </c>
    </row>
    <row r="50" spans="1:4" ht="15" customHeight="1">
      <c r="A50" s="934" t="s">
        <v>521</v>
      </c>
      <c r="B50" s="934"/>
      <c r="C50" s="934"/>
      <c r="D50" s="465">
        <f>D28</f>
        <v>859127010</v>
      </c>
    </row>
    <row r="51" spans="1:4" s="431" customFormat="1" ht="16.5" customHeight="1">
      <c r="A51" s="942" t="s">
        <v>522</v>
      </c>
      <c r="B51" s="942"/>
      <c r="C51" s="942"/>
      <c r="D51" s="466">
        <f>D49-D50</f>
        <v>246889687</v>
      </c>
    </row>
    <row r="52" spans="1:4" s="398" customFormat="1" ht="6" customHeight="1">
      <c r="A52" s="467"/>
      <c r="B52" s="468"/>
      <c r="C52" s="469"/>
      <c r="D52" s="470"/>
    </row>
    <row r="53" spans="1:4" s="398" customFormat="1" ht="12" customHeight="1">
      <c r="A53" s="936" t="s">
        <v>523</v>
      </c>
      <c r="B53" s="936"/>
      <c r="C53" s="936"/>
      <c r="D53" s="471">
        <f>D12</f>
        <v>1521229829</v>
      </c>
    </row>
    <row r="54" spans="1:4" ht="15" customHeight="1">
      <c r="A54" s="934" t="s">
        <v>524</v>
      </c>
      <c r="B54" s="934"/>
      <c r="C54" s="934"/>
      <c r="D54" s="465">
        <f>D29</f>
        <v>805638409</v>
      </c>
    </row>
    <row r="55" spans="1:4" ht="15" customHeight="1">
      <c r="A55" s="934" t="s">
        <v>525</v>
      </c>
      <c r="B55" s="934"/>
      <c r="C55" s="934"/>
      <c r="D55" s="465">
        <f>D22+D16</f>
        <v>24580952</v>
      </c>
    </row>
    <row r="56" spans="1:4" ht="15.75" customHeight="1">
      <c r="A56" s="936" t="s">
        <v>526</v>
      </c>
      <c r="B56" s="936"/>
      <c r="C56" s="936"/>
      <c r="D56" s="465">
        <f>D53-D54+D55</f>
        <v>740172372</v>
      </c>
    </row>
    <row r="57" spans="1:4" ht="25.5" customHeight="1">
      <c r="A57" s="934" t="s">
        <v>527</v>
      </c>
      <c r="B57" s="934"/>
      <c r="C57" s="934"/>
      <c r="D57" s="465">
        <f>D30+D33</f>
        <v>71069553</v>
      </c>
    </row>
    <row r="58" spans="1:4" ht="15" customHeight="1">
      <c r="A58" s="936" t="s">
        <v>528</v>
      </c>
      <c r="B58" s="936"/>
      <c r="C58" s="936"/>
      <c r="D58" s="465">
        <f>D56-D57</f>
        <v>669102819</v>
      </c>
    </row>
    <row r="59" spans="1:4" ht="15" customHeight="1">
      <c r="A59" s="934" t="s">
        <v>529</v>
      </c>
      <c r="B59" s="934"/>
      <c r="C59" s="934"/>
      <c r="D59" s="465">
        <f>D31</f>
        <v>709102819</v>
      </c>
    </row>
    <row r="60" spans="1:4" ht="15" customHeight="1">
      <c r="A60" s="936" t="s">
        <v>530</v>
      </c>
      <c r="B60" s="936"/>
      <c r="C60" s="936"/>
      <c r="D60" s="465">
        <f>D58-D59</f>
        <v>-40000000</v>
      </c>
    </row>
    <row r="61" spans="1:4" ht="15" customHeight="1">
      <c r="A61" s="934" t="s">
        <v>531</v>
      </c>
      <c r="B61" s="934"/>
      <c r="C61" s="934"/>
      <c r="D61" s="465">
        <f>D19</f>
        <v>40000000</v>
      </c>
    </row>
    <row r="62" spans="1:4" ht="15" hidden="1" customHeight="1">
      <c r="A62" s="934" t="s">
        <v>532</v>
      </c>
      <c r="B62" s="934"/>
      <c r="C62" s="934"/>
      <c r="D62" s="465">
        <v>0</v>
      </c>
    </row>
    <row r="63" spans="1:4" ht="15" hidden="1" customHeight="1">
      <c r="A63" s="934" t="s">
        <v>533</v>
      </c>
      <c r="B63" s="934"/>
      <c r="C63" s="934"/>
      <c r="D63" s="465">
        <v>0</v>
      </c>
    </row>
    <row r="64" spans="1:4" ht="14.25" customHeight="1">
      <c r="A64" s="935" t="s">
        <v>534</v>
      </c>
      <c r="B64" s="935"/>
      <c r="C64" s="935"/>
      <c r="D64" s="472">
        <f>D60+D61-D62+D63</f>
        <v>0</v>
      </c>
    </row>
    <row r="65" spans="1:4" ht="6.75" hidden="1" customHeight="1" thickBot="1">
      <c r="A65" s="473"/>
      <c r="B65" s="474"/>
      <c r="C65" s="475"/>
      <c r="D65" s="476"/>
    </row>
  </sheetData>
  <sheetProtection algorithmName="SHA-512" hashValue="/GWKfALEZhab9o1T27TNOHlkOd3RE8XNv8BwIWQok9MHHfRvhlR7DOw3R0xTUPTVPQi8BoJG2sSQgLeTCrut3g==" saltValue="XjmVlHqI8Za8c6lNs3LCaA==" spinCount="100000" sheet="1" objects="1" scenarios="1"/>
  <mergeCells count="23">
    <mergeCell ref="A54:C54"/>
    <mergeCell ref="A5:D5"/>
    <mergeCell ref="A6:D6"/>
    <mergeCell ref="A7:C7"/>
    <mergeCell ref="A8:A9"/>
    <mergeCell ref="B8:B9"/>
    <mergeCell ref="C8:C9"/>
    <mergeCell ref="D8:D9"/>
    <mergeCell ref="A48:C48"/>
    <mergeCell ref="A49:C49"/>
    <mergeCell ref="A50:C50"/>
    <mergeCell ref="A51:C51"/>
    <mergeCell ref="A53:C53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60:C60"/>
  </mergeCells>
  <printOptions horizontalCentered="1"/>
  <pageMargins left="0.51181102362204722" right="0.51181102362204722" top="0.98425196850393704" bottom="0.74803149606299213" header="0.31496062992125984" footer="0.31496062992125984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97"/>
  <sheetViews>
    <sheetView view="pageBreakPreview" topLeftCell="A471" zoomScaleNormal="100" zoomScaleSheetLayoutView="100" workbookViewId="0">
      <selection activeCell="A493" sqref="A493:G497"/>
    </sheetView>
  </sheetViews>
  <sheetFormatPr defaultRowHeight="15"/>
  <cols>
    <col min="1" max="1" width="5.375" style="496" customWidth="1"/>
    <col min="2" max="2" width="8.125" style="496" customWidth="1"/>
    <col min="3" max="3" width="9.375" style="496" customWidth="1"/>
    <col min="4" max="4" width="44.125" style="496" customWidth="1"/>
    <col min="5" max="5" width="11.25" style="496" customWidth="1"/>
    <col min="6" max="6" width="9.75" style="496" customWidth="1"/>
    <col min="7" max="7" width="11" style="496" customWidth="1"/>
    <col min="8" max="9" width="14.25" style="496" customWidth="1"/>
    <col min="10" max="10" width="11.375" style="496" customWidth="1"/>
    <col min="11" max="11" width="11.25" style="496" customWidth="1"/>
    <col min="12" max="12" width="10.75" style="496" customWidth="1"/>
    <col min="13" max="13" width="10.875" style="496" customWidth="1"/>
    <col min="14" max="14" width="11.25" style="496" customWidth="1"/>
    <col min="15" max="15" width="11.375" style="496" customWidth="1"/>
    <col min="16" max="20" width="11.125" style="496" customWidth="1"/>
    <col min="21" max="21" width="11.375" style="496" customWidth="1"/>
    <col min="22" max="22" width="11.25" style="496" customWidth="1"/>
    <col min="23" max="23" width="11.125" style="496" customWidth="1"/>
    <col min="24" max="16384" width="9" style="496"/>
  </cols>
  <sheetData>
    <row r="1" spans="1:24" s="481" customFormat="1" ht="14.25" customHeight="1">
      <c r="A1" s="480" t="s">
        <v>180</v>
      </c>
      <c r="U1" s="481" t="s">
        <v>802</v>
      </c>
    </row>
    <row r="2" spans="1:24" s="481" customFormat="1" ht="14.25" customHeight="1">
      <c r="A2" s="480"/>
      <c r="U2" s="481" t="s">
        <v>803</v>
      </c>
    </row>
    <row r="3" spans="1:24" s="481" customFormat="1" ht="14.25" customHeight="1">
      <c r="A3" s="480"/>
      <c r="U3" s="481" t="s">
        <v>536</v>
      </c>
    </row>
    <row r="4" spans="1:24" s="481" customFormat="1" ht="19.5" customHeight="1">
      <c r="A4" s="480"/>
    </row>
    <row r="5" spans="1:24" s="481" customFormat="1" ht="42.75" customHeight="1">
      <c r="A5" s="1012" t="s">
        <v>537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2"/>
      <c r="V5" s="1012"/>
      <c r="W5" s="1012"/>
    </row>
    <row r="6" spans="1:24" s="481" customFormat="1" ht="14.25" customHeight="1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U6" s="482"/>
      <c r="W6" s="480" t="s">
        <v>15</v>
      </c>
    </row>
    <row r="7" spans="1:24" s="481" customFormat="1" ht="19.5" customHeight="1">
      <c r="A7" s="1013" t="s">
        <v>323</v>
      </c>
      <c r="B7" s="1016" t="s">
        <v>538</v>
      </c>
      <c r="C7" s="1016" t="s">
        <v>539</v>
      </c>
      <c r="D7" s="1019" t="s">
        <v>540</v>
      </c>
      <c r="E7" s="1019" t="s">
        <v>541</v>
      </c>
      <c r="F7" s="1016" t="s">
        <v>542</v>
      </c>
      <c r="G7" s="1019" t="s">
        <v>543</v>
      </c>
      <c r="H7" s="1022" t="s">
        <v>544</v>
      </c>
      <c r="I7" s="1023" t="s">
        <v>545</v>
      </c>
      <c r="J7" s="948" t="s">
        <v>546</v>
      </c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</row>
    <row r="8" spans="1:24" s="481" customFormat="1" ht="18.75" customHeight="1">
      <c r="A8" s="1014"/>
      <c r="B8" s="1017"/>
      <c r="C8" s="1017"/>
      <c r="D8" s="1020"/>
      <c r="E8" s="1020"/>
      <c r="F8" s="1017"/>
      <c r="G8" s="1020"/>
      <c r="H8" s="1022"/>
      <c r="I8" s="1023"/>
      <c r="J8" s="948"/>
      <c r="K8" s="948"/>
      <c r="L8" s="948"/>
      <c r="M8" s="948"/>
      <c r="N8" s="948"/>
      <c r="O8" s="948"/>
      <c r="P8" s="948"/>
      <c r="Q8" s="948"/>
      <c r="R8" s="948"/>
      <c r="S8" s="948"/>
      <c r="T8" s="948"/>
      <c r="U8" s="948"/>
      <c r="V8" s="948"/>
      <c r="W8" s="948"/>
    </row>
    <row r="9" spans="1:24" s="481" customFormat="1" ht="15.75" customHeight="1">
      <c r="A9" s="1014"/>
      <c r="B9" s="1017"/>
      <c r="C9" s="1017"/>
      <c r="D9" s="1020"/>
      <c r="E9" s="1020"/>
      <c r="F9" s="1017"/>
      <c r="G9" s="1020"/>
      <c r="H9" s="483" t="s">
        <v>547</v>
      </c>
      <c r="I9" s="483" t="s">
        <v>547</v>
      </c>
      <c r="J9" s="948" t="s">
        <v>548</v>
      </c>
      <c r="K9" s="1029" t="s">
        <v>549</v>
      </c>
      <c r="L9" s="1029"/>
      <c r="M9" s="1029"/>
      <c r="N9" s="1025" t="s">
        <v>550</v>
      </c>
      <c r="O9" s="1029" t="s">
        <v>551</v>
      </c>
      <c r="P9" s="1029"/>
      <c r="Q9" s="1029"/>
      <c r="R9" s="1029"/>
      <c r="S9" s="1029"/>
      <c r="T9" s="1029"/>
      <c r="U9" s="1029"/>
      <c r="V9" s="1029"/>
      <c r="W9" s="1029"/>
    </row>
    <row r="10" spans="1:24" s="481" customFormat="1" ht="12.75" customHeight="1">
      <c r="A10" s="1014"/>
      <c r="B10" s="1017"/>
      <c r="C10" s="1017"/>
      <c r="D10" s="1020"/>
      <c r="E10" s="1020"/>
      <c r="F10" s="1017"/>
      <c r="G10" s="1020"/>
      <c r="H10" s="483" t="s">
        <v>552</v>
      </c>
      <c r="I10" s="483" t="s">
        <v>552</v>
      </c>
      <c r="J10" s="948"/>
      <c r="K10" s="1029"/>
      <c r="L10" s="1029"/>
      <c r="M10" s="1029"/>
      <c r="N10" s="1025"/>
      <c r="O10" s="1026" t="s">
        <v>553</v>
      </c>
      <c r="P10" s="1026"/>
      <c r="Q10" s="1026"/>
      <c r="R10" s="1026" t="s">
        <v>554</v>
      </c>
      <c r="S10" s="1026"/>
      <c r="T10" s="1026"/>
      <c r="U10" s="1025" t="s">
        <v>555</v>
      </c>
      <c r="V10" s="1025"/>
      <c r="W10" s="1025"/>
    </row>
    <row r="11" spans="1:24" s="481" customFormat="1" ht="12.75">
      <c r="A11" s="1014"/>
      <c r="B11" s="1017"/>
      <c r="C11" s="1017"/>
      <c r="D11" s="1020"/>
      <c r="E11" s="1020"/>
      <c r="F11" s="1017"/>
      <c r="G11" s="1020"/>
      <c r="H11" s="483" t="s">
        <v>556</v>
      </c>
      <c r="I11" s="483" t="s">
        <v>556</v>
      </c>
      <c r="J11" s="948"/>
      <c r="K11" s="1026" t="s">
        <v>17</v>
      </c>
      <c r="L11" s="1026" t="s">
        <v>557</v>
      </c>
      <c r="M11" s="1026" t="s">
        <v>558</v>
      </c>
      <c r="N11" s="1025"/>
      <c r="O11" s="1026" t="s">
        <v>17</v>
      </c>
      <c r="P11" s="1026" t="s">
        <v>559</v>
      </c>
      <c r="Q11" s="1024" t="s">
        <v>558</v>
      </c>
      <c r="R11" s="1026" t="s">
        <v>17</v>
      </c>
      <c r="S11" s="1026" t="s">
        <v>559</v>
      </c>
      <c r="T11" s="1024" t="s">
        <v>558</v>
      </c>
      <c r="U11" s="1025" t="s">
        <v>560</v>
      </c>
      <c r="V11" s="1026" t="s">
        <v>559</v>
      </c>
      <c r="W11" s="1024" t="s">
        <v>558</v>
      </c>
    </row>
    <row r="12" spans="1:24" s="481" customFormat="1" ht="12.75">
      <c r="A12" s="1015"/>
      <c r="B12" s="1018"/>
      <c r="C12" s="1018"/>
      <c r="D12" s="1021"/>
      <c r="E12" s="1021"/>
      <c r="F12" s="1018"/>
      <c r="G12" s="1021"/>
      <c r="H12" s="483" t="s">
        <v>555</v>
      </c>
      <c r="I12" s="483" t="s">
        <v>555</v>
      </c>
      <c r="J12" s="948"/>
      <c r="K12" s="1026"/>
      <c r="L12" s="1026"/>
      <c r="M12" s="1026"/>
      <c r="N12" s="1025"/>
      <c r="O12" s="1026"/>
      <c r="P12" s="1026"/>
      <c r="Q12" s="1024"/>
      <c r="R12" s="1026"/>
      <c r="S12" s="1026"/>
      <c r="T12" s="1024"/>
      <c r="U12" s="1025"/>
      <c r="V12" s="1026"/>
      <c r="W12" s="1024"/>
    </row>
    <row r="13" spans="1:24" s="485" customFormat="1" ht="11.25">
      <c r="A13" s="484">
        <v>1</v>
      </c>
      <c r="B13" s="484">
        <v>2</v>
      </c>
      <c r="C13" s="484">
        <v>3</v>
      </c>
      <c r="D13" s="484">
        <v>4</v>
      </c>
      <c r="E13" s="484">
        <v>5</v>
      </c>
      <c r="F13" s="484">
        <v>6</v>
      </c>
      <c r="G13" s="484">
        <v>7</v>
      </c>
      <c r="H13" s="484">
        <v>8</v>
      </c>
      <c r="I13" s="484" t="s">
        <v>561</v>
      </c>
      <c r="J13" s="484" t="s">
        <v>562</v>
      </c>
      <c r="K13" s="484" t="s">
        <v>563</v>
      </c>
      <c r="L13" s="484">
        <v>11</v>
      </c>
      <c r="M13" s="484">
        <v>12</v>
      </c>
      <c r="N13" s="484" t="s">
        <v>564</v>
      </c>
      <c r="O13" s="484" t="s">
        <v>565</v>
      </c>
      <c r="P13" s="484">
        <v>15</v>
      </c>
      <c r="Q13" s="484">
        <v>16</v>
      </c>
      <c r="R13" s="484" t="s">
        <v>566</v>
      </c>
      <c r="S13" s="484">
        <v>18</v>
      </c>
      <c r="T13" s="484">
        <v>19</v>
      </c>
      <c r="U13" s="484" t="s">
        <v>567</v>
      </c>
      <c r="V13" s="484">
        <v>21</v>
      </c>
      <c r="W13" s="484">
        <v>22</v>
      </c>
    </row>
    <row r="14" spans="1:24" s="485" customFormat="1" ht="3.75" customHeight="1">
      <c r="A14" s="1027"/>
      <c r="B14" s="1027"/>
      <c r="C14" s="1027"/>
      <c r="D14" s="1027"/>
      <c r="E14" s="1027"/>
      <c r="F14" s="1027"/>
      <c r="G14" s="1027"/>
      <c r="H14" s="1027"/>
      <c r="I14" s="1027"/>
      <c r="J14" s="1027"/>
      <c r="K14" s="1027"/>
      <c r="L14" s="1027"/>
      <c r="M14" s="1027"/>
      <c r="N14" s="1027"/>
      <c r="O14" s="1027"/>
      <c r="P14" s="1027"/>
      <c r="Q14" s="1027"/>
      <c r="R14" s="1027"/>
      <c r="S14" s="1027"/>
      <c r="T14" s="1027"/>
      <c r="U14" s="1027"/>
      <c r="V14" s="1027"/>
      <c r="W14" s="1027"/>
    </row>
    <row r="15" spans="1:24" s="485" customFormat="1" ht="21.75" customHeight="1">
      <c r="A15" s="1028" t="s">
        <v>568</v>
      </c>
      <c r="B15" s="1028"/>
      <c r="C15" s="1028"/>
      <c r="D15" s="1028"/>
      <c r="E15" s="1028"/>
      <c r="F15" s="1028"/>
      <c r="G15" s="1028"/>
      <c r="H15" s="1028"/>
      <c r="I15" s="1028"/>
      <c r="J15" s="1028"/>
      <c r="K15" s="1028"/>
      <c r="L15" s="1028"/>
      <c r="M15" s="1028"/>
      <c r="N15" s="1028"/>
      <c r="O15" s="1028"/>
      <c r="P15" s="1028"/>
      <c r="Q15" s="1028"/>
      <c r="R15" s="1028"/>
      <c r="S15" s="1028"/>
      <c r="T15" s="1028"/>
      <c r="U15" s="1028"/>
      <c r="V15" s="1028"/>
      <c r="W15" s="1028"/>
      <c r="X15" s="486"/>
    </row>
    <row r="16" spans="1:24" s="485" customFormat="1" ht="3.75" customHeight="1">
      <c r="A16" s="1011"/>
      <c r="B16" s="1011"/>
      <c r="C16" s="1011"/>
      <c r="D16" s="1011"/>
      <c r="E16" s="1011"/>
      <c r="F16" s="1011"/>
      <c r="G16" s="1011"/>
      <c r="H16" s="1011"/>
      <c r="I16" s="1011"/>
      <c r="J16" s="1011"/>
      <c r="K16" s="1011"/>
      <c r="L16" s="1011"/>
      <c r="M16" s="1011"/>
      <c r="N16" s="1011"/>
      <c r="O16" s="1011"/>
      <c r="P16" s="1011"/>
      <c r="Q16" s="1011"/>
      <c r="R16" s="1011"/>
      <c r="S16" s="1011"/>
      <c r="T16" s="1011"/>
      <c r="U16" s="1011"/>
      <c r="V16" s="1011"/>
      <c r="W16" s="1011"/>
      <c r="X16" s="487"/>
    </row>
    <row r="17" spans="1:23" s="489" customFormat="1" ht="16.5" customHeight="1">
      <c r="A17" s="949">
        <v>1</v>
      </c>
      <c r="B17" s="950" t="s">
        <v>569</v>
      </c>
      <c r="C17" s="952" t="s">
        <v>570</v>
      </c>
      <c r="D17" s="1008" t="s">
        <v>571</v>
      </c>
      <c r="E17" s="949" t="s">
        <v>572</v>
      </c>
      <c r="F17" s="949" t="s">
        <v>573</v>
      </c>
      <c r="G17" s="950" t="s">
        <v>574</v>
      </c>
      <c r="H17" s="488">
        <f>H18+H19+H20+H21</f>
        <v>23433538</v>
      </c>
      <c r="I17" s="488">
        <f>I18+I19+I20+I21</f>
        <v>15918303</v>
      </c>
      <c r="J17" s="946">
        <f>K17+N17</f>
        <v>7030270</v>
      </c>
      <c r="K17" s="946">
        <f>L17+M17</f>
        <v>5995561</v>
      </c>
      <c r="L17" s="947">
        <v>5995561</v>
      </c>
      <c r="M17" s="947">
        <v>0</v>
      </c>
      <c r="N17" s="946">
        <f>O17+R17+U17</f>
        <v>1034709</v>
      </c>
      <c r="O17" s="946">
        <f>P17+Q17</f>
        <v>0</v>
      </c>
      <c r="P17" s="947">
        <v>0</v>
      </c>
      <c r="Q17" s="947">
        <v>0</v>
      </c>
      <c r="R17" s="946">
        <f>S17+T17</f>
        <v>396963</v>
      </c>
      <c r="S17" s="947">
        <v>396963</v>
      </c>
      <c r="T17" s="947">
        <v>0</v>
      </c>
      <c r="U17" s="946">
        <f>V17+W17</f>
        <v>637746</v>
      </c>
      <c r="V17" s="947">
        <v>637746</v>
      </c>
      <c r="W17" s="947">
        <v>0</v>
      </c>
    </row>
    <row r="18" spans="1:23" s="489" customFormat="1" ht="16.5" customHeight="1">
      <c r="A18" s="949"/>
      <c r="B18" s="950"/>
      <c r="C18" s="952"/>
      <c r="D18" s="1008"/>
      <c r="E18" s="949"/>
      <c r="F18" s="949"/>
      <c r="G18" s="950"/>
      <c r="H18" s="488">
        <v>19913614</v>
      </c>
      <c r="I18" s="488">
        <v>13592532</v>
      </c>
      <c r="J18" s="946"/>
      <c r="K18" s="946"/>
      <c r="L18" s="947"/>
      <c r="M18" s="947"/>
      <c r="N18" s="946"/>
      <c r="O18" s="946"/>
      <c r="P18" s="947"/>
      <c r="Q18" s="947"/>
      <c r="R18" s="946"/>
      <c r="S18" s="947"/>
      <c r="T18" s="947"/>
      <c r="U18" s="946"/>
      <c r="V18" s="947"/>
      <c r="W18" s="947"/>
    </row>
    <row r="19" spans="1:23" s="489" customFormat="1" ht="16.5" customHeight="1">
      <c r="A19" s="949"/>
      <c r="B19" s="950"/>
      <c r="C19" s="952"/>
      <c r="D19" s="1008"/>
      <c r="E19" s="949"/>
      <c r="F19" s="949"/>
      <c r="G19" s="950"/>
      <c r="H19" s="488">
        <v>0</v>
      </c>
      <c r="I19" s="488">
        <v>0</v>
      </c>
      <c r="J19" s="946"/>
      <c r="K19" s="946"/>
      <c r="L19" s="947"/>
      <c r="M19" s="947"/>
      <c r="N19" s="946"/>
      <c r="O19" s="946"/>
      <c r="P19" s="947"/>
      <c r="Q19" s="947"/>
      <c r="R19" s="946"/>
      <c r="S19" s="947"/>
      <c r="T19" s="947"/>
      <c r="U19" s="946"/>
      <c r="V19" s="947"/>
      <c r="W19" s="947"/>
    </row>
    <row r="20" spans="1:23" s="489" customFormat="1" ht="16.5" customHeight="1">
      <c r="A20" s="949"/>
      <c r="B20" s="950"/>
      <c r="C20" s="952"/>
      <c r="D20" s="1008"/>
      <c r="E20" s="949"/>
      <c r="F20" s="949"/>
      <c r="G20" s="950"/>
      <c r="H20" s="488">
        <v>1953551</v>
      </c>
      <c r="I20" s="488">
        <v>1499144</v>
      </c>
      <c r="J20" s="946"/>
      <c r="K20" s="946"/>
      <c r="L20" s="947"/>
      <c r="M20" s="947"/>
      <c r="N20" s="946"/>
      <c r="O20" s="946"/>
      <c r="P20" s="947"/>
      <c r="Q20" s="947"/>
      <c r="R20" s="946"/>
      <c r="S20" s="947"/>
      <c r="T20" s="947"/>
      <c r="U20" s="946"/>
      <c r="V20" s="947"/>
      <c r="W20" s="947"/>
    </row>
    <row r="21" spans="1:23" s="489" customFormat="1" ht="16.5" customHeight="1">
      <c r="A21" s="949"/>
      <c r="B21" s="950"/>
      <c r="C21" s="952"/>
      <c r="D21" s="1008"/>
      <c r="E21" s="949"/>
      <c r="F21" s="949"/>
      <c r="G21" s="950"/>
      <c r="H21" s="488">
        <v>1566373</v>
      </c>
      <c r="I21" s="488">
        <v>826627</v>
      </c>
      <c r="J21" s="946"/>
      <c r="K21" s="946"/>
      <c r="L21" s="947"/>
      <c r="M21" s="947"/>
      <c r="N21" s="946"/>
      <c r="O21" s="946"/>
      <c r="P21" s="947"/>
      <c r="Q21" s="947"/>
      <c r="R21" s="946"/>
      <c r="S21" s="947"/>
      <c r="T21" s="947"/>
      <c r="U21" s="946"/>
      <c r="V21" s="947"/>
      <c r="W21" s="947"/>
    </row>
    <row r="22" spans="1:23" s="489" customFormat="1" ht="16.5" customHeight="1">
      <c r="A22" s="949">
        <v>2</v>
      </c>
      <c r="B22" s="950" t="s">
        <v>569</v>
      </c>
      <c r="C22" s="952" t="s">
        <v>570</v>
      </c>
      <c r="D22" s="1008" t="s">
        <v>575</v>
      </c>
      <c r="E22" s="949" t="s">
        <v>572</v>
      </c>
      <c r="F22" s="949" t="s">
        <v>573</v>
      </c>
      <c r="G22" s="950" t="s">
        <v>574</v>
      </c>
      <c r="H22" s="488">
        <f>H23+H24+H25+H26</f>
        <v>8544937</v>
      </c>
      <c r="I22" s="488">
        <f>I23+I24+I25+I26</f>
        <v>5751848</v>
      </c>
      <c r="J22" s="946">
        <f>K22+N22</f>
        <v>2715839</v>
      </c>
      <c r="K22" s="946">
        <f>L22+M22</f>
        <v>2313327</v>
      </c>
      <c r="L22" s="947">
        <v>2313327</v>
      </c>
      <c r="M22" s="947">
        <v>0</v>
      </c>
      <c r="N22" s="946">
        <f>O22+R22+U22</f>
        <v>402512</v>
      </c>
      <c r="O22" s="946">
        <f>P22+Q22</f>
        <v>0</v>
      </c>
      <c r="P22" s="947">
        <v>0</v>
      </c>
      <c r="Q22" s="947">
        <v>0</v>
      </c>
      <c r="R22" s="946">
        <f>S22+T22</f>
        <v>141817</v>
      </c>
      <c r="S22" s="947">
        <v>141817</v>
      </c>
      <c r="T22" s="947">
        <v>0</v>
      </c>
      <c r="U22" s="946">
        <f>V22+W22</f>
        <v>260695</v>
      </c>
      <c r="V22" s="947">
        <v>260695</v>
      </c>
      <c r="W22" s="947">
        <v>0</v>
      </c>
    </row>
    <row r="23" spans="1:23" s="489" customFormat="1" ht="16.5" customHeight="1">
      <c r="A23" s="949"/>
      <c r="B23" s="950"/>
      <c r="C23" s="952"/>
      <c r="D23" s="1008"/>
      <c r="E23" s="949"/>
      <c r="F23" s="949"/>
      <c r="G23" s="950"/>
      <c r="H23" s="488">
        <v>7231583</v>
      </c>
      <c r="I23" s="488">
        <v>4852593</v>
      </c>
      <c r="J23" s="946"/>
      <c r="K23" s="946"/>
      <c r="L23" s="947"/>
      <c r="M23" s="947"/>
      <c r="N23" s="946"/>
      <c r="O23" s="946"/>
      <c r="P23" s="947"/>
      <c r="Q23" s="947"/>
      <c r="R23" s="946"/>
      <c r="S23" s="947"/>
      <c r="T23" s="947"/>
      <c r="U23" s="946"/>
      <c r="V23" s="947"/>
      <c r="W23" s="947"/>
    </row>
    <row r="24" spans="1:23" s="489" customFormat="1" ht="16.5" customHeight="1">
      <c r="A24" s="949"/>
      <c r="B24" s="950"/>
      <c r="C24" s="952"/>
      <c r="D24" s="1008"/>
      <c r="E24" s="949"/>
      <c r="F24" s="949"/>
      <c r="G24" s="950"/>
      <c r="H24" s="488">
        <v>0</v>
      </c>
      <c r="I24" s="488">
        <v>0</v>
      </c>
      <c r="J24" s="946"/>
      <c r="K24" s="946"/>
      <c r="L24" s="947"/>
      <c r="M24" s="947"/>
      <c r="N24" s="946"/>
      <c r="O24" s="946"/>
      <c r="P24" s="947"/>
      <c r="Q24" s="947"/>
      <c r="R24" s="946"/>
      <c r="S24" s="947"/>
      <c r="T24" s="947"/>
      <c r="U24" s="946"/>
      <c r="V24" s="947"/>
      <c r="W24" s="947"/>
    </row>
    <row r="25" spans="1:23" s="489" customFormat="1" ht="16.5" customHeight="1">
      <c r="A25" s="949"/>
      <c r="B25" s="950"/>
      <c r="C25" s="952"/>
      <c r="D25" s="1008"/>
      <c r="E25" s="949"/>
      <c r="F25" s="949"/>
      <c r="G25" s="950"/>
      <c r="H25" s="488">
        <v>363602</v>
      </c>
      <c r="I25" s="488">
        <v>210198</v>
      </c>
      <c r="J25" s="946"/>
      <c r="K25" s="946"/>
      <c r="L25" s="947"/>
      <c r="M25" s="947"/>
      <c r="N25" s="946"/>
      <c r="O25" s="946"/>
      <c r="P25" s="947"/>
      <c r="Q25" s="947"/>
      <c r="R25" s="946"/>
      <c r="S25" s="947"/>
      <c r="T25" s="947"/>
      <c r="U25" s="946"/>
      <c r="V25" s="947"/>
      <c r="W25" s="947"/>
    </row>
    <row r="26" spans="1:23" s="489" customFormat="1" ht="16.5" customHeight="1">
      <c r="A26" s="949"/>
      <c r="B26" s="950"/>
      <c r="C26" s="952"/>
      <c r="D26" s="1008"/>
      <c r="E26" s="949"/>
      <c r="F26" s="949"/>
      <c r="G26" s="950"/>
      <c r="H26" s="488">
        <v>949752</v>
      </c>
      <c r="I26" s="488">
        <v>689057</v>
      </c>
      <c r="J26" s="946"/>
      <c r="K26" s="946"/>
      <c r="L26" s="947"/>
      <c r="M26" s="947"/>
      <c r="N26" s="946"/>
      <c r="O26" s="946"/>
      <c r="P26" s="947"/>
      <c r="Q26" s="947"/>
      <c r="R26" s="946"/>
      <c r="S26" s="947"/>
      <c r="T26" s="947"/>
      <c r="U26" s="946"/>
      <c r="V26" s="947"/>
      <c r="W26" s="947"/>
    </row>
    <row r="27" spans="1:23" s="489" customFormat="1" ht="16.5" customHeight="1">
      <c r="A27" s="949">
        <v>3</v>
      </c>
      <c r="B27" s="950" t="s">
        <v>569</v>
      </c>
      <c r="C27" s="952" t="s">
        <v>570</v>
      </c>
      <c r="D27" s="1008" t="s">
        <v>576</v>
      </c>
      <c r="E27" s="949" t="s">
        <v>572</v>
      </c>
      <c r="F27" s="949" t="s">
        <v>573</v>
      </c>
      <c r="G27" s="950" t="s">
        <v>577</v>
      </c>
      <c r="H27" s="488">
        <f>H28+H29+H30+H31</f>
        <v>9743979</v>
      </c>
      <c r="I27" s="488">
        <f>I28+I29+I30+I31</f>
        <v>3117926</v>
      </c>
      <c r="J27" s="946">
        <f>K27+N27</f>
        <v>6626053</v>
      </c>
      <c r="K27" s="946">
        <f>L27+M27</f>
        <v>6200325</v>
      </c>
      <c r="L27" s="947">
        <v>6200325</v>
      </c>
      <c r="M27" s="947">
        <v>0</v>
      </c>
      <c r="N27" s="946">
        <f>O27+R27+U27</f>
        <v>425728</v>
      </c>
      <c r="O27" s="946">
        <f>P27+Q27</f>
        <v>0</v>
      </c>
      <c r="P27" s="947">
        <v>0</v>
      </c>
      <c r="Q27" s="947">
        <v>0</v>
      </c>
      <c r="R27" s="946">
        <f>S27+T27</f>
        <v>425728</v>
      </c>
      <c r="S27" s="947">
        <v>425728</v>
      </c>
      <c r="T27" s="947">
        <v>0</v>
      </c>
      <c r="U27" s="946">
        <f>V27+W27</f>
        <v>0</v>
      </c>
      <c r="V27" s="947">
        <v>0</v>
      </c>
      <c r="W27" s="947">
        <v>0</v>
      </c>
    </row>
    <row r="28" spans="1:23" s="489" customFormat="1" ht="16.5" customHeight="1">
      <c r="A28" s="949"/>
      <c r="B28" s="950"/>
      <c r="C28" s="952"/>
      <c r="D28" s="1008"/>
      <c r="E28" s="949"/>
      <c r="F28" s="949"/>
      <c r="G28" s="950"/>
      <c r="H28" s="488">
        <v>8267301</v>
      </c>
      <c r="I28" s="488">
        <v>2066976</v>
      </c>
      <c r="J28" s="946"/>
      <c r="K28" s="946"/>
      <c r="L28" s="947"/>
      <c r="M28" s="947"/>
      <c r="N28" s="946"/>
      <c r="O28" s="946"/>
      <c r="P28" s="947"/>
      <c r="Q28" s="947"/>
      <c r="R28" s="946"/>
      <c r="S28" s="947"/>
      <c r="T28" s="947"/>
      <c r="U28" s="946"/>
      <c r="V28" s="947"/>
      <c r="W28" s="947"/>
    </row>
    <row r="29" spans="1:23" s="489" customFormat="1" ht="16.5" customHeight="1">
      <c r="A29" s="949"/>
      <c r="B29" s="950"/>
      <c r="C29" s="952"/>
      <c r="D29" s="1008"/>
      <c r="E29" s="949"/>
      <c r="F29" s="949"/>
      <c r="G29" s="950"/>
      <c r="H29" s="488">
        <v>0</v>
      </c>
      <c r="I29" s="488">
        <v>0</v>
      </c>
      <c r="J29" s="946"/>
      <c r="K29" s="946"/>
      <c r="L29" s="947"/>
      <c r="M29" s="947"/>
      <c r="N29" s="946"/>
      <c r="O29" s="946"/>
      <c r="P29" s="947"/>
      <c r="Q29" s="947"/>
      <c r="R29" s="946"/>
      <c r="S29" s="947"/>
      <c r="T29" s="947"/>
      <c r="U29" s="946"/>
      <c r="V29" s="947"/>
      <c r="W29" s="947"/>
    </row>
    <row r="30" spans="1:23" s="489" customFormat="1" ht="16.5" customHeight="1">
      <c r="A30" s="949"/>
      <c r="B30" s="950"/>
      <c r="C30" s="952"/>
      <c r="D30" s="1008"/>
      <c r="E30" s="949"/>
      <c r="F30" s="949"/>
      <c r="G30" s="950"/>
      <c r="H30" s="488">
        <v>1476678</v>
      </c>
      <c r="I30" s="488">
        <v>1050950</v>
      </c>
      <c r="J30" s="946"/>
      <c r="K30" s="946"/>
      <c r="L30" s="947"/>
      <c r="M30" s="947"/>
      <c r="N30" s="946"/>
      <c r="O30" s="946"/>
      <c r="P30" s="947"/>
      <c r="Q30" s="947"/>
      <c r="R30" s="946"/>
      <c r="S30" s="947"/>
      <c r="T30" s="947"/>
      <c r="U30" s="946"/>
      <c r="V30" s="947"/>
      <c r="W30" s="947"/>
    </row>
    <row r="31" spans="1:23" s="489" customFormat="1" ht="16.5" customHeight="1">
      <c r="A31" s="949"/>
      <c r="B31" s="950"/>
      <c r="C31" s="952"/>
      <c r="D31" s="1008"/>
      <c r="E31" s="949"/>
      <c r="F31" s="949"/>
      <c r="G31" s="950"/>
      <c r="H31" s="488">
        <v>0</v>
      </c>
      <c r="I31" s="488">
        <v>0</v>
      </c>
      <c r="J31" s="946"/>
      <c r="K31" s="946"/>
      <c r="L31" s="947"/>
      <c r="M31" s="947"/>
      <c r="N31" s="946"/>
      <c r="O31" s="946"/>
      <c r="P31" s="947"/>
      <c r="Q31" s="947"/>
      <c r="R31" s="946"/>
      <c r="S31" s="947"/>
      <c r="T31" s="947"/>
      <c r="U31" s="946"/>
      <c r="V31" s="947"/>
      <c r="W31" s="947"/>
    </row>
    <row r="32" spans="1:23" s="489" customFormat="1" ht="16.5" customHeight="1">
      <c r="A32" s="949">
        <v>4</v>
      </c>
      <c r="B32" s="950" t="s">
        <v>569</v>
      </c>
      <c r="C32" s="952" t="s">
        <v>570</v>
      </c>
      <c r="D32" s="1008" t="s">
        <v>578</v>
      </c>
      <c r="E32" s="949" t="s">
        <v>572</v>
      </c>
      <c r="F32" s="949" t="s">
        <v>579</v>
      </c>
      <c r="G32" s="950" t="s">
        <v>580</v>
      </c>
      <c r="H32" s="488">
        <f>H33+H34+H35+H36</f>
        <v>18109093</v>
      </c>
      <c r="I32" s="488">
        <f>I33+I34+I35+I36</f>
        <v>2073301</v>
      </c>
      <c r="J32" s="946">
        <f>K32+N32</f>
        <v>10382416</v>
      </c>
      <c r="K32" s="946">
        <f>L32+M32</f>
        <v>8575527</v>
      </c>
      <c r="L32" s="947">
        <v>7828527</v>
      </c>
      <c r="M32" s="947">
        <v>747000</v>
      </c>
      <c r="N32" s="946">
        <f>O32+R32+U32</f>
        <v>1806889</v>
      </c>
      <c r="O32" s="946">
        <f>P32+Q32</f>
        <v>952836</v>
      </c>
      <c r="P32" s="947">
        <v>869836</v>
      </c>
      <c r="Q32" s="947">
        <v>83000</v>
      </c>
      <c r="R32" s="946">
        <f>S32+T32</f>
        <v>854053</v>
      </c>
      <c r="S32" s="947">
        <v>0</v>
      </c>
      <c r="T32" s="947">
        <v>854053</v>
      </c>
      <c r="U32" s="946">
        <f>V32+W32</f>
        <v>0</v>
      </c>
      <c r="V32" s="947">
        <v>0</v>
      </c>
      <c r="W32" s="947">
        <v>0</v>
      </c>
    </row>
    <row r="33" spans="1:23" s="489" customFormat="1" ht="16.5" customHeight="1">
      <c r="A33" s="949"/>
      <c r="B33" s="950"/>
      <c r="C33" s="952"/>
      <c r="D33" s="1008"/>
      <c r="E33" s="949"/>
      <c r="F33" s="949"/>
      <c r="G33" s="950"/>
      <c r="H33" s="488">
        <v>15529536</v>
      </c>
      <c r="I33" s="488">
        <v>1865971</v>
      </c>
      <c r="J33" s="946"/>
      <c r="K33" s="946"/>
      <c r="L33" s="947"/>
      <c r="M33" s="947"/>
      <c r="N33" s="946"/>
      <c r="O33" s="946"/>
      <c r="P33" s="947"/>
      <c r="Q33" s="947"/>
      <c r="R33" s="946"/>
      <c r="S33" s="947"/>
      <c r="T33" s="947"/>
      <c r="U33" s="946"/>
      <c r="V33" s="947"/>
      <c r="W33" s="947"/>
    </row>
    <row r="34" spans="1:23" s="489" customFormat="1" ht="16.5" customHeight="1">
      <c r="A34" s="949"/>
      <c r="B34" s="950"/>
      <c r="C34" s="952"/>
      <c r="D34" s="1008"/>
      <c r="E34" s="949"/>
      <c r="F34" s="949"/>
      <c r="G34" s="950"/>
      <c r="H34" s="488">
        <v>1725504</v>
      </c>
      <c r="I34" s="488">
        <v>207330</v>
      </c>
      <c r="J34" s="946"/>
      <c r="K34" s="946"/>
      <c r="L34" s="947"/>
      <c r="M34" s="947"/>
      <c r="N34" s="946"/>
      <c r="O34" s="946"/>
      <c r="P34" s="947"/>
      <c r="Q34" s="947"/>
      <c r="R34" s="946"/>
      <c r="S34" s="947"/>
      <c r="T34" s="947"/>
      <c r="U34" s="946"/>
      <c r="V34" s="947"/>
      <c r="W34" s="947"/>
    </row>
    <row r="35" spans="1:23" s="489" customFormat="1" ht="16.5" customHeight="1">
      <c r="A35" s="949"/>
      <c r="B35" s="950"/>
      <c r="C35" s="952"/>
      <c r="D35" s="1008"/>
      <c r="E35" s="949"/>
      <c r="F35" s="949"/>
      <c r="G35" s="950"/>
      <c r="H35" s="488">
        <v>854053</v>
      </c>
      <c r="I35" s="488">
        <v>0</v>
      </c>
      <c r="J35" s="946"/>
      <c r="K35" s="946"/>
      <c r="L35" s="947"/>
      <c r="M35" s="947"/>
      <c r="N35" s="946"/>
      <c r="O35" s="946"/>
      <c r="P35" s="947"/>
      <c r="Q35" s="947"/>
      <c r="R35" s="946"/>
      <c r="S35" s="947"/>
      <c r="T35" s="947"/>
      <c r="U35" s="946"/>
      <c r="V35" s="947"/>
      <c r="W35" s="947"/>
    </row>
    <row r="36" spans="1:23" s="489" customFormat="1" ht="16.5" customHeight="1">
      <c r="A36" s="949"/>
      <c r="B36" s="950"/>
      <c r="C36" s="952"/>
      <c r="D36" s="1008"/>
      <c r="E36" s="949"/>
      <c r="F36" s="949"/>
      <c r="G36" s="950"/>
      <c r="H36" s="488">
        <v>0</v>
      </c>
      <c r="I36" s="488">
        <v>0</v>
      </c>
      <c r="J36" s="946"/>
      <c r="K36" s="946"/>
      <c r="L36" s="947"/>
      <c r="M36" s="947"/>
      <c r="N36" s="946"/>
      <c r="O36" s="946"/>
      <c r="P36" s="947"/>
      <c r="Q36" s="947"/>
      <c r="R36" s="946"/>
      <c r="S36" s="947"/>
      <c r="T36" s="947"/>
      <c r="U36" s="946"/>
      <c r="V36" s="947"/>
      <c r="W36" s="947"/>
    </row>
    <row r="37" spans="1:23" s="489" customFormat="1" ht="16.5" customHeight="1">
      <c r="A37" s="949">
        <v>5</v>
      </c>
      <c r="B37" s="950" t="s">
        <v>569</v>
      </c>
      <c r="C37" s="952" t="s">
        <v>570</v>
      </c>
      <c r="D37" s="1008" t="s">
        <v>581</v>
      </c>
      <c r="E37" s="949" t="s">
        <v>572</v>
      </c>
      <c r="F37" s="949" t="s">
        <v>573</v>
      </c>
      <c r="G37" s="950" t="s">
        <v>582</v>
      </c>
      <c r="H37" s="488">
        <f>H38+H39+H40+H41</f>
        <v>21700000</v>
      </c>
      <c r="I37" s="488">
        <f>I38+I39+I40+I41</f>
        <v>7233331</v>
      </c>
      <c r="J37" s="946">
        <f>K37+N37</f>
        <v>9136668</v>
      </c>
      <c r="K37" s="946">
        <f>L37+M37</f>
        <v>7766168</v>
      </c>
      <c r="L37" s="947">
        <v>7766168</v>
      </c>
      <c r="M37" s="947">
        <v>0</v>
      </c>
      <c r="N37" s="946">
        <f>O37+R37+U37</f>
        <v>1370500</v>
      </c>
      <c r="O37" s="946">
        <f>P37+Q37</f>
        <v>913667</v>
      </c>
      <c r="P37" s="947">
        <v>913667</v>
      </c>
      <c r="Q37" s="947">
        <v>0</v>
      </c>
      <c r="R37" s="946">
        <f>S37+T37</f>
        <v>456833</v>
      </c>
      <c r="S37" s="947">
        <v>456833</v>
      </c>
      <c r="T37" s="947">
        <v>0</v>
      </c>
      <c r="U37" s="946">
        <f>V37+W37</f>
        <v>0</v>
      </c>
      <c r="V37" s="947">
        <v>0</v>
      </c>
      <c r="W37" s="947">
        <v>0</v>
      </c>
    </row>
    <row r="38" spans="1:23" s="489" customFormat="1" ht="16.5" customHeight="1">
      <c r="A38" s="949"/>
      <c r="B38" s="950"/>
      <c r="C38" s="952"/>
      <c r="D38" s="1008"/>
      <c r="E38" s="949"/>
      <c r="F38" s="949"/>
      <c r="G38" s="950"/>
      <c r="H38" s="488">
        <v>18445000</v>
      </c>
      <c r="I38" s="488">
        <v>6148332</v>
      </c>
      <c r="J38" s="946"/>
      <c r="K38" s="946"/>
      <c r="L38" s="947"/>
      <c r="M38" s="947"/>
      <c r="N38" s="946"/>
      <c r="O38" s="946"/>
      <c r="P38" s="947"/>
      <c r="Q38" s="947"/>
      <c r="R38" s="946"/>
      <c r="S38" s="947"/>
      <c r="T38" s="947"/>
      <c r="U38" s="946"/>
      <c r="V38" s="947"/>
      <c r="W38" s="947"/>
    </row>
    <row r="39" spans="1:23" s="489" customFormat="1" ht="16.5" customHeight="1">
      <c r="A39" s="949"/>
      <c r="B39" s="950"/>
      <c r="C39" s="952"/>
      <c r="D39" s="1008"/>
      <c r="E39" s="949"/>
      <c r="F39" s="949"/>
      <c r="G39" s="950"/>
      <c r="H39" s="488">
        <v>2170000</v>
      </c>
      <c r="I39" s="488">
        <v>723333</v>
      </c>
      <c r="J39" s="946"/>
      <c r="K39" s="946"/>
      <c r="L39" s="947"/>
      <c r="M39" s="947"/>
      <c r="N39" s="946"/>
      <c r="O39" s="946"/>
      <c r="P39" s="947"/>
      <c r="Q39" s="947"/>
      <c r="R39" s="946"/>
      <c r="S39" s="947"/>
      <c r="T39" s="947"/>
      <c r="U39" s="946"/>
      <c r="V39" s="947"/>
      <c r="W39" s="947"/>
    </row>
    <row r="40" spans="1:23" s="489" customFormat="1" ht="16.5" customHeight="1">
      <c r="A40" s="949"/>
      <c r="B40" s="950"/>
      <c r="C40" s="952"/>
      <c r="D40" s="1008"/>
      <c r="E40" s="949"/>
      <c r="F40" s="949"/>
      <c r="G40" s="950"/>
      <c r="H40" s="488">
        <v>1085000</v>
      </c>
      <c r="I40" s="488">
        <v>361666</v>
      </c>
      <c r="J40" s="946"/>
      <c r="K40" s="946"/>
      <c r="L40" s="947"/>
      <c r="M40" s="947"/>
      <c r="N40" s="946"/>
      <c r="O40" s="946"/>
      <c r="P40" s="947"/>
      <c r="Q40" s="947"/>
      <c r="R40" s="946"/>
      <c r="S40" s="947"/>
      <c r="T40" s="947"/>
      <c r="U40" s="946"/>
      <c r="V40" s="947"/>
      <c r="W40" s="947"/>
    </row>
    <row r="41" spans="1:23" s="489" customFormat="1" ht="16.5" customHeight="1">
      <c r="A41" s="949"/>
      <c r="B41" s="950"/>
      <c r="C41" s="952"/>
      <c r="D41" s="1008"/>
      <c r="E41" s="949"/>
      <c r="F41" s="949"/>
      <c r="G41" s="950"/>
      <c r="H41" s="488">
        <v>0</v>
      </c>
      <c r="I41" s="488">
        <v>0</v>
      </c>
      <c r="J41" s="946"/>
      <c r="K41" s="946"/>
      <c r="L41" s="947"/>
      <c r="M41" s="947"/>
      <c r="N41" s="946"/>
      <c r="O41" s="946"/>
      <c r="P41" s="947"/>
      <c r="Q41" s="947"/>
      <c r="R41" s="946"/>
      <c r="S41" s="947"/>
      <c r="T41" s="947"/>
      <c r="U41" s="946"/>
      <c r="V41" s="947"/>
      <c r="W41" s="947"/>
    </row>
    <row r="42" spans="1:23" s="489" customFormat="1" ht="16.5" customHeight="1">
      <c r="A42" s="949">
        <v>6</v>
      </c>
      <c r="B42" s="963" t="s">
        <v>477</v>
      </c>
      <c r="C42" s="980" t="s">
        <v>583</v>
      </c>
      <c r="D42" s="993" t="s">
        <v>584</v>
      </c>
      <c r="E42" s="949" t="s">
        <v>572</v>
      </c>
      <c r="F42" s="960" t="s">
        <v>585</v>
      </c>
      <c r="G42" s="963" t="s">
        <v>574</v>
      </c>
      <c r="H42" s="488">
        <f>H43+H44+H45+H46</f>
        <v>116696089</v>
      </c>
      <c r="I42" s="488">
        <f>I43+I44+I45+I46</f>
        <v>89107089</v>
      </c>
      <c r="J42" s="954">
        <f>K42+N42</f>
        <v>17102329</v>
      </c>
      <c r="K42" s="954">
        <f>L42+M42</f>
        <v>16308833</v>
      </c>
      <c r="L42" s="957">
        <v>1385468</v>
      </c>
      <c r="M42" s="957">
        <v>14923365</v>
      </c>
      <c r="N42" s="954">
        <f>O42+R42+U42</f>
        <v>793496</v>
      </c>
      <c r="O42" s="954">
        <f>P42+Q42</f>
        <v>0</v>
      </c>
      <c r="P42" s="957">
        <v>0</v>
      </c>
      <c r="Q42" s="957">
        <v>0</v>
      </c>
      <c r="R42" s="954">
        <f>S42+T42</f>
        <v>732506</v>
      </c>
      <c r="S42" s="957">
        <v>183506</v>
      </c>
      <c r="T42" s="957">
        <v>549000</v>
      </c>
      <c r="U42" s="954">
        <f>V42+W42</f>
        <v>60990</v>
      </c>
      <c r="V42" s="957">
        <v>60990</v>
      </c>
      <c r="W42" s="957">
        <v>0</v>
      </c>
    </row>
    <row r="43" spans="1:23" s="489" customFormat="1" ht="16.5" customHeight="1">
      <c r="A43" s="949"/>
      <c r="B43" s="964"/>
      <c r="C43" s="970"/>
      <c r="D43" s="994"/>
      <c r="E43" s="949"/>
      <c r="F43" s="961"/>
      <c r="G43" s="964"/>
      <c r="H43" s="488">
        <v>112106827</v>
      </c>
      <c r="I43" s="488">
        <v>86444401</v>
      </c>
      <c r="J43" s="955"/>
      <c r="K43" s="955"/>
      <c r="L43" s="958"/>
      <c r="M43" s="958"/>
      <c r="N43" s="955"/>
      <c r="O43" s="955"/>
      <c r="P43" s="958"/>
      <c r="Q43" s="958"/>
      <c r="R43" s="955"/>
      <c r="S43" s="958"/>
      <c r="T43" s="958"/>
      <c r="U43" s="955"/>
      <c r="V43" s="958"/>
      <c r="W43" s="958"/>
    </row>
    <row r="44" spans="1:23" s="489" customFormat="1" ht="16.5" customHeight="1">
      <c r="A44" s="949"/>
      <c r="B44" s="964"/>
      <c r="C44" s="970"/>
      <c r="D44" s="994"/>
      <c r="E44" s="949"/>
      <c r="F44" s="961"/>
      <c r="G44" s="964"/>
      <c r="H44" s="488">
        <v>0</v>
      </c>
      <c r="I44" s="488">
        <v>0</v>
      </c>
      <c r="J44" s="955"/>
      <c r="K44" s="955"/>
      <c r="L44" s="958"/>
      <c r="M44" s="958"/>
      <c r="N44" s="955"/>
      <c r="O44" s="955"/>
      <c r="P44" s="958"/>
      <c r="Q44" s="958"/>
      <c r="R44" s="955"/>
      <c r="S44" s="958"/>
      <c r="T44" s="958"/>
      <c r="U44" s="955"/>
      <c r="V44" s="958"/>
      <c r="W44" s="958"/>
    </row>
    <row r="45" spans="1:23" s="489" customFormat="1" ht="16.5" customHeight="1">
      <c r="A45" s="949"/>
      <c r="B45" s="964"/>
      <c r="C45" s="970"/>
      <c r="D45" s="994"/>
      <c r="E45" s="949"/>
      <c r="F45" s="961"/>
      <c r="G45" s="964"/>
      <c r="H45" s="488">
        <v>4304827</v>
      </c>
      <c r="I45" s="488">
        <v>2563303</v>
      </c>
      <c r="J45" s="955"/>
      <c r="K45" s="955"/>
      <c r="L45" s="958"/>
      <c r="M45" s="958"/>
      <c r="N45" s="955"/>
      <c r="O45" s="955"/>
      <c r="P45" s="958"/>
      <c r="Q45" s="958"/>
      <c r="R45" s="955"/>
      <c r="S45" s="958"/>
      <c r="T45" s="958"/>
      <c r="U45" s="955"/>
      <c r="V45" s="958"/>
      <c r="W45" s="958"/>
    </row>
    <row r="46" spans="1:23" s="489" customFormat="1" ht="16.5" customHeight="1">
      <c r="A46" s="949"/>
      <c r="B46" s="965"/>
      <c r="C46" s="971"/>
      <c r="D46" s="995"/>
      <c r="E46" s="949"/>
      <c r="F46" s="962"/>
      <c r="G46" s="965"/>
      <c r="H46" s="488">
        <v>284435</v>
      </c>
      <c r="I46" s="488">
        <v>99385</v>
      </c>
      <c r="J46" s="956"/>
      <c r="K46" s="956"/>
      <c r="L46" s="959"/>
      <c r="M46" s="959"/>
      <c r="N46" s="956"/>
      <c r="O46" s="956"/>
      <c r="P46" s="959"/>
      <c r="Q46" s="959"/>
      <c r="R46" s="956"/>
      <c r="S46" s="959"/>
      <c r="T46" s="959"/>
      <c r="U46" s="956"/>
      <c r="V46" s="959"/>
      <c r="W46" s="959"/>
    </row>
    <row r="47" spans="1:23" s="489" customFormat="1" ht="16.5" customHeight="1">
      <c r="A47" s="949">
        <v>7</v>
      </c>
      <c r="B47" s="963" t="s">
        <v>477</v>
      </c>
      <c r="C47" s="980" t="s">
        <v>586</v>
      </c>
      <c r="D47" s="993" t="s">
        <v>587</v>
      </c>
      <c r="E47" s="949" t="s">
        <v>572</v>
      </c>
      <c r="F47" s="960" t="s">
        <v>585</v>
      </c>
      <c r="G47" s="963" t="s">
        <v>574</v>
      </c>
      <c r="H47" s="488">
        <f>H48+H49+H50+H51</f>
        <v>92890620</v>
      </c>
      <c r="I47" s="488">
        <f>I48+I49+I50+I51</f>
        <v>41147876</v>
      </c>
      <c r="J47" s="954">
        <f>K47+N47</f>
        <v>32294726</v>
      </c>
      <c r="K47" s="954">
        <f>L47+M47</f>
        <v>28980517</v>
      </c>
      <c r="L47" s="957">
        <v>2031500</v>
      </c>
      <c r="M47" s="957">
        <v>26949017</v>
      </c>
      <c r="N47" s="954">
        <f>O47+R47+U47</f>
        <v>3314209</v>
      </c>
      <c r="O47" s="954">
        <f>P47+Q47</f>
        <v>0</v>
      </c>
      <c r="P47" s="957">
        <v>0</v>
      </c>
      <c r="Q47" s="957">
        <v>0</v>
      </c>
      <c r="R47" s="954">
        <f>S47+T47</f>
        <v>3314209</v>
      </c>
      <c r="S47" s="957">
        <v>358500</v>
      </c>
      <c r="T47" s="957">
        <v>2955709</v>
      </c>
      <c r="U47" s="954">
        <f>V47+W47</f>
        <v>0</v>
      </c>
      <c r="V47" s="957">
        <v>0</v>
      </c>
      <c r="W47" s="957">
        <v>0</v>
      </c>
    </row>
    <row r="48" spans="1:23" s="489" customFormat="1" ht="16.5" customHeight="1">
      <c r="A48" s="949"/>
      <c r="B48" s="964"/>
      <c r="C48" s="970"/>
      <c r="D48" s="994"/>
      <c r="E48" s="949"/>
      <c r="F48" s="961"/>
      <c r="G48" s="964"/>
      <c r="H48" s="488">
        <v>87550124</v>
      </c>
      <c r="I48" s="488">
        <v>40487579</v>
      </c>
      <c r="J48" s="955"/>
      <c r="K48" s="955"/>
      <c r="L48" s="958"/>
      <c r="M48" s="958"/>
      <c r="N48" s="955"/>
      <c r="O48" s="955"/>
      <c r="P48" s="958"/>
      <c r="Q48" s="958"/>
      <c r="R48" s="955"/>
      <c r="S48" s="958"/>
      <c r="T48" s="958"/>
      <c r="U48" s="955"/>
      <c r="V48" s="958"/>
      <c r="W48" s="958"/>
    </row>
    <row r="49" spans="1:23" s="489" customFormat="1" ht="16.5" customHeight="1">
      <c r="A49" s="949"/>
      <c r="B49" s="964"/>
      <c r="C49" s="970"/>
      <c r="D49" s="994"/>
      <c r="E49" s="949"/>
      <c r="F49" s="961"/>
      <c r="G49" s="964"/>
      <c r="H49" s="488">
        <v>0</v>
      </c>
      <c r="I49" s="488">
        <v>0</v>
      </c>
      <c r="J49" s="955"/>
      <c r="K49" s="955"/>
      <c r="L49" s="958"/>
      <c r="M49" s="958"/>
      <c r="N49" s="955"/>
      <c r="O49" s="955"/>
      <c r="P49" s="958"/>
      <c r="Q49" s="958"/>
      <c r="R49" s="955"/>
      <c r="S49" s="958"/>
      <c r="T49" s="958"/>
      <c r="U49" s="955"/>
      <c r="V49" s="958"/>
      <c r="W49" s="958"/>
    </row>
    <row r="50" spans="1:23" s="489" customFormat="1" ht="16.5" customHeight="1">
      <c r="A50" s="949"/>
      <c r="B50" s="964"/>
      <c r="C50" s="970"/>
      <c r="D50" s="994"/>
      <c r="E50" s="949"/>
      <c r="F50" s="961"/>
      <c r="G50" s="964"/>
      <c r="H50" s="488">
        <v>5340496</v>
      </c>
      <c r="I50" s="488">
        <v>660297</v>
      </c>
      <c r="J50" s="955"/>
      <c r="K50" s="955"/>
      <c r="L50" s="958"/>
      <c r="M50" s="958"/>
      <c r="N50" s="955"/>
      <c r="O50" s="955"/>
      <c r="P50" s="958"/>
      <c r="Q50" s="958"/>
      <c r="R50" s="955"/>
      <c r="S50" s="958"/>
      <c r="T50" s="958"/>
      <c r="U50" s="955"/>
      <c r="V50" s="958"/>
      <c r="W50" s="958"/>
    </row>
    <row r="51" spans="1:23" s="489" customFormat="1" ht="16.5" customHeight="1">
      <c r="A51" s="949"/>
      <c r="B51" s="965"/>
      <c r="C51" s="971"/>
      <c r="D51" s="995"/>
      <c r="E51" s="949"/>
      <c r="F51" s="962"/>
      <c r="G51" s="965"/>
      <c r="H51" s="488">
        <v>0</v>
      </c>
      <c r="I51" s="488">
        <v>0</v>
      </c>
      <c r="J51" s="956"/>
      <c r="K51" s="956"/>
      <c r="L51" s="959"/>
      <c r="M51" s="959"/>
      <c r="N51" s="956"/>
      <c r="O51" s="956"/>
      <c r="P51" s="959"/>
      <c r="Q51" s="959"/>
      <c r="R51" s="956"/>
      <c r="S51" s="959"/>
      <c r="T51" s="959"/>
      <c r="U51" s="956"/>
      <c r="V51" s="959"/>
      <c r="W51" s="959"/>
    </row>
    <row r="52" spans="1:23" s="489" customFormat="1" ht="16.5" customHeight="1">
      <c r="A52" s="949">
        <v>8</v>
      </c>
      <c r="B52" s="963" t="s">
        <v>477</v>
      </c>
      <c r="C52" s="980" t="s">
        <v>586</v>
      </c>
      <c r="D52" s="993" t="s">
        <v>588</v>
      </c>
      <c r="E52" s="949" t="s">
        <v>572</v>
      </c>
      <c r="F52" s="960" t="s">
        <v>585</v>
      </c>
      <c r="G52" s="963" t="s">
        <v>577</v>
      </c>
      <c r="H52" s="488">
        <f>H53+H54+H55+H56</f>
        <v>21659383</v>
      </c>
      <c r="I52" s="488">
        <f>I53+I54+I55+I56</f>
        <v>6850559</v>
      </c>
      <c r="J52" s="954">
        <f>K52+N52</f>
        <v>14808824</v>
      </c>
      <c r="K52" s="954">
        <f>L52+M52</f>
        <v>14686652</v>
      </c>
      <c r="L52" s="957">
        <v>692306</v>
      </c>
      <c r="M52" s="957">
        <v>13994346</v>
      </c>
      <c r="N52" s="954">
        <f>O52+R52+U52</f>
        <v>122172</v>
      </c>
      <c r="O52" s="954">
        <f>P52+Q52</f>
        <v>0</v>
      </c>
      <c r="P52" s="957">
        <v>0</v>
      </c>
      <c r="Q52" s="957">
        <v>0</v>
      </c>
      <c r="R52" s="954">
        <f>S52+T52</f>
        <v>122172</v>
      </c>
      <c r="S52" s="957">
        <v>122172</v>
      </c>
      <c r="T52" s="957">
        <v>0</v>
      </c>
      <c r="U52" s="954">
        <f>V52+W52</f>
        <v>0</v>
      </c>
      <c r="V52" s="957">
        <v>0</v>
      </c>
      <c r="W52" s="957">
        <v>0</v>
      </c>
    </row>
    <row r="53" spans="1:23" s="489" customFormat="1" ht="16.5" customHeight="1">
      <c r="A53" s="949"/>
      <c r="B53" s="964"/>
      <c r="C53" s="970"/>
      <c r="D53" s="994"/>
      <c r="E53" s="949"/>
      <c r="F53" s="961"/>
      <c r="G53" s="964"/>
      <c r="H53" s="488">
        <v>21457993</v>
      </c>
      <c r="I53" s="488">
        <v>6771341</v>
      </c>
      <c r="J53" s="955"/>
      <c r="K53" s="955"/>
      <c r="L53" s="958"/>
      <c r="M53" s="958"/>
      <c r="N53" s="955"/>
      <c r="O53" s="955"/>
      <c r="P53" s="958"/>
      <c r="Q53" s="958"/>
      <c r="R53" s="955"/>
      <c r="S53" s="958"/>
      <c r="T53" s="958"/>
      <c r="U53" s="955"/>
      <c r="V53" s="958"/>
      <c r="W53" s="958"/>
    </row>
    <row r="54" spans="1:23" s="489" customFormat="1" ht="16.5" customHeight="1">
      <c r="A54" s="949"/>
      <c r="B54" s="964"/>
      <c r="C54" s="970"/>
      <c r="D54" s="994"/>
      <c r="E54" s="949"/>
      <c r="F54" s="961"/>
      <c r="G54" s="964"/>
      <c r="H54" s="488">
        <v>0</v>
      </c>
      <c r="I54" s="488">
        <v>0</v>
      </c>
      <c r="J54" s="955"/>
      <c r="K54" s="955"/>
      <c r="L54" s="958"/>
      <c r="M54" s="958"/>
      <c r="N54" s="955"/>
      <c r="O54" s="955"/>
      <c r="P54" s="958"/>
      <c r="Q54" s="958"/>
      <c r="R54" s="955"/>
      <c r="S54" s="958"/>
      <c r="T54" s="958"/>
      <c r="U54" s="955"/>
      <c r="V54" s="958"/>
      <c r="W54" s="958"/>
    </row>
    <row r="55" spans="1:23" s="489" customFormat="1" ht="16.5" customHeight="1">
      <c r="A55" s="949"/>
      <c r="B55" s="964"/>
      <c r="C55" s="970"/>
      <c r="D55" s="994"/>
      <c r="E55" s="949"/>
      <c r="F55" s="961"/>
      <c r="G55" s="964"/>
      <c r="H55" s="488">
        <v>201390</v>
      </c>
      <c r="I55" s="488">
        <v>79218</v>
      </c>
      <c r="J55" s="955"/>
      <c r="K55" s="955"/>
      <c r="L55" s="958"/>
      <c r="M55" s="958"/>
      <c r="N55" s="955"/>
      <c r="O55" s="955"/>
      <c r="P55" s="958"/>
      <c r="Q55" s="958"/>
      <c r="R55" s="955"/>
      <c r="S55" s="958"/>
      <c r="T55" s="958"/>
      <c r="U55" s="955"/>
      <c r="V55" s="958"/>
      <c r="W55" s="958"/>
    </row>
    <row r="56" spans="1:23" s="489" customFormat="1" ht="16.5" customHeight="1">
      <c r="A56" s="949"/>
      <c r="B56" s="965"/>
      <c r="C56" s="971"/>
      <c r="D56" s="995"/>
      <c r="E56" s="949"/>
      <c r="F56" s="962"/>
      <c r="G56" s="965"/>
      <c r="H56" s="488">
        <v>0</v>
      </c>
      <c r="I56" s="488">
        <v>0</v>
      </c>
      <c r="J56" s="956"/>
      <c r="K56" s="956"/>
      <c r="L56" s="959"/>
      <c r="M56" s="959"/>
      <c r="N56" s="956"/>
      <c r="O56" s="956"/>
      <c r="P56" s="959"/>
      <c r="Q56" s="959"/>
      <c r="R56" s="956"/>
      <c r="S56" s="959"/>
      <c r="T56" s="959"/>
      <c r="U56" s="956"/>
      <c r="V56" s="959"/>
      <c r="W56" s="959"/>
    </row>
    <row r="57" spans="1:23" s="489" customFormat="1" ht="16.5" customHeight="1">
      <c r="A57" s="949">
        <v>9</v>
      </c>
      <c r="B57" s="963" t="s">
        <v>589</v>
      </c>
      <c r="C57" s="969" t="s">
        <v>590</v>
      </c>
      <c r="D57" s="993" t="s">
        <v>591</v>
      </c>
      <c r="E57" s="949" t="s">
        <v>572</v>
      </c>
      <c r="F57" s="960" t="s">
        <v>585</v>
      </c>
      <c r="G57" s="963" t="s">
        <v>574</v>
      </c>
      <c r="H57" s="488">
        <f>H58+H59+H60+H61</f>
        <v>22825770</v>
      </c>
      <c r="I57" s="488">
        <f>I58+I59+I60+I61</f>
        <v>16091451</v>
      </c>
      <c r="J57" s="954">
        <f>K57+N57</f>
        <v>5694816</v>
      </c>
      <c r="K57" s="954">
        <f>L57+M57</f>
        <v>5524008</v>
      </c>
      <c r="L57" s="957">
        <v>209695</v>
      </c>
      <c r="M57" s="957">
        <v>5314313</v>
      </c>
      <c r="N57" s="954">
        <f>O57+R57+U57</f>
        <v>170808</v>
      </c>
      <c r="O57" s="954">
        <f>P57+Q57</f>
        <v>0</v>
      </c>
      <c r="P57" s="957">
        <v>0</v>
      </c>
      <c r="Q57" s="957">
        <v>0</v>
      </c>
      <c r="R57" s="954">
        <f>S57+T57</f>
        <v>133308</v>
      </c>
      <c r="S57" s="957">
        <v>36255</v>
      </c>
      <c r="T57" s="957">
        <v>97053</v>
      </c>
      <c r="U57" s="954">
        <f>V57+W57</f>
        <v>37500</v>
      </c>
      <c r="V57" s="957">
        <v>0</v>
      </c>
      <c r="W57" s="957">
        <v>37500</v>
      </c>
    </row>
    <row r="58" spans="1:23" s="489" customFormat="1" ht="16.5" customHeight="1">
      <c r="A58" s="949"/>
      <c r="B58" s="964"/>
      <c r="C58" s="970"/>
      <c r="D58" s="994"/>
      <c r="E58" s="949"/>
      <c r="F58" s="961"/>
      <c r="G58" s="964"/>
      <c r="H58" s="488">
        <v>21574001</v>
      </c>
      <c r="I58" s="488">
        <v>15167051</v>
      </c>
      <c r="J58" s="955"/>
      <c r="K58" s="955"/>
      <c r="L58" s="958"/>
      <c r="M58" s="958"/>
      <c r="N58" s="955"/>
      <c r="O58" s="955"/>
      <c r="P58" s="958"/>
      <c r="Q58" s="958"/>
      <c r="R58" s="955"/>
      <c r="S58" s="958"/>
      <c r="T58" s="958"/>
      <c r="U58" s="955"/>
      <c r="V58" s="958"/>
      <c r="W58" s="958"/>
    </row>
    <row r="59" spans="1:23" s="489" customFormat="1" ht="16.5" customHeight="1">
      <c r="A59" s="949"/>
      <c r="B59" s="964"/>
      <c r="C59" s="970"/>
      <c r="D59" s="994"/>
      <c r="E59" s="949"/>
      <c r="F59" s="961"/>
      <c r="G59" s="964"/>
      <c r="H59" s="488">
        <v>0</v>
      </c>
      <c r="I59" s="488">
        <v>0</v>
      </c>
      <c r="J59" s="955"/>
      <c r="K59" s="955"/>
      <c r="L59" s="958"/>
      <c r="M59" s="958"/>
      <c r="N59" s="955"/>
      <c r="O59" s="955"/>
      <c r="P59" s="958"/>
      <c r="Q59" s="958"/>
      <c r="R59" s="955"/>
      <c r="S59" s="958"/>
      <c r="T59" s="958"/>
      <c r="U59" s="955"/>
      <c r="V59" s="958"/>
      <c r="W59" s="958"/>
    </row>
    <row r="60" spans="1:23" s="489" customFormat="1" ht="16.5" customHeight="1">
      <c r="A60" s="949"/>
      <c r="B60" s="964"/>
      <c r="C60" s="970"/>
      <c r="D60" s="994"/>
      <c r="E60" s="949"/>
      <c r="F60" s="961"/>
      <c r="G60" s="964"/>
      <c r="H60" s="488">
        <v>1178524</v>
      </c>
      <c r="I60" s="488">
        <v>888655</v>
      </c>
      <c r="J60" s="955"/>
      <c r="K60" s="955"/>
      <c r="L60" s="958"/>
      <c r="M60" s="958"/>
      <c r="N60" s="955"/>
      <c r="O60" s="955"/>
      <c r="P60" s="958"/>
      <c r="Q60" s="958"/>
      <c r="R60" s="955"/>
      <c r="S60" s="958"/>
      <c r="T60" s="958"/>
      <c r="U60" s="955"/>
      <c r="V60" s="958"/>
      <c r="W60" s="958"/>
    </row>
    <row r="61" spans="1:23" s="489" customFormat="1" ht="16.5" customHeight="1">
      <c r="A61" s="949"/>
      <c r="B61" s="965"/>
      <c r="C61" s="971"/>
      <c r="D61" s="995"/>
      <c r="E61" s="949"/>
      <c r="F61" s="962"/>
      <c r="G61" s="965"/>
      <c r="H61" s="488">
        <v>73245</v>
      </c>
      <c r="I61" s="488">
        <v>35745</v>
      </c>
      <c r="J61" s="956"/>
      <c r="K61" s="956"/>
      <c r="L61" s="959"/>
      <c r="M61" s="959"/>
      <c r="N61" s="956"/>
      <c r="O61" s="956"/>
      <c r="P61" s="959"/>
      <c r="Q61" s="959"/>
      <c r="R61" s="956"/>
      <c r="S61" s="959"/>
      <c r="T61" s="959"/>
      <c r="U61" s="956"/>
      <c r="V61" s="959"/>
      <c r="W61" s="959"/>
    </row>
    <row r="62" spans="1:23" s="489" customFormat="1" ht="16.5" customHeight="1">
      <c r="A62" s="949">
        <v>10</v>
      </c>
      <c r="B62" s="950" t="s">
        <v>592</v>
      </c>
      <c r="C62" s="952" t="s">
        <v>593</v>
      </c>
      <c r="D62" s="1008" t="s">
        <v>594</v>
      </c>
      <c r="E62" s="949" t="s">
        <v>595</v>
      </c>
      <c r="F62" s="949" t="s">
        <v>596</v>
      </c>
      <c r="G62" s="950" t="s">
        <v>597</v>
      </c>
      <c r="H62" s="488">
        <f>H63+H64+H65+H66</f>
        <v>922954</v>
      </c>
      <c r="I62" s="488">
        <f>I63+I64+I65+I66</f>
        <v>31617</v>
      </c>
      <c r="J62" s="954">
        <f>K62+N62</f>
        <v>891337</v>
      </c>
      <c r="K62" s="954">
        <f>L62+M62</f>
        <v>718459</v>
      </c>
      <c r="L62" s="957">
        <v>0</v>
      </c>
      <c r="M62" s="957">
        <v>718459</v>
      </c>
      <c r="N62" s="954">
        <f>O62+R62+U62</f>
        <v>172878</v>
      </c>
      <c r="O62" s="954">
        <f>P62+Q62</f>
        <v>0</v>
      </c>
      <c r="P62" s="957">
        <v>0</v>
      </c>
      <c r="Q62" s="957">
        <v>0</v>
      </c>
      <c r="R62" s="954">
        <f>S62+T62</f>
        <v>172878</v>
      </c>
      <c r="S62" s="957">
        <v>0</v>
      </c>
      <c r="T62" s="957">
        <v>172878</v>
      </c>
      <c r="U62" s="954">
        <f>V62+W62</f>
        <v>0</v>
      </c>
      <c r="V62" s="957">
        <v>0</v>
      </c>
      <c r="W62" s="957">
        <v>0</v>
      </c>
    </row>
    <row r="63" spans="1:23" s="489" customFormat="1" ht="16.5" customHeight="1">
      <c r="A63" s="949"/>
      <c r="B63" s="950"/>
      <c r="C63" s="952"/>
      <c r="D63" s="1008"/>
      <c r="E63" s="949"/>
      <c r="F63" s="949"/>
      <c r="G63" s="950"/>
      <c r="H63" s="488">
        <v>743269</v>
      </c>
      <c r="I63" s="488">
        <v>24810</v>
      </c>
      <c r="J63" s="955"/>
      <c r="K63" s="955"/>
      <c r="L63" s="958"/>
      <c r="M63" s="958"/>
      <c r="N63" s="955"/>
      <c r="O63" s="955"/>
      <c r="P63" s="958"/>
      <c r="Q63" s="958"/>
      <c r="R63" s="955"/>
      <c r="S63" s="958"/>
      <c r="T63" s="958"/>
      <c r="U63" s="955"/>
      <c r="V63" s="958"/>
      <c r="W63" s="958"/>
    </row>
    <row r="64" spans="1:23" s="489" customFormat="1" ht="16.5" customHeight="1">
      <c r="A64" s="949"/>
      <c r="B64" s="950"/>
      <c r="C64" s="952"/>
      <c r="D64" s="1008"/>
      <c r="E64" s="949"/>
      <c r="F64" s="949"/>
      <c r="G64" s="950"/>
      <c r="H64" s="488">
        <v>0</v>
      </c>
      <c r="I64" s="488">
        <v>0</v>
      </c>
      <c r="J64" s="955"/>
      <c r="K64" s="955"/>
      <c r="L64" s="958"/>
      <c r="M64" s="958"/>
      <c r="N64" s="955"/>
      <c r="O64" s="955"/>
      <c r="P64" s="958"/>
      <c r="Q64" s="958"/>
      <c r="R64" s="955"/>
      <c r="S64" s="958"/>
      <c r="T64" s="958"/>
      <c r="U64" s="955"/>
      <c r="V64" s="958"/>
      <c r="W64" s="958"/>
    </row>
    <row r="65" spans="1:23" s="489" customFormat="1" ht="16.5" customHeight="1">
      <c r="A65" s="949"/>
      <c r="B65" s="950"/>
      <c r="C65" s="952"/>
      <c r="D65" s="1008"/>
      <c r="E65" s="949"/>
      <c r="F65" s="949"/>
      <c r="G65" s="950"/>
      <c r="H65" s="488">
        <v>179685</v>
      </c>
      <c r="I65" s="488">
        <v>6807</v>
      </c>
      <c r="J65" s="955"/>
      <c r="K65" s="955"/>
      <c r="L65" s="958"/>
      <c r="M65" s="958"/>
      <c r="N65" s="955"/>
      <c r="O65" s="955"/>
      <c r="P65" s="958"/>
      <c r="Q65" s="958"/>
      <c r="R65" s="955"/>
      <c r="S65" s="958"/>
      <c r="T65" s="958"/>
      <c r="U65" s="955"/>
      <c r="V65" s="958"/>
      <c r="W65" s="958"/>
    </row>
    <row r="66" spans="1:23" s="489" customFormat="1" ht="16.5" customHeight="1">
      <c r="A66" s="949"/>
      <c r="B66" s="950"/>
      <c r="C66" s="952"/>
      <c r="D66" s="1008"/>
      <c r="E66" s="949"/>
      <c r="F66" s="949"/>
      <c r="G66" s="950"/>
      <c r="H66" s="488">
        <v>0</v>
      </c>
      <c r="I66" s="488">
        <v>0</v>
      </c>
      <c r="J66" s="956"/>
      <c r="K66" s="956"/>
      <c r="L66" s="959"/>
      <c r="M66" s="959"/>
      <c r="N66" s="956"/>
      <c r="O66" s="956"/>
      <c r="P66" s="959"/>
      <c r="Q66" s="959"/>
      <c r="R66" s="956"/>
      <c r="S66" s="959"/>
      <c r="T66" s="959"/>
      <c r="U66" s="956"/>
      <c r="V66" s="959"/>
      <c r="W66" s="959"/>
    </row>
    <row r="67" spans="1:23" s="489" customFormat="1" ht="15.75" customHeight="1">
      <c r="A67" s="949">
        <v>11</v>
      </c>
      <c r="B67" s="969" t="s">
        <v>598</v>
      </c>
      <c r="C67" s="969" t="s">
        <v>599</v>
      </c>
      <c r="D67" s="993" t="s">
        <v>600</v>
      </c>
      <c r="E67" s="949" t="s">
        <v>601</v>
      </c>
      <c r="F67" s="960" t="s">
        <v>602</v>
      </c>
      <c r="G67" s="963" t="s">
        <v>603</v>
      </c>
      <c r="H67" s="488">
        <f>H68+H69+H70+H71</f>
        <v>10061978</v>
      </c>
      <c r="I67" s="488">
        <f>I68+I69+I70+I71</f>
        <v>6937346</v>
      </c>
      <c r="J67" s="954">
        <f>K67+N67</f>
        <v>3124632</v>
      </c>
      <c r="K67" s="954">
        <f>L67+M67</f>
        <v>2249736</v>
      </c>
      <c r="L67" s="957">
        <v>25490</v>
      </c>
      <c r="M67" s="957">
        <v>2224246</v>
      </c>
      <c r="N67" s="954">
        <f>O67+R67+U67</f>
        <v>874896</v>
      </c>
      <c r="O67" s="954">
        <f>P67+Q67</f>
        <v>0</v>
      </c>
      <c r="P67" s="957">
        <v>0</v>
      </c>
      <c r="Q67" s="957">
        <v>0</v>
      </c>
      <c r="R67" s="954">
        <f>S67+T67</f>
        <v>318764</v>
      </c>
      <c r="S67" s="957">
        <v>9912</v>
      </c>
      <c r="T67" s="957">
        <v>308852</v>
      </c>
      <c r="U67" s="954">
        <f>V67+W67</f>
        <v>556132</v>
      </c>
      <c r="V67" s="957">
        <v>0</v>
      </c>
      <c r="W67" s="957">
        <v>556132</v>
      </c>
    </row>
    <row r="68" spans="1:23" s="489" customFormat="1" ht="15.75" customHeight="1">
      <c r="A68" s="949"/>
      <c r="B68" s="970"/>
      <c r="C68" s="970"/>
      <c r="D68" s="994"/>
      <c r="E68" s="949"/>
      <c r="F68" s="961"/>
      <c r="G68" s="964"/>
      <c r="H68" s="488">
        <v>6840891</v>
      </c>
      <c r="I68" s="488">
        <v>4591155</v>
      </c>
      <c r="J68" s="955"/>
      <c r="K68" s="955"/>
      <c r="L68" s="958"/>
      <c r="M68" s="958"/>
      <c r="N68" s="955"/>
      <c r="O68" s="955"/>
      <c r="P68" s="958"/>
      <c r="Q68" s="958"/>
      <c r="R68" s="955"/>
      <c r="S68" s="958"/>
      <c r="T68" s="958"/>
      <c r="U68" s="955"/>
      <c r="V68" s="958"/>
      <c r="W68" s="958"/>
    </row>
    <row r="69" spans="1:23" s="489" customFormat="1" ht="15.75" customHeight="1">
      <c r="A69" s="949"/>
      <c r="B69" s="970"/>
      <c r="C69" s="970"/>
      <c r="D69" s="994"/>
      <c r="E69" s="949"/>
      <c r="F69" s="961"/>
      <c r="G69" s="964"/>
      <c r="H69" s="488">
        <v>0</v>
      </c>
      <c r="I69" s="488">
        <v>0</v>
      </c>
      <c r="J69" s="955"/>
      <c r="K69" s="955"/>
      <c r="L69" s="958"/>
      <c r="M69" s="958"/>
      <c r="N69" s="955"/>
      <c r="O69" s="955"/>
      <c r="P69" s="958"/>
      <c r="Q69" s="958"/>
      <c r="R69" s="955"/>
      <c r="S69" s="958"/>
      <c r="T69" s="958"/>
      <c r="U69" s="955"/>
      <c r="V69" s="958"/>
      <c r="W69" s="958"/>
    </row>
    <row r="70" spans="1:23" s="489" customFormat="1" ht="15.75" customHeight="1">
      <c r="A70" s="949"/>
      <c r="B70" s="970"/>
      <c r="C70" s="970"/>
      <c r="D70" s="994"/>
      <c r="E70" s="949"/>
      <c r="F70" s="961"/>
      <c r="G70" s="964"/>
      <c r="H70" s="488">
        <v>1261833</v>
      </c>
      <c r="I70" s="488">
        <v>943069</v>
      </c>
      <c r="J70" s="955"/>
      <c r="K70" s="955"/>
      <c r="L70" s="958"/>
      <c r="M70" s="958"/>
      <c r="N70" s="955"/>
      <c r="O70" s="955"/>
      <c r="P70" s="958"/>
      <c r="Q70" s="958"/>
      <c r="R70" s="955"/>
      <c r="S70" s="958"/>
      <c r="T70" s="958"/>
      <c r="U70" s="955"/>
      <c r="V70" s="958"/>
      <c r="W70" s="958"/>
    </row>
    <row r="71" spans="1:23" s="489" customFormat="1" ht="15.75" customHeight="1">
      <c r="A71" s="949"/>
      <c r="B71" s="971"/>
      <c r="C71" s="971"/>
      <c r="D71" s="995"/>
      <c r="E71" s="949"/>
      <c r="F71" s="962"/>
      <c r="G71" s="965"/>
      <c r="H71" s="488">
        <v>1959254</v>
      </c>
      <c r="I71" s="488">
        <v>1403122</v>
      </c>
      <c r="J71" s="956"/>
      <c r="K71" s="956"/>
      <c r="L71" s="959"/>
      <c r="M71" s="959"/>
      <c r="N71" s="956"/>
      <c r="O71" s="956"/>
      <c r="P71" s="959"/>
      <c r="Q71" s="959"/>
      <c r="R71" s="956"/>
      <c r="S71" s="959"/>
      <c r="T71" s="959"/>
      <c r="U71" s="956"/>
      <c r="V71" s="959"/>
      <c r="W71" s="959"/>
    </row>
    <row r="72" spans="1:23" s="489" customFormat="1" ht="15.75" customHeight="1">
      <c r="A72" s="949">
        <v>12</v>
      </c>
      <c r="B72" s="969" t="s">
        <v>598</v>
      </c>
      <c r="C72" s="969" t="s">
        <v>599</v>
      </c>
      <c r="D72" s="993" t="s">
        <v>604</v>
      </c>
      <c r="E72" s="949" t="s">
        <v>601</v>
      </c>
      <c r="F72" s="960" t="s">
        <v>602</v>
      </c>
      <c r="G72" s="963" t="s">
        <v>603</v>
      </c>
      <c r="H72" s="488">
        <f>H73+H74+H75+H76</f>
        <v>11300136</v>
      </c>
      <c r="I72" s="488">
        <f>I73+I74+I75+I76</f>
        <v>8300136</v>
      </c>
      <c r="J72" s="954">
        <f>K72+N72</f>
        <v>3000000</v>
      </c>
      <c r="K72" s="954">
        <f>L72+M72</f>
        <v>2105257</v>
      </c>
      <c r="L72" s="957">
        <v>24738</v>
      </c>
      <c r="M72" s="957">
        <v>2080519</v>
      </c>
      <c r="N72" s="954">
        <f>O72+R72+U72</f>
        <v>894743</v>
      </c>
      <c r="O72" s="954">
        <f>P72+Q72</f>
        <v>0</v>
      </c>
      <c r="P72" s="957">
        <v>0</v>
      </c>
      <c r="Q72" s="957">
        <v>0</v>
      </c>
      <c r="R72" s="954">
        <f>S72+T72</f>
        <v>358706</v>
      </c>
      <c r="S72" s="957">
        <v>9620</v>
      </c>
      <c r="T72" s="957">
        <v>349086</v>
      </c>
      <c r="U72" s="954">
        <f>V72+W72</f>
        <v>536037</v>
      </c>
      <c r="V72" s="957">
        <v>0</v>
      </c>
      <c r="W72" s="957">
        <v>536037</v>
      </c>
    </row>
    <row r="73" spans="1:23" s="489" customFormat="1" ht="15.75" customHeight="1">
      <c r="A73" s="949"/>
      <c r="B73" s="970"/>
      <c r="C73" s="970"/>
      <c r="D73" s="994"/>
      <c r="E73" s="949"/>
      <c r="F73" s="961"/>
      <c r="G73" s="964"/>
      <c r="H73" s="488">
        <v>6607490</v>
      </c>
      <c r="I73" s="488">
        <v>4502233</v>
      </c>
      <c r="J73" s="955"/>
      <c r="K73" s="955"/>
      <c r="L73" s="958"/>
      <c r="M73" s="958"/>
      <c r="N73" s="955"/>
      <c r="O73" s="955"/>
      <c r="P73" s="958"/>
      <c r="Q73" s="958"/>
      <c r="R73" s="955"/>
      <c r="S73" s="958"/>
      <c r="T73" s="958"/>
      <c r="U73" s="955"/>
      <c r="V73" s="958"/>
      <c r="W73" s="958"/>
    </row>
    <row r="74" spans="1:23" s="489" customFormat="1" ht="15.75" customHeight="1">
      <c r="A74" s="949"/>
      <c r="B74" s="970"/>
      <c r="C74" s="970"/>
      <c r="D74" s="994"/>
      <c r="E74" s="949"/>
      <c r="F74" s="961"/>
      <c r="G74" s="964"/>
      <c r="H74" s="488">
        <v>0</v>
      </c>
      <c r="I74" s="488">
        <v>0</v>
      </c>
      <c r="J74" s="955"/>
      <c r="K74" s="955"/>
      <c r="L74" s="958"/>
      <c r="M74" s="958"/>
      <c r="N74" s="955"/>
      <c r="O74" s="955"/>
      <c r="P74" s="958"/>
      <c r="Q74" s="958"/>
      <c r="R74" s="955"/>
      <c r="S74" s="958"/>
      <c r="T74" s="958"/>
      <c r="U74" s="955"/>
      <c r="V74" s="958"/>
      <c r="W74" s="958"/>
    </row>
    <row r="75" spans="1:23" s="489" customFormat="1" ht="15.75" customHeight="1">
      <c r="A75" s="949"/>
      <c r="B75" s="970"/>
      <c r="C75" s="970"/>
      <c r="D75" s="994"/>
      <c r="E75" s="949"/>
      <c r="F75" s="961"/>
      <c r="G75" s="964"/>
      <c r="H75" s="488">
        <v>1723443</v>
      </c>
      <c r="I75" s="488">
        <v>1364737</v>
      </c>
      <c r="J75" s="955"/>
      <c r="K75" s="955"/>
      <c r="L75" s="958"/>
      <c r="M75" s="958"/>
      <c r="N75" s="955"/>
      <c r="O75" s="955"/>
      <c r="P75" s="958"/>
      <c r="Q75" s="958"/>
      <c r="R75" s="955"/>
      <c r="S75" s="958"/>
      <c r="T75" s="958"/>
      <c r="U75" s="955"/>
      <c r="V75" s="958"/>
      <c r="W75" s="958"/>
    </row>
    <row r="76" spans="1:23" s="489" customFormat="1" ht="15.75" customHeight="1">
      <c r="A76" s="949"/>
      <c r="B76" s="971"/>
      <c r="C76" s="971"/>
      <c r="D76" s="995"/>
      <c r="E76" s="949"/>
      <c r="F76" s="962"/>
      <c r="G76" s="965"/>
      <c r="H76" s="488">
        <v>2969203</v>
      </c>
      <c r="I76" s="488">
        <v>2433166</v>
      </c>
      <c r="J76" s="956"/>
      <c r="K76" s="956"/>
      <c r="L76" s="959"/>
      <c r="M76" s="959"/>
      <c r="N76" s="956"/>
      <c r="O76" s="956"/>
      <c r="P76" s="959"/>
      <c r="Q76" s="959"/>
      <c r="R76" s="956"/>
      <c r="S76" s="959"/>
      <c r="T76" s="959"/>
      <c r="U76" s="956"/>
      <c r="V76" s="959"/>
      <c r="W76" s="959"/>
    </row>
    <row r="77" spans="1:23" s="489" customFormat="1" ht="15.75" customHeight="1">
      <c r="A77" s="949">
        <v>13</v>
      </c>
      <c r="B77" s="963" t="s">
        <v>605</v>
      </c>
      <c r="C77" s="969" t="s">
        <v>599</v>
      </c>
      <c r="D77" s="993" t="s">
        <v>606</v>
      </c>
      <c r="E77" s="949" t="s">
        <v>601</v>
      </c>
      <c r="F77" s="960" t="s">
        <v>602</v>
      </c>
      <c r="G77" s="963" t="s">
        <v>603</v>
      </c>
      <c r="H77" s="488">
        <f>H78+H79+H80+H81</f>
        <v>15790837</v>
      </c>
      <c r="I77" s="488">
        <f>I78+I79+I80+I81</f>
        <v>9407008</v>
      </c>
      <c r="J77" s="954">
        <f>K77+N77</f>
        <v>6383829</v>
      </c>
      <c r="K77" s="954">
        <f>L77+M77</f>
        <v>2675403</v>
      </c>
      <c r="L77" s="957">
        <v>86678</v>
      </c>
      <c r="M77" s="957">
        <v>2588725</v>
      </c>
      <c r="N77" s="954">
        <f>O77+R77+U77</f>
        <v>3708426</v>
      </c>
      <c r="O77" s="954">
        <f>P77+Q77</f>
        <v>0</v>
      </c>
      <c r="P77" s="957">
        <v>0</v>
      </c>
      <c r="Q77" s="957">
        <v>0</v>
      </c>
      <c r="R77" s="954">
        <f>S77+T77</f>
        <v>975681</v>
      </c>
      <c r="S77" s="957">
        <v>51773</v>
      </c>
      <c r="T77" s="957">
        <v>923908</v>
      </c>
      <c r="U77" s="954">
        <f>V77+W77</f>
        <v>2732745</v>
      </c>
      <c r="V77" s="957">
        <v>0</v>
      </c>
      <c r="W77" s="957">
        <v>2732745</v>
      </c>
    </row>
    <row r="78" spans="1:23" s="489" customFormat="1" ht="15.75" customHeight="1">
      <c r="A78" s="949"/>
      <c r="B78" s="964"/>
      <c r="C78" s="970"/>
      <c r="D78" s="994"/>
      <c r="E78" s="949"/>
      <c r="F78" s="961"/>
      <c r="G78" s="964"/>
      <c r="H78" s="488">
        <v>8093119</v>
      </c>
      <c r="I78" s="488">
        <v>5417716</v>
      </c>
      <c r="J78" s="955"/>
      <c r="K78" s="955"/>
      <c r="L78" s="958"/>
      <c r="M78" s="958"/>
      <c r="N78" s="955"/>
      <c r="O78" s="955"/>
      <c r="P78" s="958"/>
      <c r="Q78" s="958"/>
      <c r="R78" s="955"/>
      <c r="S78" s="958"/>
      <c r="T78" s="958"/>
      <c r="U78" s="955"/>
      <c r="V78" s="958"/>
      <c r="W78" s="958"/>
    </row>
    <row r="79" spans="1:23" s="489" customFormat="1" ht="15.75" customHeight="1">
      <c r="A79" s="949"/>
      <c r="B79" s="964"/>
      <c r="C79" s="970"/>
      <c r="D79" s="994"/>
      <c r="E79" s="949"/>
      <c r="F79" s="961"/>
      <c r="G79" s="964"/>
      <c r="H79" s="488">
        <v>0</v>
      </c>
      <c r="I79" s="488">
        <v>0</v>
      </c>
      <c r="J79" s="955"/>
      <c r="K79" s="955"/>
      <c r="L79" s="958"/>
      <c r="M79" s="958"/>
      <c r="N79" s="955"/>
      <c r="O79" s="955"/>
      <c r="P79" s="958"/>
      <c r="Q79" s="958"/>
      <c r="R79" s="955"/>
      <c r="S79" s="958"/>
      <c r="T79" s="958"/>
      <c r="U79" s="955"/>
      <c r="V79" s="958"/>
      <c r="W79" s="958"/>
    </row>
    <row r="80" spans="1:23" s="489" customFormat="1" ht="15.75" customHeight="1">
      <c r="A80" s="949"/>
      <c r="B80" s="964"/>
      <c r="C80" s="970"/>
      <c r="D80" s="994"/>
      <c r="E80" s="949"/>
      <c r="F80" s="961"/>
      <c r="G80" s="964"/>
      <c r="H80" s="488">
        <v>2626174</v>
      </c>
      <c r="I80" s="488">
        <v>1650493</v>
      </c>
      <c r="J80" s="955"/>
      <c r="K80" s="955"/>
      <c r="L80" s="958"/>
      <c r="M80" s="958"/>
      <c r="N80" s="955"/>
      <c r="O80" s="955"/>
      <c r="P80" s="958"/>
      <c r="Q80" s="958"/>
      <c r="R80" s="955"/>
      <c r="S80" s="958"/>
      <c r="T80" s="958"/>
      <c r="U80" s="955"/>
      <c r="V80" s="958"/>
      <c r="W80" s="958"/>
    </row>
    <row r="81" spans="1:23" s="489" customFormat="1" ht="15.75" customHeight="1">
      <c r="A81" s="949"/>
      <c r="B81" s="965"/>
      <c r="C81" s="971"/>
      <c r="D81" s="995"/>
      <c r="E81" s="949"/>
      <c r="F81" s="962"/>
      <c r="G81" s="965"/>
      <c r="H81" s="488">
        <v>5071544</v>
      </c>
      <c r="I81" s="488">
        <v>2338799</v>
      </c>
      <c r="J81" s="956"/>
      <c r="K81" s="956"/>
      <c r="L81" s="959"/>
      <c r="M81" s="959"/>
      <c r="N81" s="956"/>
      <c r="O81" s="956"/>
      <c r="P81" s="959"/>
      <c r="Q81" s="959"/>
      <c r="R81" s="956"/>
      <c r="S81" s="959"/>
      <c r="T81" s="959"/>
      <c r="U81" s="956"/>
      <c r="V81" s="959"/>
      <c r="W81" s="959"/>
    </row>
    <row r="82" spans="1:23" s="489" customFormat="1" ht="15.75" customHeight="1">
      <c r="A82" s="949">
        <v>14</v>
      </c>
      <c r="B82" s="963" t="s">
        <v>605</v>
      </c>
      <c r="C82" s="969" t="s">
        <v>599</v>
      </c>
      <c r="D82" s="993" t="s">
        <v>607</v>
      </c>
      <c r="E82" s="949" t="s">
        <v>572</v>
      </c>
      <c r="F82" s="960" t="s">
        <v>602</v>
      </c>
      <c r="G82" s="963" t="s">
        <v>608</v>
      </c>
      <c r="H82" s="488">
        <f>H83+H84+H85+H86</f>
        <v>2691735</v>
      </c>
      <c r="I82" s="488">
        <f>I83+I84+I85+I86</f>
        <v>842779</v>
      </c>
      <c r="J82" s="954">
        <f>K82+N82</f>
        <v>1662544</v>
      </c>
      <c r="K82" s="954">
        <f>L82+M82</f>
        <v>0</v>
      </c>
      <c r="L82" s="957">
        <v>0</v>
      </c>
      <c r="M82" s="957">
        <v>0</v>
      </c>
      <c r="N82" s="954">
        <f>O82+R82+U82</f>
        <v>1662544</v>
      </c>
      <c r="O82" s="954">
        <f>P82+Q82</f>
        <v>0</v>
      </c>
      <c r="P82" s="957">
        <v>0</v>
      </c>
      <c r="Q82" s="957">
        <v>0</v>
      </c>
      <c r="R82" s="954">
        <f>S82+T82</f>
        <v>1662544</v>
      </c>
      <c r="S82" s="957">
        <v>0</v>
      </c>
      <c r="T82" s="957">
        <v>1662544</v>
      </c>
      <c r="U82" s="954">
        <f>V82+W82</f>
        <v>0</v>
      </c>
      <c r="V82" s="957">
        <v>0</v>
      </c>
      <c r="W82" s="957">
        <v>0</v>
      </c>
    </row>
    <row r="83" spans="1:23" s="489" customFormat="1" ht="15.75" customHeight="1">
      <c r="A83" s="949"/>
      <c r="B83" s="964"/>
      <c r="C83" s="970"/>
      <c r="D83" s="994"/>
      <c r="E83" s="949"/>
      <c r="F83" s="961"/>
      <c r="G83" s="964"/>
      <c r="H83" s="488">
        <v>0</v>
      </c>
      <c r="I83" s="488">
        <v>0</v>
      </c>
      <c r="J83" s="955"/>
      <c r="K83" s="955"/>
      <c r="L83" s="958"/>
      <c r="M83" s="958"/>
      <c r="N83" s="955"/>
      <c r="O83" s="955"/>
      <c r="P83" s="958"/>
      <c r="Q83" s="958"/>
      <c r="R83" s="955"/>
      <c r="S83" s="958"/>
      <c r="T83" s="958"/>
      <c r="U83" s="955"/>
      <c r="V83" s="958"/>
      <c r="W83" s="958"/>
    </row>
    <row r="84" spans="1:23" s="489" customFormat="1" ht="15.75" customHeight="1">
      <c r="A84" s="949"/>
      <c r="B84" s="964"/>
      <c r="C84" s="970"/>
      <c r="D84" s="994"/>
      <c r="E84" s="949"/>
      <c r="F84" s="961"/>
      <c r="G84" s="964"/>
      <c r="H84" s="488">
        <v>0</v>
      </c>
      <c r="I84" s="488">
        <v>0</v>
      </c>
      <c r="J84" s="955"/>
      <c r="K84" s="955"/>
      <c r="L84" s="958"/>
      <c r="M84" s="958"/>
      <c r="N84" s="955"/>
      <c r="O84" s="955"/>
      <c r="P84" s="958"/>
      <c r="Q84" s="958"/>
      <c r="R84" s="955"/>
      <c r="S84" s="958"/>
      <c r="T84" s="958"/>
      <c r="U84" s="955"/>
      <c r="V84" s="958"/>
      <c r="W84" s="958"/>
    </row>
    <row r="85" spans="1:23" s="489" customFormat="1" ht="15.75" customHeight="1">
      <c r="A85" s="949"/>
      <c r="B85" s="964"/>
      <c r="C85" s="970"/>
      <c r="D85" s="994"/>
      <c r="E85" s="949"/>
      <c r="F85" s="961"/>
      <c r="G85" s="964"/>
      <c r="H85" s="488">
        <v>2691735</v>
      </c>
      <c r="I85" s="488">
        <v>842779</v>
      </c>
      <c r="J85" s="955"/>
      <c r="K85" s="955"/>
      <c r="L85" s="958"/>
      <c r="M85" s="958"/>
      <c r="N85" s="955"/>
      <c r="O85" s="955"/>
      <c r="P85" s="958"/>
      <c r="Q85" s="958"/>
      <c r="R85" s="955"/>
      <c r="S85" s="958"/>
      <c r="T85" s="958"/>
      <c r="U85" s="955"/>
      <c r="V85" s="958"/>
      <c r="W85" s="958"/>
    </row>
    <row r="86" spans="1:23" s="489" customFormat="1" ht="15.75" customHeight="1">
      <c r="A86" s="949"/>
      <c r="B86" s="965"/>
      <c r="C86" s="971"/>
      <c r="D86" s="995"/>
      <c r="E86" s="949"/>
      <c r="F86" s="962"/>
      <c r="G86" s="965"/>
      <c r="H86" s="488">
        <v>0</v>
      </c>
      <c r="I86" s="488">
        <v>0</v>
      </c>
      <c r="J86" s="956"/>
      <c r="K86" s="956"/>
      <c r="L86" s="959"/>
      <c r="M86" s="959"/>
      <c r="N86" s="956"/>
      <c r="O86" s="956"/>
      <c r="P86" s="959"/>
      <c r="Q86" s="959"/>
      <c r="R86" s="956"/>
      <c r="S86" s="959"/>
      <c r="T86" s="959"/>
      <c r="U86" s="956"/>
      <c r="V86" s="959"/>
      <c r="W86" s="959"/>
    </row>
    <row r="87" spans="1:23" s="489" customFormat="1" ht="15" customHeight="1">
      <c r="A87" s="949">
        <v>15</v>
      </c>
      <c r="B87" s="950" t="s">
        <v>502</v>
      </c>
      <c r="C87" s="952" t="s">
        <v>609</v>
      </c>
      <c r="D87" s="1008" t="s">
        <v>610</v>
      </c>
      <c r="E87" s="949" t="s">
        <v>572</v>
      </c>
      <c r="F87" s="949" t="s">
        <v>611</v>
      </c>
      <c r="G87" s="950" t="s">
        <v>612</v>
      </c>
      <c r="H87" s="488">
        <f>H88+H89+H90+H91</f>
        <v>9745374</v>
      </c>
      <c r="I87" s="488">
        <f>I88+I89+I90+I91</f>
        <v>1484499</v>
      </c>
      <c r="J87" s="946">
        <f>K87+N87</f>
        <v>6152969</v>
      </c>
      <c r="K87" s="946">
        <f>L87+M87</f>
        <v>6152969</v>
      </c>
      <c r="L87" s="947">
        <v>1028274</v>
      </c>
      <c r="M87" s="947">
        <v>5124695</v>
      </c>
      <c r="N87" s="946">
        <f>O87+R87+U87</f>
        <v>0</v>
      </c>
      <c r="O87" s="946">
        <f>P87+Q87</f>
        <v>0</v>
      </c>
      <c r="P87" s="947">
        <v>0</v>
      </c>
      <c r="Q87" s="947">
        <v>0</v>
      </c>
      <c r="R87" s="946">
        <f>S87+T87</f>
        <v>0</v>
      </c>
      <c r="S87" s="947">
        <v>0</v>
      </c>
      <c r="T87" s="947">
        <v>0</v>
      </c>
      <c r="U87" s="946">
        <f>V87+W87</f>
        <v>0</v>
      </c>
      <c r="V87" s="947">
        <v>0</v>
      </c>
      <c r="W87" s="947">
        <v>0</v>
      </c>
    </row>
    <row r="88" spans="1:23" s="489" customFormat="1" ht="14.25" customHeight="1">
      <c r="A88" s="949"/>
      <c r="B88" s="950"/>
      <c r="C88" s="952"/>
      <c r="D88" s="1008"/>
      <c r="E88" s="949"/>
      <c r="F88" s="949"/>
      <c r="G88" s="950"/>
      <c r="H88" s="488">
        <v>9745374</v>
      </c>
      <c r="I88" s="488">
        <v>1484499</v>
      </c>
      <c r="J88" s="946"/>
      <c r="K88" s="946"/>
      <c r="L88" s="947"/>
      <c r="M88" s="947"/>
      <c r="N88" s="946"/>
      <c r="O88" s="946"/>
      <c r="P88" s="947"/>
      <c r="Q88" s="947"/>
      <c r="R88" s="946"/>
      <c r="S88" s="947"/>
      <c r="T88" s="947"/>
      <c r="U88" s="946"/>
      <c r="V88" s="947"/>
      <c r="W88" s="947"/>
    </row>
    <row r="89" spans="1:23" s="489" customFormat="1" ht="14.25" customHeight="1">
      <c r="A89" s="949"/>
      <c r="B89" s="950"/>
      <c r="C89" s="952"/>
      <c r="D89" s="1008"/>
      <c r="E89" s="949"/>
      <c r="F89" s="949"/>
      <c r="G89" s="950"/>
      <c r="H89" s="488">
        <v>0</v>
      </c>
      <c r="I89" s="488">
        <v>0</v>
      </c>
      <c r="J89" s="946"/>
      <c r="K89" s="946"/>
      <c r="L89" s="947"/>
      <c r="M89" s="947"/>
      <c r="N89" s="946"/>
      <c r="O89" s="946"/>
      <c r="P89" s="947"/>
      <c r="Q89" s="947"/>
      <c r="R89" s="946"/>
      <c r="S89" s="947"/>
      <c r="T89" s="947"/>
      <c r="U89" s="946"/>
      <c r="V89" s="947"/>
      <c r="W89" s="947"/>
    </row>
    <row r="90" spans="1:23" s="489" customFormat="1" ht="14.25" customHeight="1">
      <c r="A90" s="949"/>
      <c r="B90" s="950"/>
      <c r="C90" s="952"/>
      <c r="D90" s="1008"/>
      <c r="E90" s="949"/>
      <c r="F90" s="949"/>
      <c r="G90" s="950"/>
      <c r="H90" s="488">
        <v>0</v>
      </c>
      <c r="I90" s="488">
        <v>0</v>
      </c>
      <c r="J90" s="946"/>
      <c r="K90" s="946"/>
      <c r="L90" s="947"/>
      <c r="M90" s="947"/>
      <c r="N90" s="946"/>
      <c r="O90" s="946"/>
      <c r="P90" s="947"/>
      <c r="Q90" s="947"/>
      <c r="R90" s="946"/>
      <c r="S90" s="947"/>
      <c r="T90" s="947"/>
      <c r="U90" s="946"/>
      <c r="V90" s="947"/>
      <c r="W90" s="947"/>
    </row>
    <row r="91" spans="1:23" s="489" customFormat="1" ht="14.25" customHeight="1">
      <c r="A91" s="949"/>
      <c r="B91" s="950"/>
      <c r="C91" s="952"/>
      <c r="D91" s="1008"/>
      <c r="E91" s="949"/>
      <c r="F91" s="949"/>
      <c r="G91" s="950"/>
      <c r="H91" s="488">
        <v>0</v>
      </c>
      <c r="I91" s="488">
        <v>0</v>
      </c>
      <c r="J91" s="946"/>
      <c r="K91" s="946"/>
      <c r="L91" s="947"/>
      <c r="M91" s="947"/>
      <c r="N91" s="946"/>
      <c r="O91" s="946"/>
      <c r="P91" s="947"/>
      <c r="Q91" s="947"/>
      <c r="R91" s="946"/>
      <c r="S91" s="947"/>
      <c r="T91" s="947"/>
      <c r="U91" s="946"/>
      <c r="V91" s="947"/>
      <c r="W91" s="947"/>
    </row>
    <row r="92" spans="1:23" s="489" customFormat="1" ht="16.5" customHeight="1">
      <c r="A92" s="949">
        <v>16</v>
      </c>
      <c r="B92" s="950" t="s">
        <v>613</v>
      </c>
      <c r="C92" s="952" t="s">
        <v>614</v>
      </c>
      <c r="D92" s="1008" t="s">
        <v>615</v>
      </c>
      <c r="E92" s="949" t="s">
        <v>572</v>
      </c>
      <c r="F92" s="949" t="s">
        <v>616</v>
      </c>
      <c r="G92" s="950" t="s">
        <v>617</v>
      </c>
      <c r="H92" s="488">
        <f>H93+H94+H95+H96</f>
        <v>1466030</v>
      </c>
      <c r="I92" s="488">
        <f>I93+I94+I95+I96</f>
        <v>1369330</v>
      </c>
      <c r="J92" s="946">
        <f>K92+N92</f>
        <v>96700</v>
      </c>
      <c r="K92" s="946">
        <f>L92+M92</f>
        <v>82195</v>
      </c>
      <c r="L92" s="947">
        <v>82195</v>
      </c>
      <c r="M92" s="947">
        <v>0</v>
      </c>
      <c r="N92" s="946">
        <f>O92+R92+U92</f>
        <v>14505</v>
      </c>
      <c r="O92" s="946">
        <f>P92+Q92</f>
        <v>0</v>
      </c>
      <c r="P92" s="947">
        <v>0</v>
      </c>
      <c r="Q92" s="947">
        <v>0</v>
      </c>
      <c r="R92" s="946">
        <f>S92+T92</f>
        <v>14505</v>
      </c>
      <c r="S92" s="947">
        <v>14505</v>
      </c>
      <c r="T92" s="947">
        <v>0</v>
      </c>
      <c r="U92" s="946">
        <f>V92+W92</f>
        <v>0</v>
      </c>
      <c r="V92" s="947">
        <v>0</v>
      </c>
      <c r="W92" s="947">
        <v>0</v>
      </c>
    </row>
    <row r="93" spans="1:23" s="489" customFormat="1" ht="16.5" customHeight="1">
      <c r="A93" s="949"/>
      <c r="B93" s="950"/>
      <c r="C93" s="952"/>
      <c r="D93" s="1008"/>
      <c r="E93" s="949"/>
      <c r="F93" s="949"/>
      <c r="G93" s="950"/>
      <c r="H93" s="488">
        <v>1439333</v>
      </c>
      <c r="I93" s="488">
        <v>1357138</v>
      </c>
      <c r="J93" s="946"/>
      <c r="K93" s="946"/>
      <c r="L93" s="947"/>
      <c r="M93" s="947"/>
      <c r="N93" s="946"/>
      <c r="O93" s="946"/>
      <c r="P93" s="947"/>
      <c r="Q93" s="947"/>
      <c r="R93" s="946"/>
      <c r="S93" s="947"/>
      <c r="T93" s="947"/>
      <c r="U93" s="946"/>
      <c r="V93" s="947"/>
      <c r="W93" s="947"/>
    </row>
    <row r="94" spans="1:23" s="489" customFormat="1" ht="16.5" customHeight="1">
      <c r="A94" s="949"/>
      <c r="B94" s="950"/>
      <c r="C94" s="952"/>
      <c r="D94" s="1008"/>
      <c r="E94" s="949"/>
      <c r="F94" s="949"/>
      <c r="G94" s="950"/>
      <c r="H94" s="488">
        <v>0</v>
      </c>
      <c r="I94" s="488">
        <v>0</v>
      </c>
      <c r="J94" s="946"/>
      <c r="K94" s="946"/>
      <c r="L94" s="947"/>
      <c r="M94" s="947"/>
      <c r="N94" s="946"/>
      <c r="O94" s="946"/>
      <c r="P94" s="947"/>
      <c r="Q94" s="947"/>
      <c r="R94" s="946"/>
      <c r="S94" s="947"/>
      <c r="T94" s="947"/>
      <c r="U94" s="946"/>
      <c r="V94" s="947"/>
      <c r="W94" s="947"/>
    </row>
    <row r="95" spans="1:23" s="489" customFormat="1" ht="16.5" customHeight="1">
      <c r="A95" s="949"/>
      <c r="B95" s="950"/>
      <c r="C95" s="952"/>
      <c r="D95" s="1008"/>
      <c r="E95" s="949"/>
      <c r="F95" s="949"/>
      <c r="G95" s="950"/>
      <c r="H95" s="488">
        <v>26697</v>
      </c>
      <c r="I95" s="488">
        <v>12192</v>
      </c>
      <c r="J95" s="946"/>
      <c r="K95" s="946"/>
      <c r="L95" s="947"/>
      <c r="M95" s="947"/>
      <c r="N95" s="946"/>
      <c r="O95" s="946"/>
      <c r="P95" s="947"/>
      <c r="Q95" s="947"/>
      <c r="R95" s="946"/>
      <c r="S95" s="947"/>
      <c r="T95" s="947"/>
      <c r="U95" s="946"/>
      <c r="V95" s="947"/>
      <c r="W95" s="947"/>
    </row>
    <row r="96" spans="1:23" s="489" customFormat="1" ht="16.5" customHeight="1">
      <c r="A96" s="949"/>
      <c r="B96" s="950"/>
      <c r="C96" s="952"/>
      <c r="D96" s="1008"/>
      <c r="E96" s="949"/>
      <c r="F96" s="949"/>
      <c r="G96" s="950"/>
      <c r="H96" s="488">
        <v>0</v>
      </c>
      <c r="I96" s="488">
        <v>0</v>
      </c>
      <c r="J96" s="946"/>
      <c r="K96" s="946"/>
      <c r="L96" s="947"/>
      <c r="M96" s="947"/>
      <c r="N96" s="946"/>
      <c r="O96" s="946"/>
      <c r="P96" s="947"/>
      <c r="Q96" s="947"/>
      <c r="R96" s="946"/>
      <c r="S96" s="947"/>
      <c r="T96" s="947"/>
      <c r="U96" s="946"/>
      <c r="V96" s="947"/>
      <c r="W96" s="947"/>
    </row>
    <row r="97" spans="1:23" s="489" customFormat="1" ht="16.5" customHeight="1">
      <c r="A97" s="949">
        <v>17</v>
      </c>
      <c r="B97" s="951" t="s">
        <v>505</v>
      </c>
      <c r="C97" s="952" t="s">
        <v>618</v>
      </c>
      <c r="D97" s="953" t="s">
        <v>619</v>
      </c>
      <c r="E97" s="960" t="s">
        <v>601</v>
      </c>
      <c r="F97" s="949" t="s">
        <v>620</v>
      </c>
      <c r="G97" s="949" t="s">
        <v>603</v>
      </c>
      <c r="H97" s="488">
        <f>H99+H98+H100+H101</f>
        <v>177332795</v>
      </c>
      <c r="I97" s="488">
        <f>I99+I98+I100+I101</f>
        <v>85153971</v>
      </c>
      <c r="J97" s="946">
        <f>K97+N97</f>
        <v>92178824</v>
      </c>
      <c r="K97" s="946">
        <f>L97+M97</f>
        <v>70980125</v>
      </c>
      <c r="L97" s="947">
        <v>81262</v>
      </c>
      <c r="M97" s="947">
        <v>70898863</v>
      </c>
      <c r="N97" s="946">
        <f>O97+R97+U97</f>
        <v>21198699</v>
      </c>
      <c r="O97" s="946">
        <f>P97+Q97</f>
        <v>0</v>
      </c>
      <c r="P97" s="947">
        <v>0</v>
      </c>
      <c r="Q97" s="947">
        <v>0</v>
      </c>
      <c r="R97" s="946">
        <f>S97+T97</f>
        <v>21198699</v>
      </c>
      <c r="S97" s="947">
        <v>14339</v>
      </c>
      <c r="T97" s="947">
        <v>21184360</v>
      </c>
      <c r="U97" s="946">
        <f>V97+W97</f>
        <v>0</v>
      </c>
      <c r="V97" s="947">
        <v>0</v>
      </c>
      <c r="W97" s="947">
        <v>0</v>
      </c>
    </row>
    <row r="98" spans="1:23" s="489" customFormat="1" ht="16.5" customHeight="1">
      <c r="A98" s="949"/>
      <c r="B98" s="951"/>
      <c r="C98" s="952"/>
      <c r="D98" s="953"/>
      <c r="E98" s="961"/>
      <c r="F98" s="949"/>
      <c r="G98" s="949"/>
      <c r="H98" s="488">
        <v>139899604</v>
      </c>
      <c r="I98" s="488">
        <v>68919479</v>
      </c>
      <c r="J98" s="946"/>
      <c r="K98" s="946"/>
      <c r="L98" s="947"/>
      <c r="M98" s="947"/>
      <c r="N98" s="946"/>
      <c r="O98" s="946"/>
      <c r="P98" s="947"/>
      <c r="Q98" s="947"/>
      <c r="R98" s="946"/>
      <c r="S98" s="947"/>
      <c r="T98" s="947"/>
      <c r="U98" s="946"/>
      <c r="V98" s="947"/>
      <c r="W98" s="947"/>
    </row>
    <row r="99" spans="1:23" s="489" customFormat="1" ht="16.5" customHeight="1">
      <c r="A99" s="949"/>
      <c r="B99" s="951"/>
      <c r="C99" s="952"/>
      <c r="D99" s="953"/>
      <c r="E99" s="961"/>
      <c r="F99" s="949"/>
      <c r="G99" s="949"/>
      <c r="H99" s="488">
        <v>0</v>
      </c>
      <c r="I99" s="488">
        <v>0</v>
      </c>
      <c r="J99" s="946"/>
      <c r="K99" s="946"/>
      <c r="L99" s="947"/>
      <c r="M99" s="947"/>
      <c r="N99" s="946"/>
      <c r="O99" s="946"/>
      <c r="P99" s="947"/>
      <c r="Q99" s="947"/>
      <c r="R99" s="946"/>
      <c r="S99" s="947"/>
      <c r="T99" s="947"/>
      <c r="U99" s="946"/>
      <c r="V99" s="947"/>
      <c r="W99" s="947"/>
    </row>
    <row r="100" spans="1:23" s="489" customFormat="1" ht="16.5" customHeight="1">
      <c r="A100" s="949"/>
      <c r="B100" s="951"/>
      <c r="C100" s="952"/>
      <c r="D100" s="953"/>
      <c r="E100" s="961"/>
      <c r="F100" s="949"/>
      <c r="G100" s="949"/>
      <c r="H100" s="488">
        <v>33061735</v>
      </c>
      <c r="I100" s="488">
        <v>11863036</v>
      </c>
      <c r="J100" s="946"/>
      <c r="K100" s="946"/>
      <c r="L100" s="947"/>
      <c r="M100" s="947"/>
      <c r="N100" s="946"/>
      <c r="O100" s="946"/>
      <c r="P100" s="947"/>
      <c r="Q100" s="947"/>
      <c r="R100" s="946"/>
      <c r="S100" s="947"/>
      <c r="T100" s="947"/>
      <c r="U100" s="946"/>
      <c r="V100" s="947"/>
      <c r="W100" s="947"/>
    </row>
    <row r="101" spans="1:23" s="489" customFormat="1" ht="16.5" customHeight="1">
      <c r="A101" s="949"/>
      <c r="B101" s="951"/>
      <c r="C101" s="952"/>
      <c r="D101" s="953"/>
      <c r="E101" s="962"/>
      <c r="F101" s="949"/>
      <c r="G101" s="949"/>
      <c r="H101" s="488">
        <v>4371456</v>
      </c>
      <c r="I101" s="488">
        <v>4371456</v>
      </c>
      <c r="J101" s="946"/>
      <c r="K101" s="946"/>
      <c r="L101" s="947"/>
      <c r="M101" s="947"/>
      <c r="N101" s="946"/>
      <c r="O101" s="946"/>
      <c r="P101" s="947"/>
      <c r="Q101" s="947"/>
      <c r="R101" s="946"/>
      <c r="S101" s="947"/>
      <c r="T101" s="947"/>
      <c r="U101" s="946"/>
      <c r="V101" s="947"/>
      <c r="W101" s="947"/>
    </row>
    <row r="102" spans="1:23" s="489" customFormat="1" ht="16.5" customHeight="1">
      <c r="A102" s="949">
        <v>18</v>
      </c>
      <c r="B102" s="951" t="s">
        <v>505</v>
      </c>
      <c r="C102" s="952" t="s">
        <v>618</v>
      </c>
      <c r="D102" s="953" t="s">
        <v>621</v>
      </c>
      <c r="E102" s="960" t="s">
        <v>601</v>
      </c>
      <c r="F102" s="949" t="s">
        <v>620</v>
      </c>
      <c r="G102" s="949" t="s">
        <v>603</v>
      </c>
      <c r="H102" s="488">
        <f>H104+H103+H105+H106</f>
        <v>99783581</v>
      </c>
      <c r="I102" s="488">
        <f>I104+I103+I105+I106</f>
        <v>71789099</v>
      </c>
      <c r="J102" s="946">
        <f>K102+N102</f>
        <v>27994482</v>
      </c>
      <c r="K102" s="946">
        <f>L102+M102</f>
        <v>23292835</v>
      </c>
      <c r="L102" s="947">
        <v>0</v>
      </c>
      <c r="M102" s="947">
        <v>23292835</v>
      </c>
      <c r="N102" s="946">
        <f>O102+R102+U102</f>
        <v>4701647</v>
      </c>
      <c r="O102" s="946">
        <f>P102+Q102</f>
        <v>0</v>
      </c>
      <c r="P102" s="947">
        <v>0</v>
      </c>
      <c r="Q102" s="947">
        <v>0</v>
      </c>
      <c r="R102" s="946">
        <f>S102+T102</f>
        <v>3509993</v>
      </c>
      <c r="S102" s="947">
        <v>0</v>
      </c>
      <c r="T102" s="947">
        <v>3509993</v>
      </c>
      <c r="U102" s="946">
        <f>V102+W102</f>
        <v>1191654</v>
      </c>
      <c r="V102" s="947">
        <v>0</v>
      </c>
      <c r="W102" s="947">
        <v>1191654</v>
      </c>
    </row>
    <row r="103" spans="1:23" s="489" customFormat="1" ht="16.5" customHeight="1">
      <c r="A103" s="949"/>
      <c r="B103" s="951"/>
      <c r="C103" s="952"/>
      <c r="D103" s="953"/>
      <c r="E103" s="961"/>
      <c r="F103" s="949"/>
      <c r="G103" s="949"/>
      <c r="H103" s="488">
        <v>80288675</v>
      </c>
      <c r="I103" s="488">
        <v>56995840</v>
      </c>
      <c r="J103" s="946"/>
      <c r="K103" s="946"/>
      <c r="L103" s="947"/>
      <c r="M103" s="947"/>
      <c r="N103" s="946"/>
      <c r="O103" s="946"/>
      <c r="P103" s="947"/>
      <c r="Q103" s="947"/>
      <c r="R103" s="946"/>
      <c r="S103" s="947"/>
      <c r="T103" s="947"/>
      <c r="U103" s="946"/>
      <c r="V103" s="947"/>
      <c r="W103" s="947"/>
    </row>
    <row r="104" spans="1:23" s="489" customFormat="1" ht="16.5" customHeight="1">
      <c r="A104" s="949"/>
      <c r="B104" s="951"/>
      <c r="C104" s="952"/>
      <c r="D104" s="953"/>
      <c r="E104" s="961"/>
      <c r="F104" s="949"/>
      <c r="G104" s="949"/>
      <c r="H104" s="488">
        <v>0</v>
      </c>
      <c r="I104" s="488">
        <v>0</v>
      </c>
      <c r="J104" s="946"/>
      <c r="K104" s="946"/>
      <c r="L104" s="947"/>
      <c r="M104" s="947"/>
      <c r="N104" s="946"/>
      <c r="O104" s="946"/>
      <c r="P104" s="947"/>
      <c r="Q104" s="947"/>
      <c r="R104" s="946"/>
      <c r="S104" s="947"/>
      <c r="T104" s="947"/>
      <c r="U104" s="946"/>
      <c r="V104" s="947"/>
      <c r="W104" s="947"/>
    </row>
    <row r="105" spans="1:23" s="489" customFormat="1" ht="16.5" customHeight="1">
      <c r="A105" s="949"/>
      <c r="B105" s="951"/>
      <c r="C105" s="952"/>
      <c r="D105" s="953"/>
      <c r="E105" s="961"/>
      <c r="F105" s="949"/>
      <c r="G105" s="949"/>
      <c r="H105" s="488">
        <v>17713662</v>
      </c>
      <c r="I105" s="488">
        <v>14203669</v>
      </c>
      <c r="J105" s="946"/>
      <c r="K105" s="946"/>
      <c r="L105" s="947"/>
      <c r="M105" s="947"/>
      <c r="N105" s="946"/>
      <c r="O105" s="946"/>
      <c r="P105" s="947"/>
      <c r="Q105" s="947"/>
      <c r="R105" s="946"/>
      <c r="S105" s="947"/>
      <c r="T105" s="947"/>
      <c r="U105" s="946"/>
      <c r="V105" s="947"/>
      <c r="W105" s="947"/>
    </row>
    <row r="106" spans="1:23" s="489" customFormat="1" ht="16.5" customHeight="1">
      <c r="A106" s="949"/>
      <c r="B106" s="951"/>
      <c r="C106" s="952"/>
      <c r="D106" s="953"/>
      <c r="E106" s="962"/>
      <c r="F106" s="949"/>
      <c r="G106" s="949"/>
      <c r="H106" s="488">
        <v>1781244</v>
      </c>
      <c r="I106" s="488">
        <v>589590</v>
      </c>
      <c r="J106" s="946"/>
      <c r="K106" s="946"/>
      <c r="L106" s="947"/>
      <c r="M106" s="947"/>
      <c r="N106" s="946"/>
      <c r="O106" s="946"/>
      <c r="P106" s="947"/>
      <c r="Q106" s="947"/>
      <c r="R106" s="946"/>
      <c r="S106" s="947"/>
      <c r="T106" s="947"/>
      <c r="U106" s="946"/>
      <c r="V106" s="947"/>
      <c r="W106" s="947"/>
    </row>
    <row r="107" spans="1:23" s="489" customFormat="1" ht="15.75" customHeight="1">
      <c r="A107" s="949">
        <v>19</v>
      </c>
      <c r="B107" s="950" t="s">
        <v>505</v>
      </c>
      <c r="C107" s="952" t="s">
        <v>618</v>
      </c>
      <c r="D107" s="1008" t="s">
        <v>622</v>
      </c>
      <c r="E107" s="960" t="s">
        <v>601</v>
      </c>
      <c r="F107" s="949" t="s">
        <v>620</v>
      </c>
      <c r="G107" s="950" t="s">
        <v>608</v>
      </c>
      <c r="H107" s="488">
        <f>H108+H109+H110+H111</f>
        <v>52782231</v>
      </c>
      <c r="I107" s="488">
        <f>I108+I109+I110+I111</f>
        <v>983001</v>
      </c>
      <c r="J107" s="946">
        <f>K107+N107</f>
        <v>29819413</v>
      </c>
      <c r="K107" s="946">
        <f>L107+M107</f>
        <v>25416182</v>
      </c>
      <c r="L107" s="947">
        <v>190161</v>
      </c>
      <c r="M107" s="947">
        <v>25226021</v>
      </c>
      <c r="N107" s="946">
        <f>O107+R107+U107</f>
        <v>4403231</v>
      </c>
      <c r="O107" s="946">
        <f>P107+Q107</f>
        <v>2990138</v>
      </c>
      <c r="P107" s="947">
        <v>22371</v>
      </c>
      <c r="Q107" s="947">
        <v>2967767</v>
      </c>
      <c r="R107" s="946">
        <f>S107+T107</f>
        <v>1413093</v>
      </c>
      <c r="S107" s="947">
        <v>11185</v>
      </c>
      <c r="T107" s="947">
        <v>1401908</v>
      </c>
      <c r="U107" s="946">
        <f>V107+W107</f>
        <v>0</v>
      </c>
      <c r="V107" s="947">
        <v>0</v>
      </c>
      <c r="W107" s="947">
        <v>0</v>
      </c>
    </row>
    <row r="108" spans="1:23" s="489" customFormat="1" ht="15.75" customHeight="1">
      <c r="A108" s="949"/>
      <c r="B108" s="950"/>
      <c r="C108" s="952"/>
      <c r="D108" s="1008"/>
      <c r="E108" s="961"/>
      <c r="F108" s="949"/>
      <c r="G108" s="950"/>
      <c r="H108" s="488">
        <v>44864896</v>
      </c>
      <c r="I108" s="488">
        <v>728624</v>
      </c>
      <c r="J108" s="946"/>
      <c r="K108" s="946"/>
      <c r="L108" s="947"/>
      <c r="M108" s="947"/>
      <c r="N108" s="946"/>
      <c r="O108" s="946"/>
      <c r="P108" s="947"/>
      <c r="Q108" s="947"/>
      <c r="R108" s="946"/>
      <c r="S108" s="947"/>
      <c r="T108" s="947"/>
      <c r="U108" s="946"/>
      <c r="V108" s="947"/>
      <c r="W108" s="947"/>
    </row>
    <row r="109" spans="1:23" s="489" customFormat="1" ht="15.75" customHeight="1">
      <c r="A109" s="949"/>
      <c r="B109" s="950"/>
      <c r="C109" s="952"/>
      <c r="D109" s="1008"/>
      <c r="E109" s="961"/>
      <c r="F109" s="949"/>
      <c r="G109" s="950"/>
      <c r="H109" s="488">
        <v>5278223</v>
      </c>
      <c r="I109" s="488">
        <v>85722</v>
      </c>
      <c r="J109" s="946"/>
      <c r="K109" s="946"/>
      <c r="L109" s="947"/>
      <c r="M109" s="947"/>
      <c r="N109" s="946"/>
      <c r="O109" s="946"/>
      <c r="P109" s="947"/>
      <c r="Q109" s="947"/>
      <c r="R109" s="946"/>
      <c r="S109" s="947"/>
      <c r="T109" s="947"/>
      <c r="U109" s="946"/>
      <c r="V109" s="947"/>
      <c r="W109" s="947"/>
    </row>
    <row r="110" spans="1:23" s="489" customFormat="1" ht="15.75" customHeight="1">
      <c r="A110" s="949"/>
      <c r="B110" s="950"/>
      <c r="C110" s="952"/>
      <c r="D110" s="1008"/>
      <c r="E110" s="961"/>
      <c r="F110" s="949"/>
      <c r="G110" s="950"/>
      <c r="H110" s="488">
        <v>2639112</v>
      </c>
      <c r="I110" s="488">
        <v>168655</v>
      </c>
      <c r="J110" s="946"/>
      <c r="K110" s="946"/>
      <c r="L110" s="947"/>
      <c r="M110" s="947"/>
      <c r="N110" s="946"/>
      <c r="O110" s="946"/>
      <c r="P110" s="947"/>
      <c r="Q110" s="947"/>
      <c r="R110" s="946"/>
      <c r="S110" s="947"/>
      <c r="T110" s="947"/>
      <c r="U110" s="946"/>
      <c r="V110" s="947"/>
      <c r="W110" s="947"/>
    </row>
    <row r="111" spans="1:23" s="489" customFormat="1" ht="15.75" customHeight="1">
      <c r="A111" s="949"/>
      <c r="B111" s="950"/>
      <c r="C111" s="952"/>
      <c r="D111" s="1008"/>
      <c r="E111" s="962"/>
      <c r="F111" s="949"/>
      <c r="G111" s="950"/>
      <c r="H111" s="488">
        <v>0</v>
      </c>
      <c r="I111" s="488">
        <v>0</v>
      </c>
      <c r="J111" s="946"/>
      <c r="K111" s="946"/>
      <c r="L111" s="947"/>
      <c r="M111" s="947"/>
      <c r="N111" s="946"/>
      <c r="O111" s="946"/>
      <c r="P111" s="947"/>
      <c r="Q111" s="947"/>
      <c r="R111" s="946"/>
      <c r="S111" s="947"/>
      <c r="T111" s="947"/>
      <c r="U111" s="946"/>
      <c r="V111" s="947"/>
      <c r="W111" s="947"/>
    </row>
    <row r="112" spans="1:23" s="489" customFormat="1" ht="17.100000000000001" customHeight="1">
      <c r="A112" s="949">
        <v>20</v>
      </c>
      <c r="B112" s="950" t="s">
        <v>505</v>
      </c>
      <c r="C112" s="952" t="s">
        <v>618</v>
      </c>
      <c r="D112" s="1008" t="s">
        <v>623</v>
      </c>
      <c r="E112" s="960" t="s">
        <v>601</v>
      </c>
      <c r="F112" s="949" t="s">
        <v>620</v>
      </c>
      <c r="G112" s="950" t="s">
        <v>608</v>
      </c>
      <c r="H112" s="488">
        <f>H113+H114+H115+H116</f>
        <v>37518743</v>
      </c>
      <c r="I112" s="488">
        <f>I113+I114+I115+I116</f>
        <v>98680</v>
      </c>
      <c r="J112" s="946">
        <f>K112+N112</f>
        <v>22610788</v>
      </c>
      <c r="K112" s="946">
        <f>L112+M112</f>
        <v>19219170</v>
      </c>
      <c r="L112" s="947">
        <v>0</v>
      </c>
      <c r="M112" s="947">
        <v>19219170</v>
      </c>
      <c r="N112" s="946">
        <f>O112+R112+U112</f>
        <v>3391618</v>
      </c>
      <c r="O112" s="946">
        <f>P112+Q112</f>
        <v>2261079</v>
      </c>
      <c r="P112" s="947">
        <v>0</v>
      </c>
      <c r="Q112" s="947">
        <v>2261079</v>
      </c>
      <c r="R112" s="946">
        <f>S112+T112</f>
        <v>1130539</v>
      </c>
      <c r="S112" s="947">
        <v>0</v>
      </c>
      <c r="T112" s="947">
        <v>1130539</v>
      </c>
      <c r="U112" s="946">
        <f>V112+W112</f>
        <v>0</v>
      </c>
      <c r="V112" s="947">
        <v>0</v>
      </c>
      <c r="W112" s="947">
        <v>0</v>
      </c>
    </row>
    <row r="113" spans="1:23" s="489" customFormat="1" ht="17.100000000000001" customHeight="1">
      <c r="A113" s="949"/>
      <c r="B113" s="950"/>
      <c r="C113" s="952"/>
      <c r="D113" s="1008"/>
      <c r="E113" s="961"/>
      <c r="F113" s="949"/>
      <c r="G113" s="950"/>
      <c r="H113" s="488">
        <v>31890932</v>
      </c>
      <c r="I113" s="488">
        <v>0</v>
      </c>
      <c r="J113" s="946"/>
      <c r="K113" s="946"/>
      <c r="L113" s="947"/>
      <c r="M113" s="947"/>
      <c r="N113" s="946"/>
      <c r="O113" s="946"/>
      <c r="P113" s="947"/>
      <c r="Q113" s="947"/>
      <c r="R113" s="946"/>
      <c r="S113" s="947"/>
      <c r="T113" s="947"/>
      <c r="U113" s="946"/>
      <c r="V113" s="947"/>
      <c r="W113" s="947"/>
    </row>
    <row r="114" spans="1:23" s="489" customFormat="1" ht="17.100000000000001" customHeight="1">
      <c r="A114" s="949"/>
      <c r="B114" s="950"/>
      <c r="C114" s="952"/>
      <c r="D114" s="1008"/>
      <c r="E114" s="961"/>
      <c r="F114" s="949"/>
      <c r="G114" s="950"/>
      <c r="H114" s="488">
        <v>3751874</v>
      </c>
      <c r="I114" s="488">
        <v>0</v>
      </c>
      <c r="J114" s="946"/>
      <c r="K114" s="946"/>
      <c r="L114" s="947"/>
      <c r="M114" s="947"/>
      <c r="N114" s="946"/>
      <c r="O114" s="946"/>
      <c r="P114" s="947"/>
      <c r="Q114" s="947"/>
      <c r="R114" s="946"/>
      <c r="S114" s="947"/>
      <c r="T114" s="947"/>
      <c r="U114" s="946"/>
      <c r="V114" s="947"/>
      <c r="W114" s="947"/>
    </row>
    <row r="115" spans="1:23" s="489" customFormat="1" ht="17.100000000000001" customHeight="1">
      <c r="A115" s="949"/>
      <c r="B115" s="950"/>
      <c r="C115" s="952"/>
      <c r="D115" s="1008"/>
      <c r="E115" s="961"/>
      <c r="F115" s="949"/>
      <c r="G115" s="950"/>
      <c r="H115" s="488">
        <v>1875937</v>
      </c>
      <c r="I115" s="488">
        <v>98680</v>
      </c>
      <c r="J115" s="946"/>
      <c r="K115" s="946"/>
      <c r="L115" s="947"/>
      <c r="M115" s="947"/>
      <c r="N115" s="946"/>
      <c r="O115" s="946"/>
      <c r="P115" s="947"/>
      <c r="Q115" s="947"/>
      <c r="R115" s="946"/>
      <c r="S115" s="947"/>
      <c r="T115" s="947"/>
      <c r="U115" s="946"/>
      <c r="V115" s="947"/>
      <c r="W115" s="947"/>
    </row>
    <row r="116" spans="1:23" s="489" customFormat="1" ht="17.100000000000001" customHeight="1">
      <c r="A116" s="949"/>
      <c r="B116" s="950"/>
      <c r="C116" s="952"/>
      <c r="D116" s="1008"/>
      <c r="E116" s="962"/>
      <c r="F116" s="949"/>
      <c r="G116" s="950"/>
      <c r="H116" s="488">
        <v>0</v>
      </c>
      <c r="I116" s="488">
        <v>0</v>
      </c>
      <c r="J116" s="946"/>
      <c r="K116" s="946"/>
      <c r="L116" s="947"/>
      <c r="M116" s="947"/>
      <c r="N116" s="946"/>
      <c r="O116" s="946"/>
      <c r="P116" s="947"/>
      <c r="Q116" s="947"/>
      <c r="R116" s="946"/>
      <c r="S116" s="947"/>
      <c r="T116" s="947"/>
      <c r="U116" s="946"/>
      <c r="V116" s="947"/>
      <c r="W116" s="947"/>
    </row>
    <row r="117" spans="1:23" s="489" customFormat="1" ht="17.100000000000001" customHeight="1">
      <c r="A117" s="949">
        <v>21</v>
      </c>
      <c r="B117" s="950" t="s">
        <v>505</v>
      </c>
      <c r="C117" s="952" t="s">
        <v>618</v>
      </c>
      <c r="D117" s="1008" t="s">
        <v>624</v>
      </c>
      <c r="E117" s="960" t="s">
        <v>601</v>
      </c>
      <c r="F117" s="949" t="s">
        <v>620</v>
      </c>
      <c r="G117" s="950" t="s">
        <v>608</v>
      </c>
      <c r="H117" s="488">
        <f>H118+H119+H120+H121</f>
        <v>53698714</v>
      </c>
      <c r="I117" s="488">
        <f>I118+I119+I120+I121</f>
        <v>1254975</v>
      </c>
      <c r="J117" s="946">
        <f>K117+N117</f>
        <v>37418203</v>
      </c>
      <c r="K117" s="946">
        <f>L117+M117</f>
        <v>31805472</v>
      </c>
      <c r="L117" s="947">
        <v>296392</v>
      </c>
      <c r="M117" s="947">
        <v>31509080</v>
      </c>
      <c r="N117" s="946">
        <f>O117+R117+U117</f>
        <v>5612731</v>
      </c>
      <c r="O117" s="946">
        <f>P117+Q117</f>
        <v>3741821</v>
      </c>
      <c r="P117" s="947">
        <v>34870</v>
      </c>
      <c r="Q117" s="947">
        <v>3706951</v>
      </c>
      <c r="R117" s="946">
        <f>S117+T117</f>
        <v>1870910</v>
      </c>
      <c r="S117" s="947">
        <v>17435</v>
      </c>
      <c r="T117" s="947">
        <v>1853475</v>
      </c>
      <c r="U117" s="946">
        <f>V117+W117</f>
        <v>0</v>
      </c>
      <c r="V117" s="947">
        <v>0</v>
      </c>
      <c r="W117" s="947">
        <v>0</v>
      </c>
    </row>
    <row r="118" spans="1:23" s="489" customFormat="1" ht="17.100000000000001" customHeight="1">
      <c r="A118" s="949"/>
      <c r="B118" s="950"/>
      <c r="C118" s="952"/>
      <c r="D118" s="1008"/>
      <c r="E118" s="961"/>
      <c r="F118" s="949"/>
      <c r="G118" s="950"/>
      <c r="H118" s="488">
        <v>39070296</v>
      </c>
      <c r="I118" s="488">
        <v>955598</v>
      </c>
      <c r="J118" s="946"/>
      <c r="K118" s="946"/>
      <c r="L118" s="947"/>
      <c r="M118" s="947"/>
      <c r="N118" s="946"/>
      <c r="O118" s="946"/>
      <c r="P118" s="947"/>
      <c r="Q118" s="947"/>
      <c r="R118" s="946"/>
      <c r="S118" s="947"/>
      <c r="T118" s="947"/>
      <c r="U118" s="946"/>
      <c r="V118" s="947"/>
      <c r="W118" s="947"/>
    </row>
    <row r="119" spans="1:23" s="489" customFormat="1" ht="17.100000000000001" customHeight="1">
      <c r="A119" s="949"/>
      <c r="B119" s="950"/>
      <c r="C119" s="952"/>
      <c r="D119" s="1008"/>
      <c r="E119" s="961"/>
      <c r="F119" s="949"/>
      <c r="G119" s="950"/>
      <c r="H119" s="488">
        <v>4596505</v>
      </c>
      <c r="I119" s="488">
        <v>112424</v>
      </c>
      <c r="J119" s="946"/>
      <c r="K119" s="946"/>
      <c r="L119" s="947"/>
      <c r="M119" s="947"/>
      <c r="N119" s="946"/>
      <c r="O119" s="946"/>
      <c r="P119" s="947"/>
      <c r="Q119" s="947"/>
      <c r="R119" s="946"/>
      <c r="S119" s="947"/>
      <c r="T119" s="947"/>
      <c r="U119" s="946"/>
      <c r="V119" s="947"/>
      <c r="W119" s="947"/>
    </row>
    <row r="120" spans="1:23" s="489" customFormat="1" ht="17.100000000000001" customHeight="1">
      <c r="A120" s="949"/>
      <c r="B120" s="950"/>
      <c r="C120" s="952"/>
      <c r="D120" s="1008"/>
      <c r="E120" s="961"/>
      <c r="F120" s="949"/>
      <c r="G120" s="950"/>
      <c r="H120" s="488">
        <v>10031913</v>
      </c>
      <c r="I120" s="488">
        <v>186953</v>
      </c>
      <c r="J120" s="946"/>
      <c r="K120" s="946"/>
      <c r="L120" s="947"/>
      <c r="M120" s="947"/>
      <c r="N120" s="946"/>
      <c r="O120" s="946"/>
      <c r="P120" s="947"/>
      <c r="Q120" s="947"/>
      <c r="R120" s="946"/>
      <c r="S120" s="947"/>
      <c r="T120" s="947"/>
      <c r="U120" s="946"/>
      <c r="V120" s="947"/>
      <c r="W120" s="947"/>
    </row>
    <row r="121" spans="1:23" s="489" customFormat="1" ht="17.100000000000001" customHeight="1">
      <c r="A121" s="949"/>
      <c r="B121" s="950"/>
      <c r="C121" s="952"/>
      <c r="D121" s="1008"/>
      <c r="E121" s="962"/>
      <c r="F121" s="949"/>
      <c r="G121" s="950"/>
      <c r="H121" s="488">
        <v>0</v>
      </c>
      <c r="I121" s="488">
        <v>0</v>
      </c>
      <c r="J121" s="946"/>
      <c r="K121" s="946"/>
      <c r="L121" s="947"/>
      <c r="M121" s="947"/>
      <c r="N121" s="946"/>
      <c r="O121" s="946"/>
      <c r="P121" s="947"/>
      <c r="Q121" s="947"/>
      <c r="R121" s="946"/>
      <c r="S121" s="947"/>
      <c r="T121" s="947"/>
      <c r="U121" s="946"/>
      <c r="V121" s="947"/>
      <c r="W121" s="947"/>
    </row>
    <row r="122" spans="1:23" s="489" customFormat="1" ht="17.100000000000001" customHeight="1">
      <c r="A122" s="949">
        <v>22</v>
      </c>
      <c r="B122" s="950" t="s">
        <v>505</v>
      </c>
      <c r="C122" s="952" t="s">
        <v>618</v>
      </c>
      <c r="D122" s="1008" t="s">
        <v>625</v>
      </c>
      <c r="E122" s="960" t="s">
        <v>601</v>
      </c>
      <c r="F122" s="949" t="s">
        <v>620</v>
      </c>
      <c r="G122" s="950" t="s">
        <v>626</v>
      </c>
      <c r="H122" s="488">
        <f>H123+H124+H125+H126</f>
        <v>26680000</v>
      </c>
      <c r="I122" s="488">
        <f>I123+I124+I125+I126</f>
        <v>0</v>
      </c>
      <c r="J122" s="946">
        <f>K122+N122</f>
        <v>5397334</v>
      </c>
      <c r="K122" s="946">
        <f>L122+M122</f>
        <v>4587734</v>
      </c>
      <c r="L122" s="947">
        <v>0</v>
      </c>
      <c r="M122" s="947">
        <v>4587734</v>
      </c>
      <c r="N122" s="946">
        <f>O122+R122+U122</f>
        <v>809600</v>
      </c>
      <c r="O122" s="946">
        <f>P122+Q122</f>
        <v>539733</v>
      </c>
      <c r="P122" s="947">
        <v>0</v>
      </c>
      <c r="Q122" s="947">
        <v>539733</v>
      </c>
      <c r="R122" s="946">
        <f>S122+T122</f>
        <v>269867</v>
      </c>
      <c r="S122" s="947">
        <v>0</v>
      </c>
      <c r="T122" s="947">
        <v>269867</v>
      </c>
      <c r="U122" s="946">
        <f>V122+W122</f>
        <v>0</v>
      </c>
      <c r="V122" s="947">
        <v>0</v>
      </c>
      <c r="W122" s="947">
        <v>0</v>
      </c>
    </row>
    <row r="123" spans="1:23" s="489" customFormat="1" ht="17.100000000000001" customHeight="1">
      <c r="A123" s="949"/>
      <c r="B123" s="950"/>
      <c r="C123" s="952"/>
      <c r="D123" s="1008"/>
      <c r="E123" s="961"/>
      <c r="F123" s="949"/>
      <c r="G123" s="950"/>
      <c r="H123" s="488">
        <v>22678000</v>
      </c>
      <c r="I123" s="488">
        <v>0</v>
      </c>
      <c r="J123" s="946"/>
      <c r="K123" s="946"/>
      <c r="L123" s="947"/>
      <c r="M123" s="947"/>
      <c r="N123" s="946"/>
      <c r="O123" s="946"/>
      <c r="P123" s="947"/>
      <c r="Q123" s="947"/>
      <c r="R123" s="946"/>
      <c r="S123" s="947"/>
      <c r="T123" s="947"/>
      <c r="U123" s="946"/>
      <c r="V123" s="947"/>
      <c r="W123" s="947"/>
    </row>
    <row r="124" spans="1:23" s="489" customFormat="1" ht="17.100000000000001" customHeight="1">
      <c r="A124" s="949"/>
      <c r="B124" s="950"/>
      <c r="C124" s="952"/>
      <c r="D124" s="1008"/>
      <c r="E124" s="961"/>
      <c r="F124" s="949"/>
      <c r="G124" s="950"/>
      <c r="H124" s="488">
        <v>2668000</v>
      </c>
      <c r="I124" s="488">
        <v>0</v>
      </c>
      <c r="J124" s="946"/>
      <c r="K124" s="946"/>
      <c r="L124" s="947"/>
      <c r="M124" s="947"/>
      <c r="N124" s="946"/>
      <c r="O124" s="946"/>
      <c r="P124" s="947"/>
      <c r="Q124" s="947"/>
      <c r="R124" s="946"/>
      <c r="S124" s="947"/>
      <c r="T124" s="947"/>
      <c r="U124" s="946"/>
      <c r="V124" s="947"/>
      <c r="W124" s="947"/>
    </row>
    <row r="125" spans="1:23" s="489" customFormat="1" ht="17.100000000000001" customHeight="1">
      <c r="A125" s="949"/>
      <c r="B125" s="950"/>
      <c r="C125" s="952"/>
      <c r="D125" s="1008"/>
      <c r="E125" s="961"/>
      <c r="F125" s="949"/>
      <c r="G125" s="950"/>
      <c r="H125" s="488">
        <v>1334000</v>
      </c>
      <c r="I125" s="488">
        <v>0</v>
      </c>
      <c r="J125" s="946"/>
      <c r="K125" s="946"/>
      <c r="L125" s="947"/>
      <c r="M125" s="947"/>
      <c r="N125" s="946"/>
      <c r="O125" s="946"/>
      <c r="P125" s="947"/>
      <c r="Q125" s="947"/>
      <c r="R125" s="946"/>
      <c r="S125" s="947"/>
      <c r="T125" s="947"/>
      <c r="U125" s="946"/>
      <c r="V125" s="947"/>
      <c r="W125" s="947"/>
    </row>
    <row r="126" spans="1:23" s="489" customFormat="1" ht="17.100000000000001" customHeight="1">
      <c r="A126" s="949"/>
      <c r="B126" s="950"/>
      <c r="C126" s="952"/>
      <c r="D126" s="1008"/>
      <c r="E126" s="962"/>
      <c r="F126" s="949"/>
      <c r="G126" s="950"/>
      <c r="H126" s="488">
        <v>0</v>
      </c>
      <c r="I126" s="488">
        <v>0</v>
      </c>
      <c r="J126" s="946"/>
      <c r="K126" s="946"/>
      <c r="L126" s="947"/>
      <c r="M126" s="947"/>
      <c r="N126" s="946"/>
      <c r="O126" s="946"/>
      <c r="P126" s="947"/>
      <c r="Q126" s="947"/>
      <c r="R126" s="946"/>
      <c r="S126" s="947"/>
      <c r="T126" s="947"/>
      <c r="U126" s="946"/>
      <c r="V126" s="947"/>
      <c r="W126" s="947"/>
    </row>
    <row r="127" spans="1:23" s="489" customFormat="1" ht="16.5" customHeight="1">
      <c r="A127" s="949">
        <v>23</v>
      </c>
      <c r="B127" s="950" t="s">
        <v>505</v>
      </c>
      <c r="C127" s="952" t="s">
        <v>618</v>
      </c>
      <c r="D127" s="1008" t="s">
        <v>627</v>
      </c>
      <c r="E127" s="960" t="s">
        <v>601</v>
      </c>
      <c r="F127" s="949" t="s">
        <v>620</v>
      </c>
      <c r="G127" s="950" t="s">
        <v>603</v>
      </c>
      <c r="H127" s="488">
        <f>H128+H129+H130+H131</f>
        <v>20905199</v>
      </c>
      <c r="I127" s="488">
        <f>I128+I129+I130+I131</f>
        <v>17721273</v>
      </c>
      <c r="J127" s="946">
        <f>K127+N127</f>
        <v>3183926</v>
      </c>
      <c r="K127" s="946">
        <f>L127+M127</f>
        <v>2424816</v>
      </c>
      <c r="L127" s="947">
        <v>0</v>
      </c>
      <c r="M127" s="947">
        <v>2424816</v>
      </c>
      <c r="N127" s="946">
        <f>O127+R127+U127</f>
        <v>759110</v>
      </c>
      <c r="O127" s="946">
        <f>P127+Q127</f>
        <v>0</v>
      </c>
      <c r="P127" s="947">
        <v>0</v>
      </c>
      <c r="Q127" s="947">
        <v>0</v>
      </c>
      <c r="R127" s="946">
        <f>S127+T127</f>
        <v>545156</v>
      </c>
      <c r="S127" s="947">
        <v>0</v>
      </c>
      <c r="T127" s="947">
        <v>545156</v>
      </c>
      <c r="U127" s="946">
        <f>V127+W127</f>
        <v>213954</v>
      </c>
      <c r="V127" s="947">
        <v>0</v>
      </c>
      <c r="W127" s="947">
        <v>213954</v>
      </c>
    </row>
    <row r="128" spans="1:23" s="489" customFormat="1" ht="16.5" customHeight="1">
      <c r="A128" s="949"/>
      <c r="B128" s="950"/>
      <c r="C128" s="952"/>
      <c r="D128" s="1008"/>
      <c r="E128" s="961"/>
      <c r="F128" s="949"/>
      <c r="G128" s="950"/>
      <c r="H128" s="488">
        <v>15751934</v>
      </c>
      <c r="I128" s="488">
        <v>13327118</v>
      </c>
      <c r="J128" s="946"/>
      <c r="K128" s="946"/>
      <c r="L128" s="947"/>
      <c r="M128" s="947"/>
      <c r="N128" s="946"/>
      <c r="O128" s="946"/>
      <c r="P128" s="947"/>
      <c r="Q128" s="947"/>
      <c r="R128" s="946"/>
      <c r="S128" s="947"/>
      <c r="T128" s="947"/>
      <c r="U128" s="946"/>
      <c r="V128" s="947"/>
      <c r="W128" s="947"/>
    </row>
    <row r="129" spans="1:23" s="489" customFormat="1" ht="16.5" customHeight="1">
      <c r="A129" s="949"/>
      <c r="B129" s="950"/>
      <c r="C129" s="952"/>
      <c r="D129" s="1008"/>
      <c r="E129" s="961"/>
      <c r="F129" s="949"/>
      <c r="G129" s="950"/>
      <c r="H129" s="488">
        <v>0</v>
      </c>
      <c r="I129" s="488">
        <v>0</v>
      </c>
      <c r="J129" s="946"/>
      <c r="K129" s="946"/>
      <c r="L129" s="947"/>
      <c r="M129" s="947"/>
      <c r="N129" s="946"/>
      <c r="O129" s="946"/>
      <c r="P129" s="947"/>
      <c r="Q129" s="947"/>
      <c r="R129" s="946"/>
      <c r="S129" s="947"/>
      <c r="T129" s="947"/>
      <c r="U129" s="946"/>
      <c r="V129" s="947"/>
      <c r="W129" s="947"/>
    </row>
    <row r="130" spans="1:23" s="489" customFormat="1" ht="16.5" customHeight="1">
      <c r="A130" s="949"/>
      <c r="B130" s="950"/>
      <c r="C130" s="952"/>
      <c r="D130" s="1008"/>
      <c r="E130" s="961"/>
      <c r="F130" s="949"/>
      <c r="G130" s="950"/>
      <c r="H130" s="488">
        <v>3681615</v>
      </c>
      <c r="I130" s="488">
        <v>3136459</v>
      </c>
      <c r="J130" s="946"/>
      <c r="K130" s="946"/>
      <c r="L130" s="947"/>
      <c r="M130" s="947"/>
      <c r="N130" s="946"/>
      <c r="O130" s="946"/>
      <c r="P130" s="947"/>
      <c r="Q130" s="947"/>
      <c r="R130" s="946"/>
      <c r="S130" s="947"/>
      <c r="T130" s="947"/>
      <c r="U130" s="946"/>
      <c r="V130" s="947"/>
      <c r="W130" s="947"/>
    </row>
    <row r="131" spans="1:23" s="489" customFormat="1" ht="16.5" customHeight="1">
      <c r="A131" s="949"/>
      <c r="B131" s="950"/>
      <c r="C131" s="952"/>
      <c r="D131" s="1008"/>
      <c r="E131" s="962"/>
      <c r="F131" s="949"/>
      <c r="G131" s="950"/>
      <c r="H131" s="488">
        <v>1471650</v>
      </c>
      <c r="I131" s="488">
        <v>1257696</v>
      </c>
      <c r="J131" s="946"/>
      <c r="K131" s="946"/>
      <c r="L131" s="947"/>
      <c r="M131" s="947"/>
      <c r="N131" s="946"/>
      <c r="O131" s="946"/>
      <c r="P131" s="947"/>
      <c r="Q131" s="947"/>
      <c r="R131" s="946"/>
      <c r="S131" s="947"/>
      <c r="T131" s="947"/>
      <c r="U131" s="946"/>
      <c r="V131" s="947"/>
      <c r="W131" s="947"/>
    </row>
    <row r="132" spans="1:23" s="489" customFormat="1" ht="16.5" customHeight="1">
      <c r="A132" s="949">
        <v>24</v>
      </c>
      <c r="B132" s="950" t="s">
        <v>505</v>
      </c>
      <c r="C132" s="952" t="s">
        <v>618</v>
      </c>
      <c r="D132" s="1008" t="s">
        <v>628</v>
      </c>
      <c r="E132" s="960" t="s">
        <v>601</v>
      </c>
      <c r="F132" s="949" t="s">
        <v>620</v>
      </c>
      <c r="G132" s="950" t="s">
        <v>626</v>
      </c>
      <c r="H132" s="488">
        <f>H133+H134+H135+H136</f>
        <v>37537598</v>
      </c>
      <c r="I132" s="488">
        <f>I133+I134+I135+I136</f>
        <v>0</v>
      </c>
      <c r="J132" s="946">
        <f>K132+N132</f>
        <v>12031658</v>
      </c>
      <c r="K132" s="946">
        <f>L132+M132</f>
        <v>10200000</v>
      </c>
      <c r="L132" s="947">
        <v>0</v>
      </c>
      <c r="M132" s="947">
        <v>10200000</v>
      </c>
      <c r="N132" s="946">
        <f>O132+R132+U132</f>
        <v>1831658</v>
      </c>
      <c r="O132" s="946">
        <f>P132+Q132</f>
        <v>1200000</v>
      </c>
      <c r="P132" s="947">
        <v>0</v>
      </c>
      <c r="Q132" s="947">
        <v>1200000</v>
      </c>
      <c r="R132" s="946">
        <f>S132+T132</f>
        <v>631658</v>
      </c>
      <c r="S132" s="947">
        <v>0</v>
      </c>
      <c r="T132" s="947">
        <v>631658</v>
      </c>
      <c r="U132" s="946">
        <f>V132+W132</f>
        <v>0</v>
      </c>
      <c r="V132" s="947">
        <v>0</v>
      </c>
      <c r="W132" s="947">
        <v>0</v>
      </c>
    </row>
    <row r="133" spans="1:23" s="489" customFormat="1" ht="16.5" customHeight="1">
      <c r="A133" s="949"/>
      <c r="B133" s="950"/>
      <c r="C133" s="952"/>
      <c r="D133" s="1008"/>
      <c r="E133" s="961"/>
      <c r="F133" s="949"/>
      <c r="G133" s="950"/>
      <c r="H133" s="488">
        <v>31400504</v>
      </c>
      <c r="I133" s="488">
        <v>0</v>
      </c>
      <c r="J133" s="946"/>
      <c r="K133" s="946"/>
      <c r="L133" s="947"/>
      <c r="M133" s="947"/>
      <c r="N133" s="946"/>
      <c r="O133" s="946"/>
      <c r="P133" s="947"/>
      <c r="Q133" s="947"/>
      <c r="R133" s="946"/>
      <c r="S133" s="947"/>
      <c r="T133" s="947"/>
      <c r="U133" s="946"/>
      <c r="V133" s="947"/>
      <c r="W133" s="947"/>
    </row>
    <row r="134" spans="1:23" s="489" customFormat="1" ht="16.5" customHeight="1">
      <c r="A134" s="949"/>
      <c r="B134" s="950"/>
      <c r="C134" s="952"/>
      <c r="D134" s="1008"/>
      <c r="E134" s="961"/>
      <c r="F134" s="949"/>
      <c r="G134" s="950"/>
      <c r="H134" s="488">
        <v>3694177</v>
      </c>
      <c r="I134" s="488">
        <v>0</v>
      </c>
      <c r="J134" s="946"/>
      <c r="K134" s="946"/>
      <c r="L134" s="947"/>
      <c r="M134" s="947"/>
      <c r="N134" s="946"/>
      <c r="O134" s="946"/>
      <c r="P134" s="947"/>
      <c r="Q134" s="947"/>
      <c r="R134" s="946"/>
      <c r="S134" s="947"/>
      <c r="T134" s="947"/>
      <c r="U134" s="946"/>
      <c r="V134" s="947"/>
      <c r="W134" s="947"/>
    </row>
    <row r="135" spans="1:23" s="489" customFormat="1" ht="16.5" customHeight="1">
      <c r="A135" s="949"/>
      <c r="B135" s="950"/>
      <c r="C135" s="952"/>
      <c r="D135" s="1008"/>
      <c r="E135" s="961"/>
      <c r="F135" s="949"/>
      <c r="G135" s="950"/>
      <c r="H135" s="488">
        <v>2442917</v>
      </c>
      <c r="I135" s="488">
        <v>0</v>
      </c>
      <c r="J135" s="946"/>
      <c r="K135" s="946"/>
      <c r="L135" s="947"/>
      <c r="M135" s="947"/>
      <c r="N135" s="946"/>
      <c r="O135" s="946"/>
      <c r="P135" s="947"/>
      <c r="Q135" s="947"/>
      <c r="R135" s="946"/>
      <c r="S135" s="947"/>
      <c r="T135" s="947"/>
      <c r="U135" s="946"/>
      <c r="V135" s="947"/>
      <c r="W135" s="947"/>
    </row>
    <row r="136" spans="1:23" s="489" customFormat="1" ht="16.5" customHeight="1">
      <c r="A136" s="949"/>
      <c r="B136" s="950"/>
      <c r="C136" s="952"/>
      <c r="D136" s="1008"/>
      <c r="E136" s="962"/>
      <c r="F136" s="949"/>
      <c r="G136" s="950"/>
      <c r="H136" s="488">
        <v>0</v>
      </c>
      <c r="I136" s="488">
        <v>0</v>
      </c>
      <c r="J136" s="946"/>
      <c r="K136" s="946"/>
      <c r="L136" s="947"/>
      <c r="M136" s="947"/>
      <c r="N136" s="946"/>
      <c r="O136" s="946"/>
      <c r="P136" s="947"/>
      <c r="Q136" s="947"/>
      <c r="R136" s="946"/>
      <c r="S136" s="947"/>
      <c r="T136" s="947"/>
      <c r="U136" s="946"/>
      <c r="V136" s="947"/>
      <c r="W136" s="947"/>
    </row>
    <row r="137" spans="1:23" s="489" customFormat="1" ht="16.5" customHeight="1">
      <c r="A137" s="949">
        <v>25</v>
      </c>
      <c r="B137" s="952" t="s">
        <v>629</v>
      </c>
      <c r="C137" s="952" t="s">
        <v>630</v>
      </c>
      <c r="D137" s="1008" t="s">
        <v>631</v>
      </c>
      <c r="E137" s="949" t="s">
        <v>572</v>
      </c>
      <c r="F137" s="949" t="s">
        <v>632</v>
      </c>
      <c r="G137" s="950" t="s">
        <v>582</v>
      </c>
      <c r="H137" s="488">
        <f>H138+H139+H140+H141</f>
        <v>9999825</v>
      </c>
      <c r="I137" s="488">
        <f>I138+I139+I140+I141</f>
        <v>999983</v>
      </c>
      <c r="J137" s="946">
        <f>K137+N137</f>
        <v>4999912</v>
      </c>
      <c r="K137" s="946">
        <f>L137+M137</f>
        <v>4249925</v>
      </c>
      <c r="L137" s="947">
        <v>85168</v>
      </c>
      <c r="M137" s="947">
        <v>4164757</v>
      </c>
      <c r="N137" s="946">
        <f>O137+R137+U137</f>
        <v>749987</v>
      </c>
      <c r="O137" s="946">
        <f>P137+Q137</f>
        <v>0</v>
      </c>
      <c r="P137" s="947">
        <v>0</v>
      </c>
      <c r="Q137" s="947">
        <v>0</v>
      </c>
      <c r="R137" s="946">
        <f>S137+T137</f>
        <v>749987</v>
      </c>
      <c r="S137" s="947">
        <v>15030</v>
      </c>
      <c r="T137" s="947">
        <v>734957</v>
      </c>
      <c r="U137" s="946">
        <f>V137+W137</f>
        <v>0</v>
      </c>
      <c r="V137" s="947">
        <v>0</v>
      </c>
      <c r="W137" s="947">
        <v>0</v>
      </c>
    </row>
    <row r="138" spans="1:23" s="489" customFormat="1" ht="16.5" customHeight="1">
      <c r="A138" s="949"/>
      <c r="B138" s="952"/>
      <c r="C138" s="952"/>
      <c r="D138" s="1008"/>
      <c r="E138" s="949"/>
      <c r="F138" s="949"/>
      <c r="G138" s="950"/>
      <c r="H138" s="488">
        <v>8499850</v>
      </c>
      <c r="I138" s="488">
        <v>849985</v>
      </c>
      <c r="J138" s="946"/>
      <c r="K138" s="946"/>
      <c r="L138" s="947"/>
      <c r="M138" s="947"/>
      <c r="N138" s="946"/>
      <c r="O138" s="946"/>
      <c r="P138" s="947"/>
      <c r="Q138" s="947"/>
      <c r="R138" s="946"/>
      <c r="S138" s="947"/>
      <c r="T138" s="947"/>
      <c r="U138" s="946"/>
      <c r="V138" s="947"/>
      <c r="W138" s="947"/>
    </row>
    <row r="139" spans="1:23" s="489" customFormat="1" ht="16.5" customHeight="1">
      <c r="A139" s="949"/>
      <c r="B139" s="952"/>
      <c r="C139" s="952"/>
      <c r="D139" s="1008"/>
      <c r="E139" s="949"/>
      <c r="F139" s="949"/>
      <c r="G139" s="950"/>
      <c r="H139" s="488">
        <v>0</v>
      </c>
      <c r="I139" s="488">
        <v>0</v>
      </c>
      <c r="J139" s="946"/>
      <c r="K139" s="946"/>
      <c r="L139" s="947"/>
      <c r="M139" s="947"/>
      <c r="N139" s="946"/>
      <c r="O139" s="946"/>
      <c r="P139" s="947"/>
      <c r="Q139" s="947"/>
      <c r="R139" s="946"/>
      <c r="S139" s="947"/>
      <c r="T139" s="947"/>
      <c r="U139" s="946"/>
      <c r="V139" s="947"/>
      <c r="W139" s="947"/>
    </row>
    <row r="140" spans="1:23" s="489" customFormat="1" ht="16.5" customHeight="1">
      <c r="A140" s="949"/>
      <c r="B140" s="952"/>
      <c r="C140" s="952"/>
      <c r="D140" s="1008"/>
      <c r="E140" s="949"/>
      <c r="F140" s="949"/>
      <c r="G140" s="950"/>
      <c r="H140" s="488">
        <v>1499975</v>
      </c>
      <c r="I140" s="488">
        <v>149998</v>
      </c>
      <c r="J140" s="946"/>
      <c r="K140" s="946"/>
      <c r="L140" s="947"/>
      <c r="M140" s="947"/>
      <c r="N140" s="946"/>
      <c r="O140" s="946"/>
      <c r="P140" s="947"/>
      <c r="Q140" s="947"/>
      <c r="R140" s="946"/>
      <c r="S140" s="947"/>
      <c r="T140" s="947"/>
      <c r="U140" s="946"/>
      <c r="V140" s="947"/>
      <c r="W140" s="947"/>
    </row>
    <row r="141" spans="1:23" s="489" customFormat="1" ht="16.5" customHeight="1">
      <c r="A141" s="949"/>
      <c r="B141" s="952"/>
      <c r="C141" s="952"/>
      <c r="D141" s="1008"/>
      <c r="E141" s="949"/>
      <c r="F141" s="949"/>
      <c r="G141" s="950"/>
      <c r="H141" s="488">
        <v>0</v>
      </c>
      <c r="I141" s="488">
        <v>0</v>
      </c>
      <c r="J141" s="946"/>
      <c r="K141" s="946"/>
      <c r="L141" s="947"/>
      <c r="M141" s="947"/>
      <c r="N141" s="946"/>
      <c r="O141" s="946"/>
      <c r="P141" s="947"/>
      <c r="Q141" s="947"/>
      <c r="R141" s="946"/>
      <c r="S141" s="947"/>
      <c r="T141" s="947"/>
      <c r="U141" s="946"/>
      <c r="V141" s="947"/>
      <c r="W141" s="947"/>
    </row>
    <row r="142" spans="1:23" s="489" customFormat="1" ht="16.5" customHeight="1">
      <c r="A142" s="949">
        <v>26</v>
      </c>
      <c r="B142" s="1005" t="s">
        <v>633</v>
      </c>
      <c r="C142" s="976" t="s">
        <v>634</v>
      </c>
      <c r="D142" s="1009" t="s">
        <v>635</v>
      </c>
      <c r="E142" s="978" t="s">
        <v>572</v>
      </c>
      <c r="F142" s="978" t="s">
        <v>636</v>
      </c>
      <c r="G142" s="1010" t="s">
        <v>637</v>
      </c>
      <c r="H142" s="490">
        <f>H143+H144+H145+H146</f>
        <v>75585611</v>
      </c>
      <c r="I142" s="490">
        <f>I143+I144+I145+I146</f>
        <v>73090473</v>
      </c>
      <c r="J142" s="946">
        <f>K142+N142</f>
        <v>2495138</v>
      </c>
      <c r="K142" s="946">
        <f>L142+M142</f>
        <v>2245624</v>
      </c>
      <c r="L142" s="947">
        <v>116190</v>
      </c>
      <c r="M142" s="947">
        <v>2129434</v>
      </c>
      <c r="N142" s="946">
        <f>O142+R142+U142</f>
        <v>249514</v>
      </c>
      <c r="O142" s="946">
        <f>P142+Q142</f>
        <v>249514</v>
      </c>
      <c r="P142" s="947">
        <v>12910</v>
      </c>
      <c r="Q142" s="947">
        <v>236604</v>
      </c>
      <c r="R142" s="946">
        <f>S142+T142</f>
        <v>0</v>
      </c>
      <c r="S142" s="947">
        <v>0</v>
      </c>
      <c r="T142" s="947">
        <v>0</v>
      </c>
      <c r="U142" s="946">
        <f>V142+W142</f>
        <v>0</v>
      </c>
      <c r="V142" s="947">
        <v>0</v>
      </c>
      <c r="W142" s="947">
        <v>0</v>
      </c>
    </row>
    <row r="143" spans="1:23" s="489" customFormat="1" ht="16.5" customHeight="1">
      <c r="A143" s="949"/>
      <c r="B143" s="1006"/>
      <c r="C143" s="976"/>
      <c r="D143" s="1009"/>
      <c r="E143" s="978"/>
      <c r="F143" s="978"/>
      <c r="G143" s="1010"/>
      <c r="H143" s="490">
        <v>68027050</v>
      </c>
      <c r="I143" s="490">
        <v>65781426</v>
      </c>
      <c r="J143" s="946"/>
      <c r="K143" s="946"/>
      <c r="L143" s="947"/>
      <c r="M143" s="947"/>
      <c r="N143" s="946"/>
      <c r="O143" s="946"/>
      <c r="P143" s="947"/>
      <c r="Q143" s="947"/>
      <c r="R143" s="946"/>
      <c r="S143" s="947"/>
      <c r="T143" s="947"/>
      <c r="U143" s="946"/>
      <c r="V143" s="947"/>
      <c r="W143" s="947"/>
    </row>
    <row r="144" spans="1:23" s="489" customFormat="1" ht="16.5" customHeight="1">
      <c r="A144" s="949"/>
      <c r="B144" s="1006"/>
      <c r="C144" s="976"/>
      <c r="D144" s="1009"/>
      <c r="E144" s="978"/>
      <c r="F144" s="978"/>
      <c r="G144" s="1010"/>
      <c r="H144" s="490">
        <v>7558561</v>
      </c>
      <c r="I144" s="490">
        <v>7309047</v>
      </c>
      <c r="J144" s="946"/>
      <c r="K144" s="946"/>
      <c r="L144" s="947"/>
      <c r="M144" s="947"/>
      <c r="N144" s="946"/>
      <c r="O144" s="946"/>
      <c r="P144" s="947"/>
      <c r="Q144" s="947"/>
      <c r="R144" s="946"/>
      <c r="S144" s="947"/>
      <c r="T144" s="947"/>
      <c r="U144" s="946"/>
      <c r="V144" s="947"/>
      <c r="W144" s="947"/>
    </row>
    <row r="145" spans="1:23" s="489" customFormat="1" ht="16.5" customHeight="1">
      <c r="A145" s="949"/>
      <c r="B145" s="1006"/>
      <c r="C145" s="976"/>
      <c r="D145" s="1009"/>
      <c r="E145" s="978"/>
      <c r="F145" s="978"/>
      <c r="G145" s="1010"/>
      <c r="H145" s="490">
        <v>0</v>
      </c>
      <c r="I145" s="490">
        <v>0</v>
      </c>
      <c r="J145" s="946"/>
      <c r="K145" s="946"/>
      <c r="L145" s="947"/>
      <c r="M145" s="947"/>
      <c r="N145" s="946"/>
      <c r="O145" s="946"/>
      <c r="P145" s="947"/>
      <c r="Q145" s="947"/>
      <c r="R145" s="946"/>
      <c r="S145" s="947"/>
      <c r="T145" s="947"/>
      <c r="U145" s="946"/>
      <c r="V145" s="947"/>
      <c r="W145" s="947"/>
    </row>
    <row r="146" spans="1:23" s="489" customFormat="1" ht="16.5" customHeight="1">
      <c r="A146" s="949"/>
      <c r="B146" s="1007"/>
      <c r="C146" s="976"/>
      <c r="D146" s="1009"/>
      <c r="E146" s="978"/>
      <c r="F146" s="978"/>
      <c r="G146" s="1010"/>
      <c r="H146" s="490">
        <v>0</v>
      </c>
      <c r="I146" s="490">
        <v>0</v>
      </c>
      <c r="J146" s="946"/>
      <c r="K146" s="946"/>
      <c r="L146" s="947"/>
      <c r="M146" s="947"/>
      <c r="N146" s="946"/>
      <c r="O146" s="946"/>
      <c r="P146" s="947"/>
      <c r="Q146" s="947"/>
      <c r="R146" s="946"/>
      <c r="S146" s="947"/>
      <c r="T146" s="947"/>
      <c r="U146" s="946"/>
      <c r="V146" s="947"/>
      <c r="W146" s="947"/>
    </row>
    <row r="147" spans="1:23" s="489" customFormat="1" ht="16.5" customHeight="1">
      <c r="A147" s="949">
        <v>27</v>
      </c>
      <c r="B147" s="1005" t="s">
        <v>633</v>
      </c>
      <c r="C147" s="976" t="s">
        <v>634</v>
      </c>
      <c r="D147" s="1009" t="s">
        <v>638</v>
      </c>
      <c r="E147" s="978" t="s">
        <v>639</v>
      </c>
      <c r="F147" s="978" t="s">
        <v>636</v>
      </c>
      <c r="G147" s="1010" t="s">
        <v>617</v>
      </c>
      <c r="H147" s="490">
        <f>H148+H149+H150+H151</f>
        <v>50141090</v>
      </c>
      <c r="I147" s="490">
        <f>I148+I149+I150+I151</f>
        <v>36279068</v>
      </c>
      <c r="J147" s="946">
        <f>K147+N147</f>
        <v>13862022</v>
      </c>
      <c r="K147" s="946">
        <f>L147+M147</f>
        <v>12475818</v>
      </c>
      <c r="L147" s="947">
        <v>959133</v>
      </c>
      <c r="M147" s="947">
        <v>11516685</v>
      </c>
      <c r="N147" s="946">
        <f>O147+R147+U147</f>
        <v>1386204</v>
      </c>
      <c r="O147" s="946">
        <f>P147+Q147</f>
        <v>1386204</v>
      </c>
      <c r="P147" s="947">
        <v>106573</v>
      </c>
      <c r="Q147" s="947">
        <v>1279631</v>
      </c>
      <c r="R147" s="946">
        <f>S147+T147</f>
        <v>0</v>
      </c>
      <c r="S147" s="947">
        <v>0</v>
      </c>
      <c r="T147" s="947">
        <v>0</v>
      </c>
      <c r="U147" s="946">
        <f>V147+W147</f>
        <v>0</v>
      </c>
      <c r="V147" s="947">
        <v>0</v>
      </c>
      <c r="W147" s="947">
        <v>0</v>
      </c>
    </row>
    <row r="148" spans="1:23" s="489" customFormat="1" ht="16.5" customHeight="1">
      <c r="A148" s="949"/>
      <c r="B148" s="1006"/>
      <c r="C148" s="976"/>
      <c r="D148" s="1009"/>
      <c r="E148" s="978"/>
      <c r="F148" s="978"/>
      <c r="G148" s="1010"/>
      <c r="H148" s="490">
        <v>45126980</v>
      </c>
      <c r="I148" s="490">
        <v>32651162</v>
      </c>
      <c r="J148" s="946"/>
      <c r="K148" s="946"/>
      <c r="L148" s="947"/>
      <c r="M148" s="947"/>
      <c r="N148" s="946"/>
      <c r="O148" s="946"/>
      <c r="P148" s="947"/>
      <c r="Q148" s="947"/>
      <c r="R148" s="946"/>
      <c r="S148" s="947"/>
      <c r="T148" s="947"/>
      <c r="U148" s="946"/>
      <c r="V148" s="947"/>
      <c r="W148" s="947"/>
    </row>
    <row r="149" spans="1:23" s="489" customFormat="1" ht="16.5" customHeight="1">
      <c r="A149" s="949"/>
      <c r="B149" s="1006"/>
      <c r="C149" s="976"/>
      <c r="D149" s="1009"/>
      <c r="E149" s="978"/>
      <c r="F149" s="978"/>
      <c r="G149" s="1010"/>
      <c r="H149" s="490">
        <v>5014110</v>
      </c>
      <c r="I149" s="490">
        <v>3627906</v>
      </c>
      <c r="J149" s="946"/>
      <c r="K149" s="946"/>
      <c r="L149" s="947"/>
      <c r="M149" s="947"/>
      <c r="N149" s="946"/>
      <c r="O149" s="946"/>
      <c r="P149" s="947"/>
      <c r="Q149" s="947"/>
      <c r="R149" s="946"/>
      <c r="S149" s="947"/>
      <c r="T149" s="947"/>
      <c r="U149" s="946"/>
      <c r="V149" s="947"/>
      <c r="W149" s="947"/>
    </row>
    <row r="150" spans="1:23" s="489" customFormat="1" ht="16.5" customHeight="1">
      <c r="A150" s="949"/>
      <c r="B150" s="1006"/>
      <c r="C150" s="976"/>
      <c r="D150" s="1009"/>
      <c r="E150" s="978"/>
      <c r="F150" s="978"/>
      <c r="G150" s="1010"/>
      <c r="H150" s="490">
        <v>0</v>
      </c>
      <c r="I150" s="490">
        <v>0</v>
      </c>
      <c r="J150" s="946"/>
      <c r="K150" s="946"/>
      <c r="L150" s="947"/>
      <c r="M150" s="947"/>
      <c r="N150" s="946"/>
      <c r="O150" s="946"/>
      <c r="P150" s="947"/>
      <c r="Q150" s="947"/>
      <c r="R150" s="946"/>
      <c r="S150" s="947"/>
      <c r="T150" s="947"/>
      <c r="U150" s="946"/>
      <c r="V150" s="947"/>
      <c r="W150" s="947"/>
    </row>
    <row r="151" spans="1:23" s="489" customFormat="1" ht="16.5" customHeight="1">
      <c r="A151" s="949"/>
      <c r="B151" s="1007"/>
      <c r="C151" s="976"/>
      <c r="D151" s="1009"/>
      <c r="E151" s="978"/>
      <c r="F151" s="978"/>
      <c r="G151" s="1010"/>
      <c r="H151" s="490">
        <v>0</v>
      </c>
      <c r="I151" s="490">
        <v>0</v>
      </c>
      <c r="J151" s="946"/>
      <c r="K151" s="946"/>
      <c r="L151" s="947"/>
      <c r="M151" s="947"/>
      <c r="N151" s="946"/>
      <c r="O151" s="946"/>
      <c r="P151" s="947"/>
      <c r="Q151" s="947"/>
      <c r="R151" s="946"/>
      <c r="S151" s="947"/>
      <c r="T151" s="947"/>
      <c r="U151" s="946"/>
      <c r="V151" s="947"/>
      <c r="W151" s="947"/>
    </row>
    <row r="152" spans="1:23" s="489" customFormat="1" ht="16.5" customHeight="1">
      <c r="A152" s="949">
        <v>28</v>
      </c>
      <c r="B152" s="950" t="s">
        <v>640</v>
      </c>
      <c r="C152" s="952" t="s">
        <v>641</v>
      </c>
      <c r="D152" s="1008" t="s">
        <v>642</v>
      </c>
      <c r="E152" s="949" t="s">
        <v>572</v>
      </c>
      <c r="F152" s="949" t="s">
        <v>643</v>
      </c>
      <c r="G152" s="950" t="s">
        <v>644</v>
      </c>
      <c r="H152" s="488">
        <f>H153+H154+H155+H156</f>
        <v>7809884</v>
      </c>
      <c r="I152" s="488">
        <f>I153+I154+I155+I156</f>
        <v>7598060</v>
      </c>
      <c r="J152" s="946">
        <f>K152+N152</f>
        <v>211824</v>
      </c>
      <c r="K152" s="946">
        <f>L152+M152</f>
        <v>180051</v>
      </c>
      <c r="L152" s="947">
        <v>0</v>
      </c>
      <c r="M152" s="947">
        <v>180051</v>
      </c>
      <c r="N152" s="946">
        <f>O152+R152+U152</f>
        <v>31773</v>
      </c>
      <c r="O152" s="946">
        <f>P152+Q152</f>
        <v>0</v>
      </c>
      <c r="P152" s="947">
        <v>0</v>
      </c>
      <c r="Q152" s="947">
        <v>0</v>
      </c>
      <c r="R152" s="946">
        <f>S152+T152</f>
        <v>31773</v>
      </c>
      <c r="S152" s="947">
        <v>0</v>
      </c>
      <c r="T152" s="947">
        <v>31773</v>
      </c>
      <c r="U152" s="946">
        <f>V152+W152</f>
        <v>0</v>
      </c>
      <c r="V152" s="947">
        <v>0</v>
      </c>
      <c r="W152" s="947">
        <v>0</v>
      </c>
    </row>
    <row r="153" spans="1:23" s="489" customFormat="1" ht="16.5" customHeight="1">
      <c r="A153" s="949"/>
      <c r="B153" s="950"/>
      <c r="C153" s="952"/>
      <c r="D153" s="1008"/>
      <c r="E153" s="949"/>
      <c r="F153" s="949"/>
      <c r="G153" s="950"/>
      <c r="H153" s="488">
        <v>4395978</v>
      </c>
      <c r="I153" s="488">
        <v>4215927</v>
      </c>
      <c r="J153" s="946"/>
      <c r="K153" s="946"/>
      <c r="L153" s="947"/>
      <c r="M153" s="947"/>
      <c r="N153" s="946"/>
      <c r="O153" s="946"/>
      <c r="P153" s="947"/>
      <c r="Q153" s="947"/>
      <c r="R153" s="946"/>
      <c r="S153" s="947"/>
      <c r="T153" s="947"/>
      <c r="U153" s="946"/>
      <c r="V153" s="947"/>
      <c r="W153" s="947"/>
    </row>
    <row r="154" spans="1:23" s="489" customFormat="1" ht="16.5" customHeight="1">
      <c r="A154" s="949"/>
      <c r="B154" s="950"/>
      <c r="C154" s="952"/>
      <c r="D154" s="1008"/>
      <c r="E154" s="949"/>
      <c r="F154" s="949"/>
      <c r="G154" s="950"/>
      <c r="H154" s="488">
        <v>0</v>
      </c>
      <c r="I154" s="488">
        <v>0</v>
      </c>
      <c r="J154" s="946"/>
      <c r="K154" s="946"/>
      <c r="L154" s="947"/>
      <c r="M154" s="947"/>
      <c r="N154" s="946"/>
      <c r="O154" s="946"/>
      <c r="P154" s="947"/>
      <c r="Q154" s="947"/>
      <c r="R154" s="946"/>
      <c r="S154" s="947"/>
      <c r="T154" s="947"/>
      <c r="U154" s="946"/>
      <c r="V154" s="947"/>
      <c r="W154" s="947"/>
    </row>
    <row r="155" spans="1:23" s="489" customFormat="1" ht="16.5" customHeight="1">
      <c r="A155" s="949"/>
      <c r="B155" s="950"/>
      <c r="C155" s="952"/>
      <c r="D155" s="1008"/>
      <c r="E155" s="949"/>
      <c r="F155" s="949"/>
      <c r="G155" s="950"/>
      <c r="H155" s="488">
        <v>3413906</v>
      </c>
      <c r="I155" s="488">
        <v>3382133</v>
      </c>
      <c r="J155" s="946"/>
      <c r="K155" s="946"/>
      <c r="L155" s="947"/>
      <c r="M155" s="947"/>
      <c r="N155" s="946"/>
      <c r="O155" s="946"/>
      <c r="P155" s="947"/>
      <c r="Q155" s="947"/>
      <c r="R155" s="946"/>
      <c r="S155" s="947"/>
      <c r="T155" s="947"/>
      <c r="U155" s="946"/>
      <c r="V155" s="947"/>
      <c r="W155" s="947"/>
    </row>
    <row r="156" spans="1:23" s="489" customFormat="1" ht="16.5" customHeight="1">
      <c r="A156" s="949"/>
      <c r="B156" s="950"/>
      <c r="C156" s="952"/>
      <c r="D156" s="1008"/>
      <c r="E156" s="949"/>
      <c r="F156" s="949"/>
      <c r="G156" s="950"/>
      <c r="H156" s="488">
        <v>0</v>
      </c>
      <c r="I156" s="488">
        <v>0</v>
      </c>
      <c r="J156" s="946"/>
      <c r="K156" s="946"/>
      <c r="L156" s="947"/>
      <c r="M156" s="947"/>
      <c r="N156" s="946"/>
      <c r="O156" s="946"/>
      <c r="P156" s="947"/>
      <c r="Q156" s="947"/>
      <c r="R156" s="946"/>
      <c r="S156" s="947"/>
      <c r="T156" s="947"/>
      <c r="U156" s="946"/>
      <c r="V156" s="947"/>
      <c r="W156" s="947"/>
    </row>
    <row r="157" spans="1:23" s="489" customFormat="1" ht="15.75" customHeight="1">
      <c r="A157" s="949">
        <v>29</v>
      </c>
      <c r="B157" s="950" t="s">
        <v>640</v>
      </c>
      <c r="C157" s="952" t="s">
        <v>641</v>
      </c>
      <c r="D157" s="1008" t="s">
        <v>645</v>
      </c>
      <c r="E157" s="949" t="s">
        <v>572</v>
      </c>
      <c r="F157" s="949" t="s">
        <v>643</v>
      </c>
      <c r="G157" s="950" t="s">
        <v>612</v>
      </c>
      <c r="H157" s="488">
        <f>H158+H159+H160+H161</f>
        <v>5537885</v>
      </c>
      <c r="I157" s="488">
        <f>I158+I159+I160+I161</f>
        <v>120607</v>
      </c>
      <c r="J157" s="946">
        <f>K157+N157</f>
        <v>2847121</v>
      </c>
      <c r="K157" s="946">
        <f>L157+M157</f>
        <v>2054257</v>
      </c>
      <c r="L157" s="947">
        <v>29532</v>
      </c>
      <c r="M157" s="947">
        <v>2024725</v>
      </c>
      <c r="N157" s="946">
        <f>O157+R157+U157</f>
        <v>792864</v>
      </c>
      <c r="O157" s="946">
        <f>P157+Q157</f>
        <v>241678</v>
      </c>
      <c r="P157" s="947">
        <v>3475</v>
      </c>
      <c r="Q157" s="947">
        <v>238203</v>
      </c>
      <c r="R157" s="946">
        <f>S157+T157</f>
        <v>551186</v>
      </c>
      <c r="S157" s="947">
        <v>1737</v>
      </c>
      <c r="T157" s="947">
        <v>549449</v>
      </c>
      <c r="U157" s="946">
        <f>V157+W157</f>
        <v>0</v>
      </c>
      <c r="V157" s="947">
        <v>0</v>
      </c>
      <c r="W157" s="947">
        <v>0</v>
      </c>
    </row>
    <row r="158" spans="1:23" s="489" customFormat="1" ht="15.75" customHeight="1">
      <c r="A158" s="949"/>
      <c r="B158" s="950"/>
      <c r="C158" s="952"/>
      <c r="D158" s="1008"/>
      <c r="E158" s="949"/>
      <c r="F158" s="949"/>
      <c r="G158" s="950"/>
      <c r="H158" s="488">
        <v>4152967</v>
      </c>
      <c r="I158" s="488">
        <v>102516</v>
      </c>
      <c r="J158" s="946"/>
      <c r="K158" s="946"/>
      <c r="L158" s="947"/>
      <c r="M158" s="947"/>
      <c r="N158" s="946"/>
      <c r="O158" s="946"/>
      <c r="P158" s="947"/>
      <c r="Q158" s="947"/>
      <c r="R158" s="946"/>
      <c r="S158" s="947"/>
      <c r="T158" s="947"/>
      <c r="U158" s="946"/>
      <c r="V158" s="947"/>
      <c r="W158" s="947"/>
    </row>
    <row r="159" spans="1:23" s="489" customFormat="1" ht="15.75" customHeight="1">
      <c r="A159" s="949"/>
      <c r="B159" s="950"/>
      <c r="C159" s="952"/>
      <c r="D159" s="1008"/>
      <c r="E159" s="949"/>
      <c r="F159" s="949"/>
      <c r="G159" s="950"/>
      <c r="H159" s="488">
        <v>488586</v>
      </c>
      <c r="I159" s="488">
        <v>12061</v>
      </c>
      <c r="J159" s="946"/>
      <c r="K159" s="946"/>
      <c r="L159" s="947"/>
      <c r="M159" s="947"/>
      <c r="N159" s="946"/>
      <c r="O159" s="946"/>
      <c r="P159" s="947"/>
      <c r="Q159" s="947"/>
      <c r="R159" s="946"/>
      <c r="S159" s="947"/>
      <c r="T159" s="947"/>
      <c r="U159" s="946"/>
      <c r="V159" s="947"/>
      <c r="W159" s="947"/>
    </row>
    <row r="160" spans="1:23" s="489" customFormat="1" ht="15.75" customHeight="1">
      <c r="A160" s="949"/>
      <c r="B160" s="950"/>
      <c r="C160" s="952"/>
      <c r="D160" s="1008"/>
      <c r="E160" s="949"/>
      <c r="F160" s="949"/>
      <c r="G160" s="950"/>
      <c r="H160" s="488">
        <v>896332</v>
      </c>
      <c r="I160" s="488">
        <v>6030</v>
      </c>
      <c r="J160" s="946"/>
      <c r="K160" s="946"/>
      <c r="L160" s="947"/>
      <c r="M160" s="947"/>
      <c r="N160" s="946"/>
      <c r="O160" s="946"/>
      <c r="P160" s="947"/>
      <c r="Q160" s="947"/>
      <c r="R160" s="946"/>
      <c r="S160" s="947"/>
      <c r="T160" s="947"/>
      <c r="U160" s="946"/>
      <c r="V160" s="947"/>
      <c r="W160" s="947"/>
    </row>
    <row r="161" spans="1:23" s="489" customFormat="1" ht="15.75" customHeight="1">
      <c r="A161" s="949"/>
      <c r="B161" s="950"/>
      <c r="C161" s="952"/>
      <c r="D161" s="1008"/>
      <c r="E161" s="949"/>
      <c r="F161" s="949"/>
      <c r="G161" s="950"/>
      <c r="H161" s="488">
        <v>0</v>
      </c>
      <c r="I161" s="488">
        <v>0</v>
      </c>
      <c r="J161" s="946"/>
      <c r="K161" s="946"/>
      <c r="L161" s="947"/>
      <c r="M161" s="947"/>
      <c r="N161" s="946"/>
      <c r="O161" s="946"/>
      <c r="P161" s="947"/>
      <c r="Q161" s="947"/>
      <c r="R161" s="946"/>
      <c r="S161" s="947"/>
      <c r="T161" s="947"/>
      <c r="U161" s="946"/>
      <c r="V161" s="947"/>
      <c r="W161" s="947"/>
    </row>
    <row r="162" spans="1:23" s="489" customFormat="1" ht="15.75" customHeight="1">
      <c r="A162" s="949">
        <v>30</v>
      </c>
      <c r="B162" s="950" t="s">
        <v>646</v>
      </c>
      <c r="C162" s="952" t="s">
        <v>21</v>
      </c>
      <c r="D162" s="1008" t="s">
        <v>647</v>
      </c>
      <c r="E162" s="949" t="s">
        <v>572</v>
      </c>
      <c r="F162" s="949" t="s">
        <v>643</v>
      </c>
      <c r="G162" s="950" t="s">
        <v>644</v>
      </c>
      <c r="H162" s="488">
        <f>H163+H164+H165+H166</f>
        <v>27867571</v>
      </c>
      <c r="I162" s="488">
        <f>I163+I164+I165+I166</f>
        <v>26940744</v>
      </c>
      <c r="J162" s="946">
        <f>K162+N162</f>
        <v>926827</v>
      </c>
      <c r="K162" s="946">
        <f>L162+M162</f>
        <v>566908</v>
      </c>
      <c r="L162" s="947">
        <v>88824</v>
      </c>
      <c r="M162" s="947">
        <v>478084</v>
      </c>
      <c r="N162" s="946">
        <f>O162+R162+U162</f>
        <v>359919</v>
      </c>
      <c r="O162" s="946">
        <f>P162+Q162</f>
        <v>0</v>
      </c>
      <c r="P162" s="947">
        <v>0</v>
      </c>
      <c r="Q162" s="947">
        <v>0</v>
      </c>
      <c r="R162" s="946">
        <f>S162+T162</f>
        <v>359919</v>
      </c>
      <c r="S162" s="947">
        <v>15675</v>
      </c>
      <c r="T162" s="947">
        <v>344244</v>
      </c>
      <c r="U162" s="946">
        <f>V162+W162</f>
        <v>0</v>
      </c>
      <c r="V162" s="947">
        <v>0</v>
      </c>
      <c r="W162" s="947">
        <v>0</v>
      </c>
    </row>
    <row r="163" spans="1:23" s="489" customFormat="1" ht="15.75" customHeight="1">
      <c r="A163" s="949"/>
      <c r="B163" s="950"/>
      <c r="C163" s="952"/>
      <c r="D163" s="1008"/>
      <c r="E163" s="949"/>
      <c r="F163" s="949"/>
      <c r="G163" s="950"/>
      <c r="H163" s="488">
        <v>7574485</v>
      </c>
      <c r="I163" s="488">
        <v>7007577</v>
      </c>
      <c r="J163" s="946"/>
      <c r="K163" s="946"/>
      <c r="L163" s="947"/>
      <c r="M163" s="947"/>
      <c r="N163" s="946"/>
      <c r="O163" s="946"/>
      <c r="P163" s="947"/>
      <c r="Q163" s="947"/>
      <c r="R163" s="946"/>
      <c r="S163" s="947"/>
      <c r="T163" s="947"/>
      <c r="U163" s="946"/>
      <c r="V163" s="947"/>
      <c r="W163" s="947"/>
    </row>
    <row r="164" spans="1:23" s="489" customFormat="1" ht="15.75" customHeight="1">
      <c r="A164" s="949"/>
      <c r="B164" s="950"/>
      <c r="C164" s="952"/>
      <c r="D164" s="1008"/>
      <c r="E164" s="949"/>
      <c r="F164" s="949"/>
      <c r="G164" s="950"/>
      <c r="H164" s="488">
        <v>0</v>
      </c>
      <c r="I164" s="488">
        <v>0</v>
      </c>
      <c r="J164" s="946"/>
      <c r="K164" s="946"/>
      <c r="L164" s="947"/>
      <c r="M164" s="947"/>
      <c r="N164" s="946"/>
      <c r="O164" s="946"/>
      <c r="P164" s="947"/>
      <c r="Q164" s="947"/>
      <c r="R164" s="946"/>
      <c r="S164" s="947"/>
      <c r="T164" s="947"/>
      <c r="U164" s="946"/>
      <c r="V164" s="947"/>
      <c r="W164" s="947"/>
    </row>
    <row r="165" spans="1:23" s="489" customFormat="1" ht="15.75" customHeight="1">
      <c r="A165" s="949"/>
      <c r="B165" s="950"/>
      <c r="C165" s="952"/>
      <c r="D165" s="1008"/>
      <c r="E165" s="949"/>
      <c r="F165" s="949"/>
      <c r="G165" s="950"/>
      <c r="H165" s="488">
        <v>20293086</v>
      </c>
      <c r="I165" s="488">
        <v>19933167</v>
      </c>
      <c r="J165" s="946"/>
      <c r="K165" s="946"/>
      <c r="L165" s="947"/>
      <c r="M165" s="947"/>
      <c r="N165" s="946"/>
      <c r="O165" s="946"/>
      <c r="P165" s="947"/>
      <c r="Q165" s="947"/>
      <c r="R165" s="946"/>
      <c r="S165" s="947"/>
      <c r="T165" s="947"/>
      <c r="U165" s="946"/>
      <c r="V165" s="947"/>
      <c r="W165" s="947"/>
    </row>
    <row r="166" spans="1:23" s="489" customFormat="1" ht="15.75" customHeight="1">
      <c r="A166" s="949"/>
      <c r="B166" s="950"/>
      <c r="C166" s="952"/>
      <c r="D166" s="1008"/>
      <c r="E166" s="949"/>
      <c r="F166" s="949"/>
      <c r="G166" s="950"/>
      <c r="H166" s="488">
        <v>0</v>
      </c>
      <c r="I166" s="488">
        <v>0</v>
      </c>
      <c r="J166" s="946"/>
      <c r="K166" s="946"/>
      <c r="L166" s="947"/>
      <c r="M166" s="947"/>
      <c r="N166" s="946"/>
      <c r="O166" s="946"/>
      <c r="P166" s="947"/>
      <c r="Q166" s="947"/>
      <c r="R166" s="946"/>
      <c r="S166" s="947"/>
      <c r="T166" s="947"/>
      <c r="U166" s="946"/>
      <c r="V166" s="947"/>
      <c r="W166" s="947"/>
    </row>
    <row r="167" spans="1:23" s="489" customFormat="1" ht="15" customHeight="1">
      <c r="A167" s="949">
        <v>31</v>
      </c>
      <c r="B167" s="950" t="s">
        <v>646</v>
      </c>
      <c r="C167" s="952" t="s">
        <v>21</v>
      </c>
      <c r="D167" s="1008" t="s">
        <v>648</v>
      </c>
      <c r="E167" s="949" t="s">
        <v>572</v>
      </c>
      <c r="F167" s="949" t="s">
        <v>643</v>
      </c>
      <c r="G167" s="950" t="s">
        <v>644</v>
      </c>
      <c r="H167" s="488">
        <f>H168+H169+H170+H171</f>
        <v>11218462</v>
      </c>
      <c r="I167" s="488">
        <f>I168+I169+I170+I171</f>
        <v>8657127</v>
      </c>
      <c r="J167" s="946">
        <f>K167+N167</f>
        <v>2561335</v>
      </c>
      <c r="K167" s="946">
        <f>L167+M167</f>
        <v>1608776</v>
      </c>
      <c r="L167" s="947">
        <v>66457</v>
      </c>
      <c r="M167" s="947">
        <v>1542319</v>
      </c>
      <c r="N167" s="946">
        <f>O167+R167+U167</f>
        <v>952559</v>
      </c>
      <c r="O167" s="946">
        <f>P167+Q167</f>
        <v>0</v>
      </c>
      <c r="P167" s="947">
        <v>0</v>
      </c>
      <c r="Q167" s="947">
        <v>0</v>
      </c>
      <c r="R167" s="946">
        <f>S167+T167</f>
        <v>952559</v>
      </c>
      <c r="S167" s="947">
        <v>39347</v>
      </c>
      <c r="T167" s="947">
        <v>913212</v>
      </c>
      <c r="U167" s="946">
        <f>V167+W167</f>
        <v>0</v>
      </c>
      <c r="V167" s="947">
        <v>0</v>
      </c>
      <c r="W167" s="947">
        <v>0</v>
      </c>
    </row>
    <row r="168" spans="1:23" s="489" customFormat="1">
      <c r="A168" s="949"/>
      <c r="B168" s="950"/>
      <c r="C168" s="952"/>
      <c r="D168" s="1008"/>
      <c r="E168" s="949"/>
      <c r="F168" s="949"/>
      <c r="G168" s="950"/>
      <c r="H168" s="488">
        <v>7046316</v>
      </c>
      <c r="I168" s="488">
        <v>5437540</v>
      </c>
      <c r="J168" s="946"/>
      <c r="K168" s="946"/>
      <c r="L168" s="947"/>
      <c r="M168" s="947"/>
      <c r="N168" s="946"/>
      <c r="O168" s="946"/>
      <c r="P168" s="947"/>
      <c r="Q168" s="947"/>
      <c r="R168" s="946"/>
      <c r="S168" s="947"/>
      <c r="T168" s="947"/>
      <c r="U168" s="946"/>
      <c r="V168" s="947"/>
      <c r="W168" s="947"/>
    </row>
    <row r="169" spans="1:23" s="489" customFormat="1">
      <c r="A169" s="949"/>
      <c r="B169" s="950"/>
      <c r="C169" s="952"/>
      <c r="D169" s="1008"/>
      <c r="E169" s="949"/>
      <c r="F169" s="949"/>
      <c r="G169" s="950"/>
      <c r="H169" s="488">
        <v>0</v>
      </c>
      <c r="I169" s="488">
        <v>0</v>
      </c>
      <c r="J169" s="946"/>
      <c r="K169" s="946"/>
      <c r="L169" s="947"/>
      <c r="M169" s="947"/>
      <c r="N169" s="946"/>
      <c r="O169" s="946"/>
      <c r="P169" s="947"/>
      <c r="Q169" s="947"/>
      <c r="R169" s="946"/>
      <c r="S169" s="947"/>
      <c r="T169" s="947"/>
      <c r="U169" s="946"/>
      <c r="V169" s="947"/>
      <c r="W169" s="947"/>
    </row>
    <row r="170" spans="1:23" s="489" customFormat="1">
      <c r="A170" s="949"/>
      <c r="B170" s="950"/>
      <c r="C170" s="952"/>
      <c r="D170" s="1008"/>
      <c r="E170" s="949"/>
      <c r="F170" s="949"/>
      <c r="G170" s="950"/>
      <c r="H170" s="488">
        <v>4172146</v>
      </c>
      <c r="I170" s="488">
        <v>3219587</v>
      </c>
      <c r="J170" s="946"/>
      <c r="K170" s="946"/>
      <c r="L170" s="947"/>
      <c r="M170" s="947"/>
      <c r="N170" s="946"/>
      <c r="O170" s="946"/>
      <c r="P170" s="947"/>
      <c r="Q170" s="947"/>
      <c r="R170" s="946"/>
      <c r="S170" s="947"/>
      <c r="T170" s="947"/>
      <c r="U170" s="946"/>
      <c r="V170" s="947"/>
      <c r="W170" s="947"/>
    </row>
    <row r="171" spans="1:23" s="489" customFormat="1">
      <c r="A171" s="949"/>
      <c r="B171" s="950"/>
      <c r="C171" s="952"/>
      <c r="D171" s="1008"/>
      <c r="E171" s="949"/>
      <c r="F171" s="949"/>
      <c r="G171" s="950"/>
      <c r="H171" s="488">
        <v>0</v>
      </c>
      <c r="I171" s="488">
        <v>0</v>
      </c>
      <c r="J171" s="946"/>
      <c r="K171" s="946"/>
      <c r="L171" s="947"/>
      <c r="M171" s="947"/>
      <c r="N171" s="946"/>
      <c r="O171" s="946"/>
      <c r="P171" s="947"/>
      <c r="Q171" s="947"/>
      <c r="R171" s="946"/>
      <c r="S171" s="947"/>
      <c r="T171" s="947"/>
      <c r="U171" s="946"/>
      <c r="V171" s="947"/>
      <c r="W171" s="947"/>
    </row>
    <row r="172" spans="1:23" s="489" customFormat="1" ht="16.5" customHeight="1">
      <c r="A172" s="949">
        <v>32</v>
      </c>
      <c r="B172" s="950" t="s">
        <v>646</v>
      </c>
      <c r="C172" s="952" t="s">
        <v>21</v>
      </c>
      <c r="D172" s="1008" t="s">
        <v>649</v>
      </c>
      <c r="E172" s="949" t="s">
        <v>572</v>
      </c>
      <c r="F172" s="949" t="s">
        <v>650</v>
      </c>
      <c r="G172" s="950" t="s">
        <v>577</v>
      </c>
      <c r="H172" s="488">
        <f>H173+H174+H175+H176</f>
        <v>12349070</v>
      </c>
      <c r="I172" s="488">
        <f>I173+I174+I175+I176</f>
        <v>4746889</v>
      </c>
      <c r="J172" s="946">
        <f>K172+N172</f>
        <v>7602181</v>
      </c>
      <c r="K172" s="946">
        <f>L172+M172</f>
        <v>5563066</v>
      </c>
      <c r="L172" s="947">
        <v>53864</v>
      </c>
      <c r="M172" s="947">
        <v>5509202</v>
      </c>
      <c r="N172" s="946">
        <f>O172+R172+U172</f>
        <v>2039115</v>
      </c>
      <c r="O172" s="946">
        <f>P172+Q172</f>
        <v>0</v>
      </c>
      <c r="P172" s="947">
        <v>0</v>
      </c>
      <c r="Q172" s="947">
        <v>0</v>
      </c>
      <c r="R172" s="946">
        <f>S172+T172</f>
        <v>2039115</v>
      </c>
      <c r="S172" s="947">
        <v>9505</v>
      </c>
      <c r="T172" s="947">
        <v>2029610</v>
      </c>
      <c r="U172" s="946">
        <f>V172+W172</f>
        <v>0</v>
      </c>
      <c r="V172" s="947">
        <v>0</v>
      </c>
      <c r="W172" s="947">
        <v>0</v>
      </c>
    </row>
    <row r="173" spans="1:23" s="489" customFormat="1" ht="16.5" customHeight="1">
      <c r="A173" s="949"/>
      <c r="B173" s="950"/>
      <c r="C173" s="952"/>
      <c r="D173" s="1008"/>
      <c r="E173" s="949"/>
      <c r="F173" s="949"/>
      <c r="G173" s="950"/>
      <c r="H173" s="488">
        <v>7423868</v>
      </c>
      <c r="I173" s="488">
        <v>1860802</v>
      </c>
      <c r="J173" s="946"/>
      <c r="K173" s="946"/>
      <c r="L173" s="947"/>
      <c r="M173" s="947"/>
      <c r="N173" s="946"/>
      <c r="O173" s="946"/>
      <c r="P173" s="947"/>
      <c r="Q173" s="947"/>
      <c r="R173" s="946"/>
      <c r="S173" s="947"/>
      <c r="T173" s="947"/>
      <c r="U173" s="946"/>
      <c r="V173" s="947"/>
      <c r="W173" s="947"/>
    </row>
    <row r="174" spans="1:23" s="489" customFormat="1" ht="16.5" customHeight="1">
      <c r="A174" s="949"/>
      <c r="B174" s="950"/>
      <c r="C174" s="952"/>
      <c r="D174" s="1008"/>
      <c r="E174" s="949"/>
      <c r="F174" s="949"/>
      <c r="G174" s="950"/>
      <c r="H174" s="488">
        <v>0</v>
      </c>
      <c r="I174" s="488">
        <v>0</v>
      </c>
      <c r="J174" s="946"/>
      <c r="K174" s="946"/>
      <c r="L174" s="947"/>
      <c r="M174" s="947"/>
      <c r="N174" s="946"/>
      <c r="O174" s="946"/>
      <c r="P174" s="947"/>
      <c r="Q174" s="947"/>
      <c r="R174" s="946"/>
      <c r="S174" s="947"/>
      <c r="T174" s="947"/>
      <c r="U174" s="946"/>
      <c r="V174" s="947"/>
      <c r="W174" s="947"/>
    </row>
    <row r="175" spans="1:23" s="489" customFormat="1" ht="16.5" customHeight="1">
      <c r="A175" s="949"/>
      <c r="B175" s="950"/>
      <c r="C175" s="952"/>
      <c r="D175" s="1008"/>
      <c r="E175" s="949"/>
      <c r="F175" s="949"/>
      <c r="G175" s="950"/>
      <c r="H175" s="488">
        <v>4925202</v>
      </c>
      <c r="I175" s="488">
        <v>2886087</v>
      </c>
      <c r="J175" s="946"/>
      <c r="K175" s="946"/>
      <c r="L175" s="947"/>
      <c r="M175" s="947"/>
      <c r="N175" s="946"/>
      <c r="O175" s="946"/>
      <c r="P175" s="947"/>
      <c r="Q175" s="947"/>
      <c r="R175" s="946"/>
      <c r="S175" s="947"/>
      <c r="T175" s="947"/>
      <c r="U175" s="946"/>
      <c r="V175" s="947"/>
      <c r="W175" s="947"/>
    </row>
    <row r="176" spans="1:23" s="489" customFormat="1" ht="16.5" customHeight="1">
      <c r="A176" s="949"/>
      <c r="B176" s="950"/>
      <c r="C176" s="952"/>
      <c r="D176" s="1008"/>
      <c r="E176" s="949"/>
      <c r="F176" s="949"/>
      <c r="G176" s="950"/>
      <c r="H176" s="488">
        <v>0</v>
      </c>
      <c r="I176" s="488">
        <v>0</v>
      </c>
      <c r="J176" s="946"/>
      <c r="K176" s="946"/>
      <c r="L176" s="947"/>
      <c r="M176" s="947"/>
      <c r="N176" s="946"/>
      <c r="O176" s="946"/>
      <c r="P176" s="947"/>
      <c r="Q176" s="947"/>
      <c r="R176" s="946"/>
      <c r="S176" s="947"/>
      <c r="T176" s="947"/>
      <c r="U176" s="946"/>
      <c r="V176" s="947"/>
      <c r="W176" s="947"/>
    </row>
    <row r="177" spans="1:23" s="489" customFormat="1" ht="16.5" customHeight="1">
      <c r="A177" s="949">
        <v>33</v>
      </c>
      <c r="B177" s="950" t="s">
        <v>651</v>
      </c>
      <c r="C177" s="952" t="s">
        <v>652</v>
      </c>
      <c r="D177" s="1008" t="s">
        <v>653</v>
      </c>
      <c r="E177" s="949" t="s">
        <v>572</v>
      </c>
      <c r="F177" s="949" t="s">
        <v>654</v>
      </c>
      <c r="G177" s="950" t="s">
        <v>655</v>
      </c>
      <c r="H177" s="488">
        <f>H178+H179+H180+H181</f>
        <v>755692</v>
      </c>
      <c r="I177" s="488">
        <f>I178+I179+I180+I181</f>
        <v>52315</v>
      </c>
      <c r="J177" s="946">
        <f>K177+N177</f>
        <v>703377</v>
      </c>
      <c r="K177" s="946">
        <f>L177+M177</f>
        <v>668207</v>
      </c>
      <c r="L177" s="947">
        <v>22261</v>
      </c>
      <c r="M177" s="947">
        <v>645946</v>
      </c>
      <c r="N177" s="946">
        <f>O177+R177+U177</f>
        <v>35170</v>
      </c>
      <c r="O177" s="946">
        <f>P177+Q177</f>
        <v>0</v>
      </c>
      <c r="P177" s="947">
        <v>0</v>
      </c>
      <c r="Q177" s="947">
        <v>0</v>
      </c>
      <c r="R177" s="946">
        <f>S177+T177</f>
        <v>35170</v>
      </c>
      <c r="S177" s="947">
        <v>1172</v>
      </c>
      <c r="T177" s="947">
        <v>33998</v>
      </c>
      <c r="U177" s="946">
        <f>V177+W177</f>
        <v>0</v>
      </c>
      <c r="V177" s="947">
        <v>0</v>
      </c>
      <c r="W177" s="947">
        <v>0</v>
      </c>
    </row>
    <row r="178" spans="1:23" s="489" customFormat="1" ht="16.5" customHeight="1">
      <c r="A178" s="949"/>
      <c r="B178" s="950"/>
      <c r="C178" s="952"/>
      <c r="D178" s="1008"/>
      <c r="E178" s="949"/>
      <c r="F178" s="949"/>
      <c r="G178" s="950"/>
      <c r="H178" s="488">
        <v>717906</v>
      </c>
      <c r="I178" s="488">
        <v>49699</v>
      </c>
      <c r="J178" s="946"/>
      <c r="K178" s="946"/>
      <c r="L178" s="947"/>
      <c r="M178" s="947"/>
      <c r="N178" s="946"/>
      <c r="O178" s="946"/>
      <c r="P178" s="947"/>
      <c r="Q178" s="947"/>
      <c r="R178" s="946"/>
      <c r="S178" s="947"/>
      <c r="T178" s="947"/>
      <c r="U178" s="946"/>
      <c r="V178" s="947"/>
      <c r="W178" s="947"/>
    </row>
    <row r="179" spans="1:23" s="489" customFormat="1" ht="16.5" customHeight="1">
      <c r="A179" s="949"/>
      <c r="B179" s="950"/>
      <c r="C179" s="952"/>
      <c r="D179" s="1008"/>
      <c r="E179" s="949"/>
      <c r="F179" s="949"/>
      <c r="G179" s="950"/>
      <c r="H179" s="488">
        <v>0</v>
      </c>
      <c r="I179" s="488">
        <v>0</v>
      </c>
      <c r="J179" s="946"/>
      <c r="K179" s="946"/>
      <c r="L179" s="947"/>
      <c r="M179" s="947"/>
      <c r="N179" s="946"/>
      <c r="O179" s="946"/>
      <c r="P179" s="947"/>
      <c r="Q179" s="947"/>
      <c r="R179" s="946"/>
      <c r="S179" s="947"/>
      <c r="T179" s="947"/>
      <c r="U179" s="946"/>
      <c r="V179" s="947"/>
      <c r="W179" s="947"/>
    </row>
    <row r="180" spans="1:23" s="489" customFormat="1" ht="16.5" customHeight="1">
      <c r="A180" s="949"/>
      <c r="B180" s="950"/>
      <c r="C180" s="952"/>
      <c r="D180" s="1008"/>
      <c r="E180" s="949"/>
      <c r="F180" s="949"/>
      <c r="G180" s="950"/>
      <c r="H180" s="488">
        <v>37786</v>
      </c>
      <c r="I180" s="488">
        <v>2616</v>
      </c>
      <c r="J180" s="946"/>
      <c r="K180" s="946"/>
      <c r="L180" s="947"/>
      <c r="M180" s="947"/>
      <c r="N180" s="946"/>
      <c r="O180" s="946"/>
      <c r="P180" s="947"/>
      <c r="Q180" s="947"/>
      <c r="R180" s="946"/>
      <c r="S180" s="947"/>
      <c r="T180" s="947"/>
      <c r="U180" s="946"/>
      <c r="V180" s="947"/>
      <c r="W180" s="947"/>
    </row>
    <row r="181" spans="1:23" s="489" customFormat="1" ht="16.5" customHeight="1">
      <c r="A181" s="949"/>
      <c r="B181" s="950"/>
      <c r="C181" s="952"/>
      <c r="D181" s="1008"/>
      <c r="E181" s="949"/>
      <c r="F181" s="949"/>
      <c r="G181" s="950"/>
      <c r="H181" s="488">
        <v>0</v>
      </c>
      <c r="I181" s="488">
        <v>0</v>
      </c>
      <c r="J181" s="946"/>
      <c r="K181" s="946"/>
      <c r="L181" s="947"/>
      <c r="M181" s="947"/>
      <c r="N181" s="946"/>
      <c r="O181" s="946"/>
      <c r="P181" s="947"/>
      <c r="Q181" s="947"/>
      <c r="R181" s="946"/>
      <c r="S181" s="947"/>
      <c r="T181" s="947"/>
      <c r="U181" s="946"/>
      <c r="V181" s="947"/>
      <c r="W181" s="947"/>
    </row>
    <row r="182" spans="1:23" s="489" customFormat="1" ht="16.5" customHeight="1">
      <c r="A182" s="949">
        <v>34</v>
      </c>
      <c r="B182" s="950" t="s">
        <v>656</v>
      </c>
      <c r="C182" s="952" t="s">
        <v>657</v>
      </c>
      <c r="D182" s="1008" t="s">
        <v>658</v>
      </c>
      <c r="E182" s="949" t="s">
        <v>595</v>
      </c>
      <c r="F182" s="949" t="s">
        <v>659</v>
      </c>
      <c r="G182" s="950" t="s">
        <v>597</v>
      </c>
      <c r="H182" s="488">
        <f>H183+H184+H185+H186</f>
        <v>12276164</v>
      </c>
      <c r="I182" s="488">
        <f>I183+I184+I185+I186</f>
        <v>10833564</v>
      </c>
      <c r="J182" s="954">
        <f>K182+N182</f>
        <v>1442600</v>
      </c>
      <c r="K182" s="954">
        <f>L182+M182</f>
        <v>1290748</v>
      </c>
      <c r="L182" s="957">
        <v>1290748</v>
      </c>
      <c r="M182" s="957">
        <v>0</v>
      </c>
      <c r="N182" s="954">
        <f>O182+R182+U182</f>
        <v>151852</v>
      </c>
      <c r="O182" s="954">
        <f>P182+Q182</f>
        <v>151852</v>
      </c>
      <c r="P182" s="957">
        <v>151852</v>
      </c>
      <c r="Q182" s="957">
        <v>0</v>
      </c>
      <c r="R182" s="954">
        <f>S182+T182</f>
        <v>0</v>
      </c>
      <c r="S182" s="957">
        <v>0</v>
      </c>
      <c r="T182" s="957">
        <v>0</v>
      </c>
      <c r="U182" s="954">
        <f>V182+W182</f>
        <v>0</v>
      </c>
      <c r="V182" s="957">
        <v>0</v>
      </c>
      <c r="W182" s="957">
        <v>0</v>
      </c>
    </row>
    <row r="183" spans="1:23" s="489" customFormat="1" ht="16.5" customHeight="1">
      <c r="A183" s="949"/>
      <c r="B183" s="950"/>
      <c r="C183" s="952"/>
      <c r="D183" s="1008"/>
      <c r="E183" s="949"/>
      <c r="F183" s="949"/>
      <c r="G183" s="950"/>
      <c r="H183" s="488">
        <v>10983936</v>
      </c>
      <c r="I183" s="488">
        <v>9693188</v>
      </c>
      <c r="J183" s="955"/>
      <c r="K183" s="955"/>
      <c r="L183" s="958"/>
      <c r="M183" s="958"/>
      <c r="N183" s="955"/>
      <c r="O183" s="955"/>
      <c r="P183" s="958"/>
      <c r="Q183" s="958"/>
      <c r="R183" s="955"/>
      <c r="S183" s="958"/>
      <c r="T183" s="958"/>
      <c r="U183" s="955"/>
      <c r="V183" s="958"/>
      <c r="W183" s="958"/>
    </row>
    <row r="184" spans="1:23" s="489" customFormat="1" ht="16.5" customHeight="1">
      <c r="A184" s="949"/>
      <c r="B184" s="950"/>
      <c r="C184" s="952"/>
      <c r="D184" s="1008"/>
      <c r="E184" s="949"/>
      <c r="F184" s="949"/>
      <c r="G184" s="950"/>
      <c r="H184" s="488">
        <v>1292228</v>
      </c>
      <c r="I184" s="488">
        <v>1140376</v>
      </c>
      <c r="J184" s="955"/>
      <c r="K184" s="955"/>
      <c r="L184" s="958"/>
      <c r="M184" s="958"/>
      <c r="N184" s="955"/>
      <c r="O184" s="955"/>
      <c r="P184" s="958"/>
      <c r="Q184" s="958"/>
      <c r="R184" s="955"/>
      <c r="S184" s="958"/>
      <c r="T184" s="958"/>
      <c r="U184" s="955"/>
      <c r="V184" s="958"/>
      <c r="W184" s="958"/>
    </row>
    <row r="185" spans="1:23" s="489" customFormat="1" ht="16.5" customHeight="1">
      <c r="A185" s="949"/>
      <c r="B185" s="950"/>
      <c r="C185" s="952"/>
      <c r="D185" s="1008"/>
      <c r="E185" s="949"/>
      <c r="F185" s="949"/>
      <c r="G185" s="950"/>
      <c r="H185" s="488">
        <v>0</v>
      </c>
      <c r="I185" s="488">
        <v>0</v>
      </c>
      <c r="J185" s="955"/>
      <c r="K185" s="955"/>
      <c r="L185" s="958"/>
      <c r="M185" s="958"/>
      <c r="N185" s="955"/>
      <c r="O185" s="955"/>
      <c r="P185" s="958"/>
      <c r="Q185" s="958"/>
      <c r="R185" s="955"/>
      <c r="S185" s="958"/>
      <c r="T185" s="958"/>
      <c r="U185" s="955"/>
      <c r="V185" s="958"/>
      <c r="W185" s="958"/>
    </row>
    <row r="186" spans="1:23" s="489" customFormat="1" ht="16.5" customHeight="1">
      <c r="A186" s="949"/>
      <c r="B186" s="950"/>
      <c r="C186" s="952"/>
      <c r="D186" s="1008"/>
      <c r="E186" s="949"/>
      <c r="F186" s="949"/>
      <c r="G186" s="950"/>
      <c r="H186" s="488">
        <v>0</v>
      </c>
      <c r="I186" s="488">
        <v>0</v>
      </c>
      <c r="J186" s="956"/>
      <c r="K186" s="956"/>
      <c r="L186" s="959"/>
      <c r="M186" s="959"/>
      <c r="N186" s="956"/>
      <c r="O186" s="956"/>
      <c r="P186" s="959"/>
      <c r="Q186" s="959"/>
      <c r="R186" s="956"/>
      <c r="S186" s="959"/>
      <c r="T186" s="959"/>
      <c r="U186" s="956"/>
      <c r="V186" s="959"/>
      <c r="W186" s="959"/>
    </row>
    <row r="187" spans="1:23" s="489" customFormat="1" ht="16.5" customHeight="1">
      <c r="A187" s="949">
        <v>35</v>
      </c>
      <c r="B187" s="950" t="s">
        <v>660</v>
      </c>
      <c r="C187" s="952" t="s">
        <v>661</v>
      </c>
      <c r="D187" s="1008" t="s">
        <v>662</v>
      </c>
      <c r="E187" s="949" t="s">
        <v>572</v>
      </c>
      <c r="F187" s="949" t="s">
        <v>636</v>
      </c>
      <c r="G187" s="950" t="s">
        <v>582</v>
      </c>
      <c r="H187" s="488">
        <f>H188+H189+H190+H191</f>
        <v>1484640</v>
      </c>
      <c r="I187" s="488">
        <f>I188+I189+I190+I191</f>
        <v>431100</v>
      </c>
      <c r="J187" s="946">
        <f>K187+N187</f>
        <v>842760</v>
      </c>
      <c r="K187" s="946">
        <f>L187+M187</f>
        <v>716346</v>
      </c>
      <c r="L187" s="947">
        <v>716346</v>
      </c>
      <c r="M187" s="947">
        <v>0</v>
      </c>
      <c r="N187" s="946">
        <f>O187+R187+U187</f>
        <v>126414</v>
      </c>
      <c r="O187" s="946">
        <f>P187+Q187</f>
        <v>84276</v>
      </c>
      <c r="P187" s="947">
        <v>84276</v>
      </c>
      <c r="Q187" s="947">
        <v>0</v>
      </c>
      <c r="R187" s="946">
        <f>S187+T187</f>
        <v>42138</v>
      </c>
      <c r="S187" s="947">
        <v>42138</v>
      </c>
      <c r="T187" s="947">
        <v>0</v>
      </c>
      <c r="U187" s="946">
        <f>V187+W187</f>
        <v>0</v>
      </c>
      <c r="V187" s="947">
        <v>0</v>
      </c>
      <c r="W187" s="947">
        <v>0</v>
      </c>
    </row>
    <row r="188" spans="1:23" s="489" customFormat="1" ht="16.5" customHeight="1">
      <c r="A188" s="949"/>
      <c r="B188" s="950"/>
      <c r="C188" s="952"/>
      <c r="D188" s="1008"/>
      <c r="E188" s="949"/>
      <c r="F188" s="949"/>
      <c r="G188" s="950"/>
      <c r="H188" s="488">
        <v>1261944</v>
      </c>
      <c r="I188" s="488">
        <v>366435</v>
      </c>
      <c r="J188" s="946"/>
      <c r="K188" s="946"/>
      <c r="L188" s="947"/>
      <c r="M188" s="947"/>
      <c r="N188" s="946"/>
      <c r="O188" s="946"/>
      <c r="P188" s="947"/>
      <c r="Q188" s="947"/>
      <c r="R188" s="946"/>
      <c r="S188" s="947"/>
      <c r="T188" s="947"/>
      <c r="U188" s="946"/>
      <c r="V188" s="947"/>
      <c r="W188" s="947"/>
    </row>
    <row r="189" spans="1:23" s="489" customFormat="1" ht="16.5" customHeight="1">
      <c r="A189" s="949"/>
      <c r="B189" s="950"/>
      <c r="C189" s="952"/>
      <c r="D189" s="1008"/>
      <c r="E189" s="949"/>
      <c r="F189" s="949"/>
      <c r="G189" s="950"/>
      <c r="H189" s="488">
        <v>148464</v>
      </c>
      <c r="I189" s="488">
        <v>43110</v>
      </c>
      <c r="J189" s="946"/>
      <c r="K189" s="946"/>
      <c r="L189" s="947"/>
      <c r="M189" s="947"/>
      <c r="N189" s="946"/>
      <c r="O189" s="946"/>
      <c r="P189" s="947"/>
      <c r="Q189" s="947"/>
      <c r="R189" s="946"/>
      <c r="S189" s="947"/>
      <c r="T189" s="947"/>
      <c r="U189" s="946"/>
      <c r="V189" s="947"/>
      <c r="W189" s="947"/>
    </row>
    <row r="190" spans="1:23" s="489" customFormat="1" ht="16.5" customHeight="1">
      <c r="A190" s="949"/>
      <c r="B190" s="950"/>
      <c r="C190" s="952"/>
      <c r="D190" s="1008"/>
      <c r="E190" s="949"/>
      <c r="F190" s="949"/>
      <c r="G190" s="950"/>
      <c r="H190" s="488">
        <v>74232</v>
      </c>
      <c r="I190" s="488">
        <v>21555</v>
      </c>
      <c r="J190" s="946"/>
      <c r="K190" s="946"/>
      <c r="L190" s="947"/>
      <c r="M190" s="947"/>
      <c r="N190" s="946"/>
      <c r="O190" s="946"/>
      <c r="P190" s="947"/>
      <c r="Q190" s="947"/>
      <c r="R190" s="946"/>
      <c r="S190" s="947"/>
      <c r="T190" s="947"/>
      <c r="U190" s="946"/>
      <c r="V190" s="947"/>
      <c r="W190" s="947"/>
    </row>
    <row r="191" spans="1:23" s="489" customFormat="1" ht="16.5" customHeight="1">
      <c r="A191" s="949"/>
      <c r="B191" s="950"/>
      <c r="C191" s="952"/>
      <c r="D191" s="1008"/>
      <c r="E191" s="949"/>
      <c r="F191" s="949"/>
      <c r="G191" s="950"/>
      <c r="H191" s="488">
        <v>0</v>
      </c>
      <c r="I191" s="488">
        <v>0</v>
      </c>
      <c r="J191" s="946"/>
      <c r="K191" s="946"/>
      <c r="L191" s="947"/>
      <c r="M191" s="947"/>
      <c r="N191" s="946"/>
      <c r="O191" s="946"/>
      <c r="P191" s="947"/>
      <c r="Q191" s="947"/>
      <c r="R191" s="946"/>
      <c r="S191" s="947"/>
      <c r="T191" s="947"/>
      <c r="U191" s="946"/>
      <c r="V191" s="947"/>
      <c r="W191" s="947"/>
    </row>
    <row r="192" spans="1:23" s="489" customFormat="1" ht="15.75" customHeight="1">
      <c r="A192" s="949">
        <v>36</v>
      </c>
      <c r="B192" s="950" t="s">
        <v>660</v>
      </c>
      <c r="C192" s="952" t="s">
        <v>661</v>
      </c>
      <c r="D192" s="993" t="s">
        <v>663</v>
      </c>
      <c r="E192" s="960" t="s">
        <v>664</v>
      </c>
      <c r="F192" s="960" t="s">
        <v>665</v>
      </c>
      <c r="G192" s="963" t="s">
        <v>637</v>
      </c>
      <c r="H192" s="488">
        <f>H193+H194+H195+H196</f>
        <v>427204</v>
      </c>
      <c r="I192" s="488">
        <f>I193+I194+I195+I196</f>
        <v>375860</v>
      </c>
      <c r="J192" s="954">
        <f>K192+N192</f>
        <v>51344</v>
      </c>
      <c r="K192" s="954">
        <f>L192+M192</f>
        <v>45939</v>
      </c>
      <c r="L192" s="957">
        <v>45939</v>
      </c>
      <c r="M192" s="957">
        <v>0</v>
      </c>
      <c r="N192" s="954">
        <f>O192+R192+U192</f>
        <v>5405</v>
      </c>
      <c r="O192" s="954">
        <f>P192+Q192</f>
        <v>5405</v>
      </c>
      <c r="P192" s="957">
        <v>5405</v>
      </c>
      <c r="Q192" s="957">
        <v>0</v>
      </c>
      <c r="R192" s="954">
        <f>S192+T192</f>
        <v>0</v>
      </c>
      <c r="S192" s="957">
        <v>0</v>
      </c>
      <c r="T192" s="957">
        <v>0</v>
      </c>
      <c r="U192" s="954">
        <f>V192+W192</f>
        <v>0</v>
      </c>
      <c r="V192" s="957">
        <v>0</v>
      </c>
      <c r="W192" s="957">
        <v>0</v>
      </c>
    </row>
    <row r="193" spans="1:23" s="489" customFormat="1" ht="15.75" customHeight="1">
      <c r="A193" s="949"/>
      <c r="B193" s="950"/>
      <c r="C193" s="952"/>
      <c r="D193" s="994"/>
      <c r="E193" s="961"/>
      <c r="F193" s="961"/>
      <c r="G193" s="964"/>
      <c r="H193" s="488">
        <v>382236</v>
      </c>
      <c r="I193" s="488">
        <v>336297</v>
      </c>
      <c r="J193" s="955"/>
      <c r="K193" s="955"/>
      <c r="L193" s="958"/>
      <c r="M193" s="958"/>
      <c r="N193" s="955"/>
      <c r="O193" s="955"/>
      <c r="P193" s="958"/>
      <c r="Q193" s="958"/>
      <c r="R193" s="955"/>
      <c r="S193" s="958"/>
      <c r="T193" s="958"/>
      <c r="U193" s="955"/>
      <c r="V193" s="958"/>
      <c r="W193" s="958"/>
    </row>
    <row r="194" spans="1:23" s="489" customFormat="1" ht="15.75" customHeight="1">
      <c r="A194" s="949"/>
      <c r="B194" s="950"/>
      <c r="C194" s="952"/>
      <c r="D194" s="994"/>
      <c r="E194" s="961"/>
      <c r="F194" s="961"/>
      <c r="G194" s="964"/>
      <c r="H194" s="488">
        <v>44968</v>
      </c>
      <c r="I194" s="488">
        <v>39563</v>
      </c>
      <c r="J194" s="955"/>
      <c r="K194" s="955"/>
      <c r="L194" s="958"/>
      <c r="M194" s="958"/>
      <c r="N194" s="955"/>
      <c r="O194" s="955"/>
      <c r="P194" s="958"/>
      <c r="Q194" s="958"/>
      <c r="R194" s="955"/>
      <c r="S194" s="958"/>
      <c r="T194" s="958"/>
      <c r="U194" s="955"/>
      <c r="V194" s="958"/>
      <c r="W194" s="958"/>
    </row>
    <row r="195" spans="1:23" s="489" customFormat="1" ht="15.75" customHeight="1">
      <c r="A195" s="949"/>
      <c r="B195" s="950"/>
      <c r="C195" s="952"/>
      <c r="D195" s="994"/>
      <c r="E195" s="961"/>
      <c r="F195" s="961"/>
      <c r="G195" s="964"/>
      <c r="H195" s="488">
        <v>0</v>
      </c>
      <c r="I195" s="488">
        <v>0</v>
      </c>
      <c r="J195" s="955"/>
      <c r="K195" s="955"/>
      <c r="L195" s="958"/>
      <c r="M195" s="958"/>
      <c r="N195" s="955"/>
      <c r="O195" s="955"/>
      <c r="P195" s="958"/>
      <c r="Q195" s="958"/>
      <c r="R195" s="955"/>
      <c r="S195" s="958"/>
      <c r="T195" s="958"/>
      <c r="U195" s="955"/>
      <c r="V195" s="958"/>
      <c r="W195" s="958"/>
    </row>
    <row r="196" spans="1:23" s="489" customFormat="1" ht="15.75" customHeight="1">
      <c r="A196" s="949"/>
      <c r="B196" s="950"/>
      <c r="C196" s="952"/>
      <c r="D196" s="995"/>
      <c r="E196" s="962"/>
      <c r="F196" s="962"/>
      <c r="G196" s="965"/>
      <c r="H196" s="488">
        <v>0</v>
      </c>
      <c r="I196" s="488">
        <v>0</v>
      </c>
      <c r="J196" s="956"/>
      <c r="K196" s="956"/>
      <c r="L196" s="959"/>
      <c r="M196" s="959"/>
      <c r="N196" s="956"/>
      <c r="O196" s="956"/>
      <c r="P196" s="959"/>
      <c r="Q196" s="959"/>
      <c r="R196" s="956"/>
      <c r="S196" s="959"/>
      <c r="T196" s="959"/>
      <c r="U196" s="956"/>
      <c r="V196" s="959"/>
      <c r="W196" s="959"/>
    </row>
    <row r="197" spans="1:23" s="489" customFormat="1" ht="16.5" customHeight="1">
      <c r="A197" s="949">
        <v>37</v>
      </c>
      <c r="B197" s="963" t="s">
        <v>666</v>
      </c>
      <c r="C197" s="952" t="s">
        <v>667</v>
      </c>
      <c r="D197" s="993" t="s">
        <v>668</v>
      </c>
      <c r="E197" s="949" t="s">
        <v>595</v>
      </c>
      <c r="F197" s="960" t="s">
        <v>669</v>
      </c>
      <c r="G197" s="963" t="s">
        <v>577</v>
      </c>
      <c r="H197" s="488">
        <f>H198+H199+H200+H201</f>
        <v>4691046</v>
      </c>
      <c r="I197" s="488">
        <f>I198+I199+I200+I201</f>
        <v>4678843</v>
      </c>
      <c r="J197" s="946">
        <f>K197+N197</f>
        <v>12203</v>
      </c>
      <c r="K197" s="946">
        <f>L197+M197</f>
        <v>10919</v>
      </c>
      <c r="L197" s="947">
        <v>10919</v>
      </c>
      <c r="M197" s="947">
        <v>0</v>
      </c>
      <c r="N197" s="946">
        <f>O197+R197+U197</f>
        <v>1284</v>
      </c>
      <c r="O197" s="946">
        <f>P197+Q197</f>
        <v>1284</v>
      </c>
      <c r="P197" s="947">
        <v>1284</v>
      </c>
      <c r="Q197" s="947">
        <v>0</v>
      </c>
      <c r="R197" s="946">
        <f>S197+T197</f>
        <v>0</v>
      </c>
      <c r="S197" s="947">
        <v>0</v>
      </c>
      <c r="T197" s="947">
        <v>0</v>
      </c>
      <c r="U197" s="946">
        <f>V197+W197</f>
        <v>0</v>
      </c>
      <c r="V197" s="947">
        <v>0</v>
      </c>
      <c r="W197" s="947">
        <v>0</v>
      </c>
    </row>
    <row r="198" spans="1:23" s="489" customFormat="1" ht="16.5" customHeight="1">
      <c r="A198" s="949"/>
      <c r="B198" s="964"/>
      <c r="C198" s="952"/>
      <c r="D198" s="994"/>
      <c r="E198" s="949"/>
      <c r="F198" s="961"/>
      <c r="G198" s="964"/>
      <c r="H198" s="488">
        <v>4197251</v>
      </c>
      <c r="I198" s="488">
        <v>4186332</v>
      </c>
      <c r="J198" s="946"/>
      <c r="K198" s="946"/>
      <c r="L198" s="947"/>
      <c r="M198" s="947"/>
      <c r="N198" s="946"/>
      <c r="O198" s="946"/>
      <c r="P198" s="947"/>
      <c r="Q198" s="947"/>
      <c r="R198" s="946"/>
      <c r="S198" s="947"/>
      <c r="T198" s="947"/>
      <c r="U198" s="946"/>
      <c r="V198" s="947"/>
      <c r="W198" s="947"/>
    </row>
    <row r="199" spans="1:23" s="489" customFormat="1" ht="16.5" customHeight="1">
      <c r="A199" s="949"/>
      <c r="B199" s="964"/>
      <c r="C199" s="952"/>
      <c r="D199" s="994"/>
      <c r="E199" s="949"/>
      <c r="F199" s="961"/>
      <c r="G199" s="964"/>
      <c r="H199" s="488">
        <v>493795</v>
      </c>
      <c r="I199" s="488">
        <v>492511</v>
      </c>
      <c r="J199" s="946"/>
      <c r="K199" s="946"/>
      <c r="L199" s="947"/>
      <c r="M199" s="947"/>
      <c r="N199" s="946"/>
      <c r="O199" s="946"/>
      <c r="P199" s="947"/>
      <c r="Q199" s="947"/>
      <c r="R199" s="946"/>
      <c r="S199" s="947"/>
      <c r="T199" s="947"/>
      <c r="U199" s="946"/>
      <c r="V199" s="947"/>
      <c r="W199" s="947"/>
    </row>
    <row r="200" spans="1:23" s="489" customFormat="1" ht="16.5" customHeight="1">
      <c r="A200" s="949"/>
      <c r="B200" s="964"/>
      <c r="C200" s="952"/>
      <c r="D200" s="994"/>
      <c r="E200" s="949"/>
      <c r="F200" s="961"/>
      <c r="G200" s="964"/>
      <c r="H200" s="488">
        <v>0</v>
      </c>
      <c r="I200" s="488">
        <v>0</v>
      </c>
      <c r="J200" s="946"/>
      <c r="K200" s="946"/>
      <c r="L200" s="947"/>
      <c r="M200" s="947"/>
      <c r="N200" s="946"/>
      <c r="O200" s="946"/>
      <c r="P200" s="947"/>
      <c r="Q200" s="947"/>
      <c r="R200" s="946"/>
      <c r="S200" s="947"/>
      <c r="T200" s="947"/>
      <c r="U200" s="946"/>
      <c r="V200" s="947"/>
      <c r="W200" s="947"/>
    </row>
    <row r="201" spans="1:23" s="489" customFormat="1" ht="16.5" customHeight="1">
      <c r="A201" s="949"/>
      <c r="B201" s="965"/>
      <c r="C201" s="952"/>
      <c r="D201" s="995"/>
      <c r="E201" s="949"/>
      <c r="F201" s="962"/>
      <c r="G201" s="965"/>
      <c r="H201" s="488">
        <v>0</v>
      </c>
      <c r="I201" s="488">
        <v>0</v>
      </c>
      <c r="J201" s="946"/>
      <c r="K201" s="946"/>
      <c r="L201" s="947"/>
      <c r="M201" s="947"/>
      <c r="N201" s="946"/>
      <c r="O201" s="946"/>
      <c r="P201" s="947"/>
      <c r="Q201" s="947"/>
      <c r="R201" s="946"/>
      <c r="S201" s="947"/>
      <c r="T201" s="947"/>
      <c r="U201" s="946"/>
      <c r="V201" s="947"/>
      <c r="W201" s="947"/>
    </row>
    <row r="202" spans="1:23" s="489" customFormat="1" ht="16.5" customHeight="1">
      <c r="A202" s="949">
        <v>38</v>
      </c>
      <c r="B202" s="963" t="s">
        <v>666</v>
      </c>
      <c r="C202" s="952" t="s">
        <v>667</v>
      </c>
      <c r="D202" s="993" t="s">
        <v>670</v>
      </c>
      <c r="E202" s="949" t="s">
        <v>595</v>
      </c>
      <c r="F202" s="960" t="s">
        <v>669</v>
      </c>
      <c r="G202" s="963" t="s">
        <v>582</v>
      </c>
      <c r="H202" s="488">
        <f>H203+H204+H205+H206</f>
        <v>4909018</v>
      </c>
      <c r="I202" s="488">
        <f>I203+I204+I205+I206</f>
        <v>1116897</v>
      </c>
      <c r="J202" s="954">
        <f>K202+N202</f>
        <v>2437045</v>
      </c>
      <c r="K202" s="954">
        <f>L202+M202</f>
        <v>2180514</v>
      </c>
      <c r="L202" s="957">
        <v>2180514</v>
      </c>
      <c r="M202" s="957">
        <v>0</v>
      </c>
      <c r="N202" s="954">
        <f>O202+R202+U202</f>
        <v>256531</v>
      </c>
      <c r="O202" s="954">
        <f>P202+Q202</f>
        <v>256531</v>
      </c>
      <c r="P202" s="957">
        <v>256531</v>
      </c>
      <c r="Q202" s="957">
        <v>0</v>
      </c>
      <c r="R202" s="954">
        <f>S202+T202</f>
        <v>0</v>
      </c>
      <c r="S202" s="957">
        <v>0</v>
      </c>
      <c r="T202" s="957">
        <v>0</v>
      </c>
      <c r="U202" s="954">
        <f>V202+W202</f>
        <v>0</v>
      </c>
      <c r="V202" s="957">
        <v>0</v>
      </c>
      <c r="W202" s="957">
        <v>0</v>
      </c>
    </row>
    <row r="203" spans="1:23" s="489" customFormat="1" ht="16.5" customHeight="1">
      <c r="A203" s="949"/>
      <c r="B203" s="964"/>
      <c r="C203" s="952"/>
      <c r="D203" s="994"/>
      <c r="E203" s="949"/>
      <c r="F203" s="961"/>
      <c r="G203" s="964"/>
      <c r="H203" s="488">
        <v>4392279</v>
      </c>
      <c r="I203" s="488">
        <v>999329</v>
      </c>
      <c r="J203" s="955"/>
      <c r="K203" s="955"/>
      <c r="L203" s="958"/>
      <c r="M203" s="958"/>
      <c r="N203" s="955"/>
      <c r="O203" s="955"/>
      <c r="P203" s="958"/>
      <c r="Q203" s="958"/>
      <c r="R203" s="955"/>
      <c r="S203" s="958"/>
      <c r="T203" s="958"/>
      <c r="U203" s="955"/>
      <c r="V203" s="958"/>
      <c r="W203" s="958"/>
    </row>
    <row r="204" spans="1:23" s="489" customFormat="1" ht="16.5" customHeight="1">
      <c r="A204" s="949"/>
      <c r="B204" s="964"/>
      <c r="C204" s="952"/>
      <c r="D204" s="994"/>
      <c r="E204" s="949"/>
      <c r="F204" s="961"/>
      <c r="G204" s="964"/>
      <c r="H204" s="488">
        <v>516739</v>
      </c>
      <c r="I204" s="488">
        <v>117568</v>
      </c>
      <c r="J204" s="955"/>
      <c r="K204" s="955"/>
      <c r="L204" s="958"/>
      <c r="M204" s="958"/>
      <c r="N204" s="955"/>
      <c r="O204" s="955"/>
      <c r="P204" s="958"/>
      <c r="Q204" s="958"/>
      <c r="R204" s="955"/>
      <c r="S204" s="958"/>
      <c r="T204" s="958"/>
      <c r="U204" s="955"/>
      <c r="V204" s="958"/>
      <c r="W204" s="958"/>
    </row>
    <row r="205" spans="1:23" s="489" customFormat="1" ht="16.5" customHeight="1">
      <c r="A205" s="949"/>
      <c r="B205" s="964"/>
      <c r="C205" s="952"/>
      <c r="D205" s="994"/>
      <c r="E205" s="949"/>
      <c r="F205" s="961"/>
      <c r="G205" s="964"/>
      <c r="H205" s="488">
        <v>0</v>
      </c>
      <c r="I205" s="488">
        <v>0</v>
      </c>
      <c r="J205" s="955"/>
      <c r="K205" s="955"/>
      <c r="L205" s="958"/>
      <c r="M205" s="958"/>
      <c r="N205" s="955"/>
      <c r="O205" s="955"/>
      <c r="P205" s="958"/>
      <c r="Q205" s="958"/>
      <c r="R205" s="955"/>
      <c r="S205" s="958"/>
      <c r="T205" s="958"/>
      <c r="U205" s="955"/>
      <c r="V205" s="958"/>
      <c r="W205" s="958"/>
    </row>
    <row r="206" spans="1:23" s="489" customFormat="1" ht="16.5" customHeight="1">
      <c r="A206" s="949"/>
      <c r="B206" s="965"/>
      <c r="C206" s="952"/>
      <c r="D206" s="995"/>
      <c r="E206" s="949"/>
      <c r="F206" s="962"/>
      <c r="G206" s="965"/>
      <c r="H206" s="488">
        <v>0</v>
      </c>
      <c r="I206" s="488">
        <v>0</v>
      </c>
      <c r="J206" s="956"/>
      <c r="K206" s="956"/>
      <c r="L206" s="959"/>
      <c r="M206" s="959"/>
      <c r="N206" s="956"/>
      <c r="O206" s="956"/>
      <c r="P206" s="959"/>
      <c r="Q206" s="959"/>
      <c r="R206" s="956"/>
      <c r="S206" s="959"/>
      <c r="T206" s="959"/>
      <c r="U206" s="956"/>
      <c r="V206" s="959"/>
      <c r="W206" s="959"/>
    </row>
    <row r="207" spans="1:23" s="489" customFormat="1" ht="16.5" customHeight="1">
      <c r="A207" s="949">
        <v>39</v>
      </c>
      <c r="B207" s="1005" t="s">
        <v>671</v>
      </c>
      <c r="C207" s="976" t="s">
        <v>672</v>
      </c>
      <c r="D207" s="999" t="s">
        <v>673</v>
      </c>
      <c r="E207" s="978" t="s">
        <v>572</v>
      </c>
      <c r="F207" s="1002" t="s">
        <v>674</v>
      </c>
      <c r="G207" s="996" t="s">
        <v>617</v>
      </c>
      <c r="H207" s="490">
        <f>H208+H209+H210+H211</f>
        <v>10340000</v>
      </c>
      <c r="I207" s="488">
        <f>I208+I209+I210+I211</f>
        <v>6875000</v>
      </c>
      <c r="J207" s="954">
        <f>K207+N207</f>
        <v>3465000</v>
      </c>
      <c r="K207" s="954">
        <f>L207+M207</f>
        <v>2945250</v>
      </c>
      <c r="L207" s="957">
        <v>2945250</v>
      </c>
      <c r="M207" s="957">
        <v>0</v>
      </c>
      <c r="N207" s="954">
        <f>O207+R207+U207</f>
        <v>519750</v>
      </c>
      <c r="O207" s="954">
        <f>P207+Q207</f>
        <v>519750</v>
      </c>
      <c r="P207" s="957">
        <v>519750</v>
      </c>
      <c r="Q207" s="957">
        <v>0</v>
      </c>
      <c r="R207" s="954">
        <f>S207+T207</f>
        <v>0</v>
      </c>
      <c r="S207" s="957">
        <v>0</v>
      </c>
      <c r="T207" s="957">
        <v>0</v>
      </c>
      <c r="U207" s="954">
        <f>V207+W207</f>
        <v>0</v>
      </c>
      <c r="V207" s="957">
        <v>0</v>
      </c>
      <c r="W207" s="957">
        <v>0</v>
      </c>
    </row>
    <row r="208" spans="1:23" s="489" customFormat="1" ht="16.5" customHeight="1">
      <c r="A208" s="949"/>
      <c r="B208" s="1006"/>
      <c r="C208" s="976"/>
      <c r="D208" s="1000"/>
      <c r="E208" s="978"/>
      <c r="F208" s="1003"/>
      <c r="G208" s="997"/>
      <c r="H208" s="490">
        <v>8789000</v>
      </c>
      <c r="I208" s="488">
        <v>5843750</v>
      </c>
      <c r="J208" s="955"/>
      <c r="K208" s="955"/>
      <c r="L208" s="958"/>
      <c r="M208" s="958"/>
      <c r="N208" s="955"/>
      <c r="O208" s="955"/>
      <c r="P208" s="958"/>
      <c r="Q208" s="958"/>
      <c r="R208" s="955"/>
      <c r="S208" s="958"/>
      <c r="T208" s="958"/>
      <c r="U208" s="955"/>
      <c r="V208" s="958"/>
      <c r="W208" s="958"/>
    </row>
    <row r="209" spans="1:23" s="489" customFormat="1" ht="16.5" customHeight="1">
      <c r="A209" s="949"/>
      <c r="B209" s="1006"/>
      <c r="C209" s="976"/>
      <c r="D209" s="1000"/>
      <c r="E209" s="978"/>
      <c r="F209" s="1003"/>
      <c r="G209" s="997"/>
      <c r="H209" s="490">
        <v>1551000</v>
      </c>
      <c r="I209" s="488">
        <v>1031250</v>
      </c>
      <c r="J209" s="955"/>
      <c r="K209" s="955"/>
      <c r="L209" s="958"/>
      <c r="M209" s="958"/>
      <c r="N209" s="955"/>
      <c r="O209" s="955"/>
      <c r="P209" s="958"/>
      <c r="Q209" s="958"/>
      <c r="R209" s="955"/>
      <c r="S209" s="958"/>
      <c r="T209" s="958"/>
      <c r="U209" s="955"/>
      <c r="V209" s="958"/>
      <c r="W209" s="958"/>
    </row>
    <row r="210" spans="1:23" s="489" customFormat="1" ht="16.5" customHeight="1">
      <c r="A210" s="949"/>
      <c r="B210" s="1006"/>
      <c r="C210" s="976"/>
      <c r="D210" s="1000"/>
      <c r="E210" s="978"/>
      <c r="F210" s="1003"/>
      <c r="G210" s="997"/>
      <c r="H210" s="490">
        <v>0</v>
      </c>
      <c r="I210" s="488">
        <v>0</v>
      </c>
      <c r="J210" s="955"/>
      <c r="K210" s="955"/>
      <c r="L210" s="958"/>
      <c r="M210" s="958"/>
      <c r="N210" s="955"/>
      <c r="O210" s="955"/>
      <c r="P210" s="958"/>
      <c r="Q210" s="958"/>
      <c r="R210" s="955"/>
      <c r="S210" s="958"/>
      <c r="T210" s="958"/>
      <c r="U210" s="955"/>
      <c r="V210" s="958"/>
      <c r="W210" s="958"/>
    </row>
    <row r="211" spans="1:23" s="489" customFormat="1" ht="16.5" customHeight="1">
      <c r="A211" s="949"/>
      <c r="B211" s="1007"/>
      <c r="C211" s="976"/>
      <c r="D211" s="1001"/>
      <c r="E211" s="978"/>
      <c r="F211" s="1004"/>
      <c r="G211" s="998"/>
      <c r="H211" s="490">
        <v>0</v>
      </c>
      <c r="I211" s="488">
        <v>0</v>
      </c>
      <c r="J211" s="956"/>
      <c r="K211" s="956"/>
      <c r="L211" s="959"/>
      <c r="M211" s="959"/>
      <c r="N211" s="956"/>
      <c r="O211" s="956"/>
      <c r="P211" s="959"/>
      <c r="Q211" s="959"/>
      <c r="R211" s="956"/>
      <c r="S211" s="959"/>
      <c r="T211" s="959"/>
      <c r="U211" s="956"/>
      <c r="V211" s="959"/>
      <c r="W211" s="959"/>
    </row>
    <row r="212" spans="1:23" s="489" customFormat="1" ht="16.5" customHeight="1">
      <c r="A212" s="949">
        <v>40</v>
      </c>
      <c r="B212" s="969" t="s">
        <v>671</v>
      </c>
      <c r="C212" s="952" t="s">
        <v>672</v>
      </c>
      <c r="D212" s="993" t="s">
        <v>675</v>
      </c>
      <c r="E212" s="949" t="s">
        <v>572</v>
      </c>
      <c r="F212" s="960" t="s">
        <v>674</v>
      </c>
      <c r="G212" s="963" t="s">
        <v>637</v>
      </c>
      <c r="H212" s="488">
        <f>H213+H214+H215+H216</f>
        <v>10881200</v>
      </c>
      <c r="I212" s="488">
        <f>I213+I214+I215+I216</f>
        <v>9635529</v>
      </c>
      <c r="J212" s="954">
        <f>K212+N212</f>
        <v>1245671</v>
      </c>
      <c r="K212" s="954">
        <f>L212+M212</f>
        <v>1058820</v>
      </c>
      <c r="L212" s="957">
        <v>1058820</v>
      </c>
      <c r="M212" s="957">
        <v>0</v>
      </c>
      <c r="N212" s="954">
        <f>O212+R212+U212</f>
        <v>186851</v>
      </c>
      <c r="O212" s="954">
        <f>P212+Q212</f>
        <v>124567</v>
      </c>
      <c r="P212" s="957">
        <v>124567</v>
      </c>
      <c r="Q212" s="957">
        <v>0</v>
      </c>
      <c r="R212" s="954">
        <f>S212+T212</f>
        <v>62284</v>
      </c>
      <c r="S212" s="957">
        <v>62284</v>
      </c>
      <c r="T212" s="957">
        <v>0</v>
      </c>
      <c r="U212" s="954">
        <f>V212+W212</f>
        <v>0</v>
      </c>
      <c r="V212" s="957">
        <v>0</v>
      </c>
      <c r="W212" s="957">
        <v>0</v>
      </c>
    </row>
    <row r="213" spans="1:23" s="489" customFormat="1" ht="16.5" customHeight="1">
      <c r="A213" s="949"/>
      <c r="B213" s="970"/>
      <c r="C213" s="952"/>
      <c r="D213" s="994"/>
      <c r="E213" s="949"/>
      <c r="F213" s="961"/>
      <c r="G213" s="964"/>
      <c r="H213" s="490">
        <v>9249020</v>
      </c>
      <c r="I213" s="488">
        <v>8190200</v>
      </c>
      <c r="J213" s="955"/>
      <c r="K213" s="955"/>
      <c r="L213" s="958"/>
      <c r="M213" s="958"/>
      <c r="N213" s="955"/>
      <c r="O213" s="955"/>
      <c r="P213" s="958"/>
      <c r="Q213" s="958"/>
      <c r="R213" s="955"/>
      <c r="S213" s="958"/>
      <c r="T213" s="958"/>
      <c r="U213" s="955"/>
      <c r="V213" s="958"/>
      <c r="W213" s="958"/>
    </row>
    <row r="214" spans="1:23" s="489" customFormat="1" ht="16.5" customHeight="1">
      <c r="A214" s="949"/>
      <c r="B214" s="970"/>
      <c r="C214" s="952"/>
      <c r="D214" s="994"/>
      <c r="E214" s="949"/>
      <c r="F214" s="961"/>
      <c r="G214" s="964"/>
      <c r="H214" s="490">
        <v>1088121</v>
      </c>
      <c r="I214" s="488">
        <v>963554</v>
      </c>
      <c r="J214" s="955"/>
      <c r="K214" s="955"/>
      <c r="L214" s="958"/>
      <c r="M214" s="958"/>
      <c r="N214" s="955"/>
      <c r="O214" s="955"/>
      <c r="P214" s="958"/>
      <c r="Q214" s="958"/>
      <c r="R214" s="955"/>
      <c r="S214" s="958"/>
      <c r="T214" s="958"/>
      <c r="U214" s="955"/>
      <c r="V214" s="958"/>
      <c r="W214" s="958"/>
    </row>
    <row r="215" spans="1:23" s="489" customFormat="1" ht="16.5" customHeight="1">
      <c r="A215" s="949"/>
      <c r="B215" s="970"/>
      <c r="C215" s="952"/>
      <c r="D215" s="994"/>
      <c r="E215" s="949"/>
      <c r="F215" s="961"/>
      <c r="G215" s="964"/>
      <c r="H215" s="490">
        <v>544059</v>
      </c>
      <c r="I215" s="488">
        <v>481775</v>
      </c>
      <c r="J215" s="955"/>
      <c r="K215" s="955"/>
      <c r="L215" s="958"/>
      <c r="M215" s="958"/>
      <c r="N215" s="955"/>
      <c r="O215" s="955"/>
      <c r="P215" s="958"/>
      <c r="Q215" s="958"/>
      <c r="R215" s="955"/>
      <c r="S215" s="958"/>
      <c r="T215" s="958"/>
      <c r="U215" s="955"/>
      <c r="V215" s="958"/>
      <c r="W215" s="958"/>
    </row>
    <row r="216" spans="1:23" s="489" customFormat="1" ht="16.5" customHeight="1">
      <c r="A216" s="949"/>
      <c r="B216" s="971"/>
      <c r="C216" s="952"/>
      <c r="D216" s="995"/>
      <c r="E216" s="949"/>
      <c r="F216" s="962"/>
      <c r="G216" s="965"/>
      <c r="H216" s="488">
        <v>0</v>
      </c>
      <c r="I216" s="488">
        <v>0</v>
      </c>
      <c r="J216" s="956"/>
      <c r="K216" s="956"/>
      <c r="L216" s="959"/>
      <c r="M216" s="959"/>
      <c r="N216" s="956"/>
      <c r="O216" s="956"/>
      <c r="P216" s="959"/>
      <c r="Q216" s="959"/>
      <c r="R216" s="956"/>
      <c r="S216" s="959"/>
      <c r="T216" s="959"/>
      <c r="U216" s="956"/>
      <c r="V216" s="959"/>
      <c r="W216" s="959"/>
    </row>
    <row r="217" spans="1:23" s="489" customFormat="1" ht="16.5" customHeight="1">
      <c r="A217" s="949">
        <v>41</v>
      </c>
      <c r="B217" s="963" t="s">
        <v>676</v>
      </c>
      <c r="C217" s="952" t="s">
        <v>672</v>
      </c>
      <c r="D217" s="993" t="s">
        <v>677</v>
      </c>
      <c r="E217" s="949" t="s">
        <v>595</v>
      </c>
      <c r="F217" s="960" t="s">
        <v>678</v>
      </c>
      <c r="G217" s="963" t="s">
        <v>617</v>
      </c>
      <c r="H217" s="488">
        <f>H218+H219+H220+H221</f>
        <v>11397544</v>
      </c>
      <c r="I217" s="488">
        <f>I218+I219+I220+I221</f>
        <v>6044038</v>
      </c>
      <c r="J217" s="954">
        <f>K217+N217</f>
        <v>5353506</v>
      </c>
      <c r="K217" s="954">
        <f>L217+M217</f>
        <v>5056089</v>
      </c>
      <c r="L217" s="957">
        <v>5056089</v>
      </c>
      <c r="M217" s="957">
        <v>0</v>
      </c>
      <c r="N217" s="954">
        <f>O217+R217+U217</f>
        <v>297417</v>
      </c>
      <c r="O217" s="954">
        <f>P217+Q217</f>
        <v>297417</v>
      </c>
      <c r="P217" s="957">
        <v>297417</v>
      </c>
      <c r="Q217" s="957">
        <v>0</v>
      </c>
      <c r="R217" s="954">
        <f>S217+T217</f>
        <v>0</v>
      </c>
      <c r="S217" s="957">
        <v>0</v>
      </c>
      <c r="T217" s="957">
        <v>0</v>
      </c>
      <c r="U217" s="954">
        <f>V217+W217</f>
        <v>0</v>
      </c>
      <c r="V217" s="957">
        <v>0</v>
      </c>
      <c r="W217" s="957">
        <v>0</v>
      </c>
    </row>
    <row r="218" spans="1:23" s="489" customFormat="1" ht="16.5" customHeight="1">
      <c r="A218" s="949"/>
      <c r="B218" s="964"/>
      <c r="C218" s="952"/>
      <c r="D218" s="994"/>
      <c r="E218" s="949"/>
      <c r="F218" s="961"/>
      <c r="G218" s="964"/>
      <c r="H218" s="488">
        <v>10764347</v>
      </c>
      <c r="I218" s="488">
        <v>5708258</v>
      </c>
      <c r="J218" s="955"/>
      <c r="K218" s="955"/>
      <c r="L218" s="958"/>
      <c r="M218" s="958"/>
      <c r="N218" s="955"/>
      <c r="O218" s="955"/>
      <c r="P218" s="958"/>
      <c r="Q218" s="958"/>
      <c r="R218" s="955"/>
      <c r="S218" s="958"/>
      <c r="T218" s="958"/>
      <c r="U218" s="955"/>
      <c r="V218" s="958"/>
      <c r="W218" s="958"/>
    </row>
    <row r="219" spans="1:23" s="489" customFormat="1" ht="16.5" customHeight="1">
      <c r="A219" s="949"/>
      <c r="B219" s="964"/>
      <c r="C219" s="952"/>
      <c r="D219" s="994"/>
      <c r="E219" s="949"/>
      <c r="F219" s="961"/>
      <c r="G219" s="964"/>
      <c r="H219" s="488">
        <v>633197</v>
      </c>
      <c r="I219" s="488">
        <v>335780</v>
      </c>
      <c r="J219" s="955"/>
      <c r="K219" s="955"/>
      <c r="L219" s="958"/>
      <c r="M219" s="958"/>
      <c r="N219" s="955"/>
      <c r="O219" s="955"/>
      <c r="P219" s="958"/>
      <c r="Q219" s="958"/>
      <c r="R219" s="955"/>
      <c r="S219" s="958"/>
      <c r="T219" s="958"/>
      <c r="U219" s="955"/>
      <c r="V219" s="958"/>
      <c r="W219" s="958"/>
    </row>
    <row r="220" spans="1:23" s="489" customFormat="1" ht="16.5" customHeight="1">
      <c r="A220" s="949"/>
      <c r="B220" s="964"/>
      <c r="C220" s="952"/>
      <c r="D220" s="994"/>
      <c r="E220" s="949"/>
      <c r="F220" s="961"/>
      <c r="G220" s="964"/>
      <c r="H220" s="488">
        <v>0</v>
      </c>
      <c r="I220" s="488">
        <v>0</v>
      </c>
      <c r="J220" s="955"/>
      <c r="K220" s="955"/>
      <c r="L220" s="958"/>
      <c r="M220" s="958"/>
      <c r="N220" s="955"/>
      <c r="O220" s="955"/>
      <c r="P220" s="958"/>
      <c r="Q220" s="958"/>
      <c r="R220" s="955"/>
      <c r="S220" s="958"/>
      <c r="T220" s="958"/>
      <c r="U220" s="955"/>
      <c r="V220" s="958"/>
      <c r="W220" s="958"/>
    </row>
    <row r="221" spans="1:23" s="489" customFormat="1" ht="16.5" customHeight="1">
      <c r="A221" s="949"/>
      <c r="B221" s="965"/>
      <c r="C221" s="952"/>
      <c r="D221" s="995"/>
      <c r="E221" s="949"/>
      <c r="F221" s="962"/>
      <c r="G221" s="965"/>
      <c r="H221" s="488">
        <v>0</v>
      </c>
      <c r="I221" s="488">
        <v>0</v>
      </c>
      <c r="J221" s="956"/>
      <c r="K221" s="956"/>
      <c r="L221" s="959"/>
      <c r="M221" s="959"/>
      <c r="N221" s="956"/>
      <c r="O221" s="956"/>
      <c r="P221" s="959"/>
      <c r="Q221" s="959"/>
      <c r="R221" s="956"/>
      <c r="S221" s="959"/>
      <c r="T221" s="959"/>
      <c r="U221" s="956"/>
      <c r="V221" s="959"/>
      <c r="W221" s="959"/>
    </row>
    <row r="222" spans="1:23" s="489" customFormat="1" ht="16.5" customHeight="1">
      <c r="A222" s="949">
        <v>42</v>
      </c>
      <c r="B222" s="963" t="s">
        <v>676</v>
      </c>
      <c r="C222" s="952" t="s">
        <v>672</v>
      </c>
      <c r="D222" s="993" t="s">
        <v>679</v>
      </c>
      <c r="E222" s="949" t="s">
        <v>595</v>
      </c>
      <c r="F222" s="960" t="s">
        <v>669</v>
      </c>
      <c r="G222" s="963" t="s">
        <v>577</v>
      </c>
      <c r="H222" s="488">
        <f>H223+H224+H225+H226</f>
        <v>2404648</v>
      </c>
      <c r="I222" s="488">
        <f>I223+I224+I225+I226</f>
        <v>2382333</v>
      </c>
      <c r="J222" s="954">
        <f>K222+N222</f>
        <v>22315</v>
      </c>
      <c r="K222" s="954">
        <f>L222+M222</f>
        <v>20617</v>
      </c>
      <c r="L222" s="957">
        <v>20617</v>
      </c>
      <c r="M222" s="957">
        <v>0</v>
      </c>
      <c r="N222" s="954">
        <f>O222+R222+U222</f>
        <v>1698</v>
      </c>
      <c r="O222" s="954">
        <f>P222+Q222</f>
        <v>1698</v>
      </c>
      <c r="P222" s="957">
        <v>1698</v>
      </c>
      <c r="Q222" s="957">
        <v>0</v>
      </c>
      <c r="R222" s="954">
        <f>S222+T222</f>
        <v>0</v>
      </c>
      <c r="S222" s="957">
        <v>0</v>
      </c>
      <c r="T222" s="957">
        <v>0</v>
      </c>
      <c r="U222" s="954">
        <f>V222+W222</f>
        <v>0</v>
      </c>
      <c r="V222" s="957">
        <v>0</v>
      </c>
      <c r="W222" s="957">
        <v>0</v>
      </c>
    </row>
    <row r="223" spans="1:23" s="489" customFormat="1" ht="16.5" customHeight="1">
      <c r="A223" s="949"/>
      <c r="B223" s="964"/>
      <c r="C223" s="952"/>
      <c r="D223" s="994"/>
      <c r="E223" s="949"/>
      <c r="F223" s="961"/>
      <c r="G223" s="964"/>
      <c r="H223" s="488">
        <v>2221706</v>
      </c>
      <c r="I223" s="488">
        <v>2201089</v>
      </c>
      <c r="J223" s="955"/>
      <c r="K223" s="955"/>
      <c r="L223" s="958"/>
      <c r="M223" s="958"/>
      <c r="N223" s="955"/>
      <c r="O223" s="955"/>
      <c r="P223" s="958"/>
      <c r="Q223" s="958"/>
      <c r="R223" s="955"/>
      <c r="S223" s="958"/>
      <c r="T223" s="958"/>
      <c r="U223" s="955"/>
      <c r="V223" s="958"/>
      <c r="W223" s="958"/>
    </row>
    <row r="224" spans="1:23" s="489" customFormat="1" ht="16.5" customHeight="1">
      <c r="A224" s="949"/>
      <c r="B224" s="964"/>
      <c r="C224" s="952"/>
      <c r="D224" s="994"/>
      <c r="E224" s="949"/>
      <c r="F224" s="961"/>
      <c r="G224" s="964"/>
      <c r="H224" s="488">
        <v>182942</v>
      </c>
      <c r="I224" s="488">
        <v>181244</v>
      </c>
      <c r="J224" s="955"/>
      <c r="K224" s="955"/>
      <c r="L224" s="958"/>
      <c r="M224" s="958"/>
      <c r="N224" s="955"/>
      <c r="O224" s="955"/>
      <c r="P224" s="958"/>
      <c r="Q224" s="958"/>
      <c r="R224" s="955"/>
      <c r="S224" s="958"/>
      <c r="T224" s="958"/>
      <c r="U224" s="955"/>
      <c r="V224" s="958"/>
      <c r="W224" s="958"/>
    </row>
    <row r="225" spans="1:23" s="489" customFormat="1" ht="16.5" customHeight="1">
      <c r="A225" s="949"/>
      <c r="B225" s="964"/>
      <c r="C225" s="952"/>
      <c r="D225" s="994"/>
      <c r="E225" s="949"/>
      <c r="F225" s="961"/>
      <c r="G225" s="964"/>
      <c r="H225" s="488">
        <v>0</v>
      </c>
      <c r="I225" s="488">
        <v>0</v>
      </c>
      <c r="J225" s="955"/>
      <c r="K225" s="955"/>
      <c r="L225" s="958"/>
      <c r="M225" s="958"/>
      <c r="N225" s="955"/>
      <c r="O225" s="955"/>
      <c r="P225" s="958"/>
      <c r="Q225" s="958"/>
      <c r="R225" s="955"/>
      <c r="S225" s="958"/>
      <c r="T225" s="958"/>
      <c r="U225" s="955"/>
      <c r="V225" s="958"/>
      <c r="W225" s="958"/>
    </row>
    <row r="226" spans="1:23" s="489" customFormat="1" ht="16.5" customHeight="1">
      <c r="A226" s="949"/>
      <c r="B226" s="965"/>
      <c r="C226" s="952"/>
      <c r="D226" s="995"/>
      <c r="E226" s="949"/>
      <c r="F226" s="962"/>
      <c r="G226" s="965"/>
      <c r="H226" s="488">
        <v>0</v>
      </c>
      <c r="I226" s="488">
        <v>0</v>
      </c>
      <c r="J226" s="956"/>
      <c r="K226" s="956"/>
      <c r="L226" s="959"/>
      <c r="M226" s="959"/>
      <c r="N226" s="956"/>
      <c r="O226" s="956"/>
      <c r="P226" s="959"/>
      <c r="Q226" s="959"/>
      <c r="R226" s="956"/>
      <c r="S226" s="959"/>
      <c r="T226" s="959"/>
      <c r="U226" s="956"/>
      <c r="V226" s="959"/>
      <c r="W226" s="959"/>
    </row>
    <row r="227" spans="1:23" s="489" customFormat="1" ht="16.5" customHeight="1">
      <c r="A227" s="949">
        <v>43</v>
      </c>
      <c r="B227" s="963" t="s">
        <v>676</v>
      </c>
      <c r="C227" s="952" t="s">
        <v>672</v>
      </c>
      <c r="D227" s="993" t="s">
        <v>680</v>
      </c>
      <c r="E227" s="949" t="s">
        <v>595</v>
      </c>
      <c r="F227" s="960" t="s">
        <v>669</v>
      </c>
      <c r="G227" s="963" t="s">
        <v>626</v>
      </c>
      <c r="H227" s="488">
        <f>H228+H229+H230+H231</f>
        <v>16205858</v>
      </c>
      <c r="I227" s="488">
        <f>I228+I229+I230+I231</f>
        <v>5000000</v>
      </c>
      <c r="J227" s="954">
        <f>K227+N227</f>
        <v>6622159</v>
      </c>
      <c r="K227" s="954">
        <f>L227+M227</f>
        <v>6622159</v>
      </c>
      <c r="L227" s="957">
        <v>6622159</v>
      </c>
      <c r="M227" s="957">
        <v>0</v>
      </c>
      <c r="N227" s="954">
        <f>O227+R227+U227</f>
        <v>0</v>
      </c>
      <c r="O227" s="954">
        <f>P227+Q227</f>
        <v>0</v>
      </c>
      <c r="P227" s="957">
        <v>0</v>
      </c>
      <c r="Q227" s="957">
        <v>0</v>
      </c>
      <c r="R227" s="954">
        <f>S227+T227</f>
        <v>0</v>
      </c>
      <c r="S227" s="957">
        <v>0</v>
      </c>
      <c r="T227" s="957">
        <v>0</v>
      </c>
      <c r="U227" s="954">
        <f>V227+W227</f>
        <v>0</v>
      </c>
      <c r="V227" s="957">
        <v>0</v>
      </c>
      <c r="W227" s="957">
        <v>0</v>
      </c>
    </row>
    <row r="228" spans="1:23" s="489" customFormat="1" ht="16.5" customHeight="1">
      <c r="A228" s="949"/>
      <c r="B228" s="964"/>
      <c r="C228" s="952"/>
      <c r="D228" s="994"/>
      <c r="E228" s="949"/>
      <c r="F228" s="961"/>
      <c r="G228" s="964"/>
      <c r="H228" s="488">
        <v>16205858</v>
      </c>
      <c r="I228" s="488">
        <v>5000000</v>
      </c>
      <c r="J228" s="955"/>
      <c r="K228" s="955"/>
      <c r="L228" s="958"/>
      <c r="M228" s="958"/>
      <c r="N228" s="955"/>
      <c r="O228" s="955"/>
      <c r="P228" s="958"/>
      <c r="Q228" s="958"/>
      <c r="R228" s="955"/>
      <c r="S228" s="958"/>
      <c r="T228" s="958"/>
      <c r="U228" s="955"/>
      <c r="V228" s="958"/>
      <c r="W228" s="958"/>
    </row>
    <row r="229" spans="1:23" s="489" customFormat="1" ht="16.5" customHeight="1">
      <c r="A229" s="949"/>
      <c r="B229" s="964"/>
      <c r="C229" s="952"/>
      <c r="D229" s="994"/>
      <c r="E229" s="949"/>
      <c r="F229" s="961"/>
      <c r="G229" s="964"/>
      <c r="H229" s="488">
        <v>0</v>
      </c>
      <c r="I229" s="488">
        <v>0</v>
      </c>
      <c r="J229" s="955"/>
      <c r="K229" s="955"/>
      <c r="L229" s="958"/>
      <c r="M229" s="958"/>
      <c r="N229" s="955"/>
      <c r="O229" s="955"/>
      <c r="P229" s="958"/>
      <c r="Q229" s="958"/>
      <c r="R229" s="955"/>
      <c r="S229" s="958"/>
      <c r="T229" s="958"/>
      <c r="U229" s="955"/>
      <c r="V229" s="958"/>
      <c r="W229" s="958"/>
    </row>
    <row r="230" spans="1:23" s="489" customFormat="1" ht="16.5" customHeight="1">
      <c r="A230" s="949"/>
      <c r="B230" s="964"/>
      <c r="C230" s="952"/>
      <c r="D230" s="994"/>
      <c r="E230" s="949"/>
      <c r="F230" s="961"/>
      <c r="G230" s="964"/>
      <c r="H230" s="488">
        <v>0</v>
      </c>
      <c r="I230" s="488">
        <v>0</v>
      </c>
      <c r="J230" s="955"/>
      <c r="K230" s="955"/>
      <c r="L230" s="958"/>
      <c r="M230" s="958"/>
      <c r="N230" s="955"/>
      <c r="O230" s="955"/>
      <c r="P230" s="958"/>
      <c r="Q230" s="958"/>
      <c r="R230" s="955"/>
      <c r="S230" s="958"/>
      <c r="T230" s="958"/>
      <c r="U230" s="955"/>
      <c r="V230" s="958"/>
      <c r="W230" s="958"/>
    </row>
    <row r="231" spans="1:23" s="489" customFormat="1" ht="16.5" customHeight="1">
      <c r="A231" s="949"/>
      <c r="B231" s="965"/>
      <c r="C231" s="952"/>
      <c r="D231" s="995"/>
      <c r="E231" s="949"/>
      <c r="F231" s="962"/>
      <c r="G231" s="965"/>
      <c r="H231" s="488">
        <v>0</v>
      </c>
      <c r="I231" s="488">
        <v>0</v>
      </c>
      <c r="J231" s="956"/>
      <c r="K231" s="956"/>
      <c r="L231" s="959"/>
      <c r="M231" s="959"/>
      <c r="N231" s="956"/>
      <c r="O231" s="956"/>
      <c r="P231" s="959"/>
      <c r="Q231" s="959"/>
      <c r="R231" s="956"/>
      <c r="S231" s="959"/>
      <c r="T231" s="959"/>
      <c r="U231" s="956"/>
      <c r="V231" s="959"/>
      <c r="W231" s="959"/>
    </row>
    <row r="232" spans="1:23" s="489" customFormat="1" ht="16.5" customHeight="1">
      <c r="A232" s="949">
        <v>44</v>
      </c>
      <c r="B232" s="996" t="s">
        <v>676</v>
      </c>
      <c r="C232" s="976" t="s">
        <v>672</v>
      </c>
      <c r="D232" s="999" t="s">
        <v>681</v>
      </c>
      <c r="E232" s="978" t="s">
        <v>572</v>
      </c>
      <c r="F232" s="1002" t="s">
        <v>682</v>
      </c>
      <c r="G232" s="996" t="s">
        <v>617</v>
      </c>
      <c r="H232" s="490">
        <f>H233+H234+H235+H236</f>
        <v>5882250</v>
      </c>
      <c r="I232" s="488">
        <f>I233+I234+I235+I236</f>
        <v>2417000</v>
      </c>
      <c r="J232" s="954">
        <f>K232+N232</f>
        <v>3465250</v>
      </c>
      <c r="K232" s="954">
        <f>L232+M232</f>
        <v>2945462</v>
      </c>
      <c r="L232" s="957">
        <v>2945462</v>
      </c>
      <c r="M232" s="957">
        <v>0</v>
      </c>
      <c r="N232" s="954">
        <f>O232+R232+U232</f>
        <v>519788</v>
      </c>
      <c r="O232" s="954">
        <f>P232+Q232</f>
        <v>519788</v>
      </c>
      <c r="P232" s="957">
        <v>519788</v>
      </c>
      <c r="Q232" s="957">
        <v>0</v>
      </c>
      <c r="R232" s="954">
        <f>S232+T232</f>
        <v>0</v>
      </c>
      <c r="S232" s="957">
        <v>0</v>
      </c>
      <c r="T232" s="957">
        <v>0</v>
      </c>
      <c r="U232" s="954">
        <f>V232+W232</f>
        <v>0</v>
      </c>
      <c r="V232" s="957">
        <v>0</v>
      </c>
      <c r="W232" s="957">
        <v>0</v>
      </c>
    </row>
    <row r="233" spans="1:23" s="489" customFormat="1" ht="16.5" customHeight="1">
      <c r="A233" s="949"/>
      <c r="B233" s="997"/>
      <c r="C233" s="976"/>
      <c r="D233" s="1000"/>
      <c r="E233" s="978"/>
      <c r="F233" s="1003"/>
      <c r="G233" s="997"/>
      <c r="H233" s="490">
        <v>4999912</v>
      </c>
      <c r="I233" s="488">
        <v>2054450</v>
      </c>
      <c r="J233" s="955"/>
      <c r="K233" s="955"/>
      <c r="L233" s="958"/>
      <c r="M233" s="958"/>
      <c r="N233" s="955"/>
      <c r="O233" s="955"/>
      <c r="P233" s="958"/>
      <c r="Q233" s="958"/>
      <c r="R233" s="955"/>
      <c r="S233" s="958"/>
      <c r="T233" s="958"/>
      <c r="U233" s="955"/>
      <c r="V233" s="958"/>
      <c r="W233" s="958"/>
    </row>
    <row r="234" spans="1:23" s="489" customFormat="1" ht="16.5" customHeight="1">
      <c r="A234" s="949"/>
      <c r="B234" s="997"/>
      <c r="C234" s="976"/>
      <c r="D234" s="1000"/>
      <c r="E234" s="978"/>
      <c r="F234" s="1003"/>
      <c r="G234" s="997"/>
      <c r="H234" s="490">
        <v>882338</v>
      </c>
      <c r="I234" s="488">
        <v>362550</v>
      </c>
      <c r="J234" s="955"/>
      <c r="K234" s="955"/>
      <c r="L234" s="958"/>
      <c r="M234" s="958"/>
      <c r="N234" s="955"/>
      <c r="O234" s="955"/>
      <c r="P234" s="958"/>
      <c r="Q234" s="958"/>
      <c r="R234" s="955"/>
      <c r="S234" s="958"/>
      <c r="T234" s="958"/>
      <c r="U234" s="955"/>
      <c r="V234" s="958"/>
      <c r="W234" s="958"/>
    </row>
    <row r="235" spans="1:23" s="489" customFormat="1" ht="16.5" customHeight="1">
      <c r="A235" s="949"/>
      <c r="B235" s="997"/>
      <c r="C235" s="976"/>
      <c r="D235" s="1000"/>
      <c r="E235" s="978"/>
      <c r="F235" s="1003"/>
      <c r="G235" s="997"/>
      <c r="H235" s="490">
        <v>0</v>
      </c>
      <c r="I235" s="488">
        <v>0</v>
      </c>
      <c r="J235" s="955"/>
      <c r="K235" s="955"/>
      <c r="L235" s="958"/>
      <c r="M235" s="958"/>
      <c r="N235" s="955"/>
      <c r="O235" s="955"/>
      <c r="P235" s="958"/>
      <c r="Q235" s="958"/>
      <c r="R235" s="955"/>
      <c r="S235" s="958"/>
      <c r="T235" s="958"/>
      <c r="U235" s="955"/>
      <c r="V235" s="958"/>
      <c r="W235" s="958"/>
    </row>
    <row r="236" spans="1:23" s="489" customFormat="1" ht="16.5" customHeight="1">
      <c r="A236" s="949"/>
      <c r="B236" s="998"/>
      <c r="C236" s="976"/>
      <c r="D236" s="1001"/>
      <c r="E236" s="978"/>
      <c r="F236" s="1004"/>
      <c r="G236" s="998"/>
      <c r="H236" s="490">
        <v>0</v>
      </c>
      <c r="I236" s="488">
        <v>0</v>
      </c>
      <c r="J236" s="956"/>
      <c r="K236" s="956"/>
      <c r="L236" s="959"/>
      <c r="M236" s="959"/>
      <c r="N236" s="956"/>
      <c r="O236" s="956"/>
      <c r="P236" s="959"/>
      <c r="Q236" s="959"/>
      <c r="R236" s="956"/>
      <c r="S236" s="959"/>
      <c r="T236" s="959"/>
      <c r="U236" s="956"/>
      <c r="V236" s="959"/>
      <c r="W236" s="959"/>
    </row>
    <row r="237" spans="1:23" s="489" customFormat="1" ht="16.5" customHeight="1">
      <c r="A237" s="949">
        <v>45</v>
      </c>
      <c r="B237" s="996" t="s">
        <v>676</v>
      </c>
      <c r="C237" s="976" t="s">
        <v>672</v>
      </c>
      <c r="D237" s="999" t="s">
        <v>683</v>
      </c>
      <c r="E237" s="978" t="s">
        <v>595</v>
      </c>
      <c r="F237" s="1002" t="s">
        <v>682</v>
      </c>
      <c r="G237" s="996" t="s">
        <v>637</v>
      </c>
      <c r="H237" s="490">
        <f>H238+H239+H240+H241</f>
        <v>37166414</v>
      </c>
      <c r="I237" s="490">
        <f>I238+I239+I240+I241</f>
        <v>34322296</v>
      </c>
      <c r="J237" s="954">
        <f>K237+N237</f>
        <v>2844118</v>
      </c>
      <c r="K237" s="954">
        <f>L237+M237</f>
        <v>2544737</v>
      </c>
      <c r="L237" s="957">
        <v>2544737</v>
      </c>
      <c r="M237" s="957">
        <v>0</v>
      </c>
      <c r="N237" s="954">
        <f>O237+R237+U237</f>
        <v>299381</v>
      </c>
      <c r="O237" s="954">
        <f>P237+Q237</f>
        <v>299381</v>
      </c>
      <c r="P237" s="957">
        <v>299381</v>
      </c>
      <c r="Q237" s="957">
        <v>0</v>
      </c>
      <c r="R237" s="954">
        <f>S237+T237</f>
        <v>0</v>
      </c>
      <c r="S237" s="957">
        <v>0</v>
      </c>
      <c r="T237" s="957">
        <v>0</v>
      </c>
      <c r="U237" s="954">
        <f>V237+W237</f>
        <v>0</v>
      </c>
      <c r="V237" s="957">
        <v>0</v>
      </c>
      <c r="W237" s="957">
        <v>0</v>
      </c>
    </row>
    <row r="238" spans="1:23" s="489" customFormat="1" ht="16.5" customHeight="1">
      <c r="A238" s="949"/>
      <c r="B238" s="997"/>
      <c r="C238" s="976"/>
      <c r="D238" s="1000"/>
      <c r="E238" s="978"/>
      <c r="F238" s="1003"/>
      <c r="G238" s="997"/>
      <c r="H238" s="490">
        <v>33254160</v>
      </c>
      <c r="I238" s="490">
        <v>30709423</v>
      </c>
      <c r="J238" s="955"/>
      <c r="K238" s="955"/>
      <c r="L238" s="958"/>
      <c r="M238" s="958"/>
      <c r="N238" s="955"/>
      <c r="O238" s="955"/>
      <c r="P238" s="958"/>
      <c r="Q238" s="958"/>
      <c r="R238" s="955"/>
      <c r="S238" s="958"/>
      <c r="T238" s="958"/>
      <c r="U238" s="955"/>
      <c r="V238" s="958"/>
      <c r="W238" s="958"/>
    </row>
    <row r="239" spans="1:23" s="489" customFormat="1" ht="16.5" customHeight="1">
      <c r="A239" s="949"/>
      <c r="B239" s="997"/>
      <c r="C239" s="976"/>
      <c r="D239" s="1000"/>
      <c r="E239" s="978"/>
      <c r="F239" s="1003"/>
      <c r="G239" s="997"/>
      <c r="H239" s="490">
        <v>3912254</v>
      </c>
      <c r="I239" s="490">
        <v>3612873</v>
      </c>
      <c r="J239" s="955"/>
      <c r="K239" s="955"/>
      <c r="L239" s="958"/>
      <c r="M239" s="958"/>
      <c r="N239" s="955"/>
      <c r="O239" s="955"/>
      <c r="P239" s="958"/>
      <c r="Q239" s="958"/>
      <c r="R239" s="955"/>
      <c r="S239" s="958"/>
      <c r="T239" s="958"/>
      <c r="U239" s="955"/>
      <c r="V239" s="958"/>
      <c r="W239" s="958"/>
    </row>
    <row r="240" spans="1:23" s="489" customFormat="1" ht="16.5" customHeight="1">
      <c r="A240" s="949"/>
      <c r="B240" s="997"/>
      <c r="C240" s="976"/>
      <c r="D240" s="1000"/>
      <c r="E240" s="978"/>
      <c r="F240" s="1003"/>
      <c r="G240" s="997"/>
      <c r="H240" s="490">
        <v>0</v>
      </c>
      <c r="I240" s="490">
        <v>0</v>
      </c>
      <c r="J240" s="955"/>
      <c r="K240" s="955"/>
      <c r="L240" s="958"/>
      <c r="M240" s="958"/>
      <c r="N240" s="955"/>
      <c r="O240" s="955"/>
      <c r="P240" s="958"/>
      <c r="Q240" s="958"/>
      <c r="R240" s="955"/>
      <c r="S240" s="958"/>
      <c r="T240" s="958"/>
      <c r="U240" s="955"/>
      <c r="V240" s="958"/>
      <c r="W240" s="958"/>
    </row>
    <row r="241" spans="1:23" s="489" customFormat="1" ht="16.5" customHeight="1">
      <c r="A241" s="949"/>
      <c r="B241" s="998"/>
      <c r="C241" s="976"/>
      <c r="D241" s="1001"/>
      <c r="E241" s="978"/>
      <c r="F241" s="1004"/>
      <c r="G241" s="998"/>
      <c r="H241" s="490">
        <v>0</v>
      </c>
      <c r="I241" s="490">
        <v>0</v>
      </c>
      <c r="J241" s="956"/>
      <c r="K241" s="956"/>
      <c r="L241" s="959"/>
      <c r="M241" s="959"/>
      <c r="N241" s="956"/>
      <c r="O241" s="956"/>
      <c r="P241" s="959"/>
      <c r="Q241" s="959"/>
      <c r="R241" s="956"/>
      <c r="S241" s="959"/>
      <c r="T241" s="959"/>
      <c r="U241" s="956"/>
      <c r="V241" s="959"/>
      <c r="W241" s="959"/>
    </row>
    <row r="242" spans="1:23" s="489" customFormat="1" ht="15.75" customHeight="1">
      <c r="A242" s="949">
        <v>46</v>
      </c>
      <c r="B242" s="963" t="s">
        <v>684</v>
      </c>
      <c r="C242" s="952" t="s">
        <v>685</v>
      </c>
      <c r="D242" s="993" t="s">
        <v>686</v>
      </c>
      <c r="E242" s="949" t="s">
        <v>595</v>
      </c>
      <c r="F242" s="960" t="s">
        <v>669</v>
      </c>
      <c r="G242" s="963" t="s">
        <v>580</v>
      </c>
      <c r="H242" s="488">
        <f>H243+H244+H245+H246</f>
        <v>3240000</v>
      </c>
      <c r="I242" s="488">
        <f>I243+I244+I245+I246</f>
        <v>1777012</v>
      </c>
      <c r="J242" s="954">
        <f>K242+N242</f>
        <v>762988</v>
      </c>
      <c r="K242" s="954">
        <f>L242+M242</f>
        <v>648540</v>
      </c>
      <c r="L242" s="957">
        <v>648540</v>
      </c>
      <c r="M242" s="957">
        <v>0</v>
      </c>
      <c r="N242" s="954">
        <f>O242+R242+U242</f>
        <v>114448</v>
      </c>
      <c r="O242" s="954">
        <f>P242+Q242</f>
        <v>0</v>
      </c>
      <c r="P242" s="957">
        <v>0</v>
      </c>
      <c r="Q242" s="957">
        <v>0</v>
      </c>
      <c r="R242" s="954">
        <f>S242+T242</f>
        <v>114448</v>
      </c>
      <c r="S242" s="957">
        <v>114448</v>
      </c>
      <c r="T242" s="957">
        <v>0</v>
      </c>
      <c r="U242" s="954">
        <f>V242+W242</f>
        <v>0</v>
      </c>
      <c r="V242" s="957">
        <v>0</v>
      </c>
      <c r="W242" s="957">
        <v>0</v>
      </c>
    </row>
    <row r="243" spans="1:23" s="489" customFormat="1" ht="15.75" customHeight="1">
      <c r="A243" s="949"/>
      <c r="B243" s="964"/>
      <c r="C243" s="952"/>
      <c r="D243" s="994"/>
      <c r="E243" s="949"/>
      <c r="F243" s="961"/>
      <c r="G243" s="964"/>
      <c r="H243" s="488">
        <v>2754000</v>
      </c>
      <c r="I243" s="488">
        <v>1510460</v>
      </c>
      <c r="J243" s="955"/>
      <c r="K243" s="955"/>
      <c r="L243" s="958"/>
      <c r="M243" s="958"/>
      <c r="N243" s="955"/>
      <c r="O243" s="955"/>
      <c r="P243" s="958"/>
      <c r="Q243" s="958"/>
      <c r="R243" s="955"/>
      <c r="S243" s="958"/>
      <c r="T243" s="958"/>
      <c r="U243" s="955"/>
      <c r="V243" s="958"/>
      <c r="W243" s="958"/>
    </row>
    <row r="244" spans="1:23" s="489" customFormat="1" ht="15.75" customHeight="1">
      <c r="A244" s="949"/>
      <c r="B244" s="964"/>
      <c r="C244" s="952"/>
      <c r="D244" s="994"/>
      <c r="E244" s="949"/>
      <c r="F244" s="961"/>
      <c r="G244" s="964"/>
      <c r="H244" s="488">
        <v>0</v>
      </c>
      <c r="I244" s="488">
        <v>0</v>
      </c>
      <c r="J244" s="955"/>
      <c r="K244" s="955"/>
      <c r="L244" s="958"/>
      <c r="M244" s="958"/>
      <c r="N244" s="955"/>
      <c r="O244" s="955"/>
      <c r="P244" s="958"/>
      <c r="Q244" s="958"/>
      <c r="R244" s="955"/>
      <c r="S244" s="958"/>
      <c r="T244" s="958"/>
      <c r="U244" s="955"/>
      <c r="V244" s="958"/>
      <c r="W244" s="958"/>
    </row>
    <row r="245" spans="1:23" s="489" customFormat="1" ht="15.75" customHeight="1">
      <c r="A245" s="949"/>
      <c r="B245" s="964"/>
      <c r="C245" s="952"/>
      <c r="D245" s="994"/>
      <c r="E245" s="949"/>
      <c r="F245" s="961"/>
      <c r="G245" s="964"/>
      <c r="H245" s="488">
        <v>486000</v>
      </c>
      <c r="I245" s="488">
        <v>266552</v>
      </c>
      <c r="J245" s="955"/>
      <c r="K245" s="955"/>
      <c r="L245" s="958"/>
      <c r="M245" s="958"/>
      <c r="N245" s="955"/>
      <c r="O245" s="955"/>
      <c r="P245" s="958"/>
      <c r="Q245" s="958"/>
      <c r="R245" s="955"/>
      <c r="S245" s="958"/>
      <c r="T245" s="958"/>
      <c r="U245" s="955"/>
      <c r="V245" s="958"/>
      <c r="W245" s="958"/>
    </row>
    <row r="246" spans="1:23" s="489" customFormat="1" ht="15.75" customHeight="1">
      <c r="A246" s="949"/>
      <c r="B246" s="965"/>
      <c r="C246" s="952"/>
      <c r="D246" s="995"/>
      <c r="E246" s="949"/>
      <c r="F246" s="962"/>
      <c r="G246" s="965"/>
      <c r="H246" s="488">
        <v>0</v>
      </c>
      <c r="I246" s="488">
        <v>0</v>
      </c>
      <c r="J246" s="956"/>
      <c r="K246" s="956"/>
      <c r="L246" s="959"/>
      <c r="M246" s="959"/>
      <c r="N246" s="956"/>
      <c r="O246" s="956"/>
      <c r="P246" s="959"/>
      <c r="Q246" s="959"/>
      <c r="R246" s="956"/>
      <c r="S246" s="959"/>
      <c r="T246" s="959"/>
      <c r="U246" s="956"/>
      <c r="V246" s="959"/>
      <c r="W246" s="959"/>
    </row>
    <row r="247" spans="1:23" s="489" customFormat="1" ht="15.75" customHeight="1">
      <c r="A247" s="949">
        <v>47</v>
      </c>
      <c r="B247" s="963" t="s">
        <v>687</v>
      </c>
      <c r="C247" s="952" t="s">
        <v>688</v>
      </c>
      <c r="D247" s="993" t="s">
        <v>689</v>
      </c>
      <c r="E247" s="949" t="s">
        <v>572</v>
      </c>
      <c r="F247" s="960" t="s">
        <v>690</v>
      </c>
      <c r="G247" s="963" t="s">
        <v>626</v>
      </c>
      <c r="H247" s="488">
        <f>H248+H249+H250+H251</f>
        <v>3091940</v>
      </c>
      <c r="I247" s="488">
        <f>I248+I249+I250+I251</f>
        <v>0</v>
      </c>
      <c r="J247" s="954">
        <f>K247+N247</f>
        <v>995161</v>
      </c>
      <c r="K247" s="954">
        <f>L247+M247</f>
        <v>845887</v>
      </c>
      <c r="L247" s="957">
        <v>845887</v>
      </c>
      <c r="M247" s="957">
        <v>0</v>
      </c>
      <c r="N247" s="954">
        <f>O247+R247+U247</f>
        <v>149274</v>
      </c>
      <c r="O247" s="954">
        <f>P247+Q247</f>
        <v>0</v>
      </c>
      <c r="P247" s="957">
        <v>0</v>
      </c>
      <c r="Q247" s="957">
        <v>0</v>
      </c>
      <c r="R247" s="954">
        <f>S247+T247</f>
        <v>149274</v>
      </c>
      <c r="S247" s="957">
        <v>149274</v>
      </c>
      <c r="T247" s="957">
        <v>0</v>
      </c>
      <c r="U247" s="954">
        <f>V247+W247</f>
        <v>0</v>
      </c>
      <c r="V247" s="957">
        <v>0</v>
      </c>
      <c r="W247" s="957">
        <v>0</v>
      </c>
    </row>
    <row r="248" spans="1:23" s="489" customFormat="1" ht="15.75" customHeight="1">
      <c r="A248" s="949"/>
      <c r="B248" s="964"/>
      <c r="C248" s="952"/>
      <c r="D248" s="994"/>
      <c r="E248" s="949"/>
      <c r="F248" s="961"/>
      <c r="G248" s="964"/>
      <c r="H248" s="488">
        <v>2628149</v>
      </c>
      <c r="I248" s="488">
        <v>0</v>
      </c>
      <c r="J248" s="955"/>
      <c r="K248" s="955"/>
      <c r="L248" s="958"/>
      <c r="M248" s="958"/>
      <c r="N248" s="955"/>
      <c r="O248" s="955"/>
      <c r="P248" s="958"/>
      <c r="Q248" s="958"/>
      <c r="R248" s="955"/>
      <c r="S248" s="958"/>
      <c r="T248" s="958"/>
      <c r="U248" s="955"/>
      <c r="V248" s="958"/>
      <c r="W248" s="958"/>
    </row>
    <row r="249" spans="1:23" s="489" customFormat="1" ht="15.75" customHeight="1">
      <c r="A249" s="949"/>
      <c r="B249" s="964"/>
      <c r="C249" s="952"/>
      <c r="D249" s="994"/>
      <c r="E249" s="949"/>
      <c r="F249" s="961"/>
      <c r="G249" s="964"/>
      <c r="H249" s="488">
        <v>0</v>
      </c>
      <c r="I249" s="488">
        <v>0</v>
      </c>
      <c r="J249" s="955"/>
      <c r="K249" s="955"/>
      <c r="L249" s="958"/>
      <c r="M249" s="958"/>
      <c r="N249" s="955"/>
      <c r="O249" s="955"/>
      <c r="P249" s="958"/>
      <c r="Q249" s="958"/>
      <c r="R249" s="955"/>
      <c r="S249" s="958"/>
      <c r="T249" s="958"/>
      <c r="U249" s="955"/>
      <c r="V249" s="958"/>
      <c r="W249" s="958"/>
    </row>
    <row r="250" spans="1:23" s="489" customFormat="1" ht="15.75" customHeight="1">
      <c r="A250" s="949"/>
      <c r="B250" s="964"/>
      <c r="C250" s="952"/>
      <c r="D250" s="994"/>
      <c r="E250" s="949"/>
      <c r="F250" s="961"/>
      <c r="G250" s="964"/>
      <c r="H250" s="488">
        <v>463791</v>
      </c>
      <c r="I250" s="488">
        <v>0</v>
      </c>
      <c r="J250" s="955"/>
      <c r="K250" s="955"/>
      <c r="L250" s="958"/>
      <c r="M250" s="958"/>
      <c r="N250" s="955"/>
      <c r="O250" s="955"/>
      <c r="P250" s="958"/>
      <c r="Q250" s="958"/>
      <c r="R250" s="955"/>
      <c r="S250" s="958"/>
      <c r="T250" s="958"/>
      <c r="U250" s="955"/>
      <c r="V250" s="958"/>
      <c r="W250" s="958"/>
    </row>
    <row r="251" spans="1:23" s="489" customFormat="1" ht="15.75" customHeight="1">
      <c r="A251" s="949"/>
      <c r="B251" s="965"/>
      <c r="C251" s="952"/>
      <c r="D251" s="995"/>
      <c r="E251" s="949"/>
      <c r="F251" s="962"/>
      <c r="G251" s="965"/>
      <c r="H251" s="488">
        <v>0</v>
      </c>
      <c r="I251" s="488">
        <v>0</v>
      </c>
      <c r="J251" s="956"/>
      <c r="K251" s="956"/>
      <c r="L251" s="959"/>
      <c r="M251" s="959"/>
      <c r="N251" s="956"/>
      <c r="O251" s="956"/>
      <c r="P251" s="959"/>
      <c r="Q251" s="959"/>
      <c r="R251" s="956"/>
      <c r="S251" s="959"/>
      <c r="T251" s="959"/>
      <c r="U251" s="956"/>
      <c r="V251" s="959"/>
      <c r="W251" s="959"/>
    </row>
    <row r="252" spans="1:23" s="489" customFormat="1" ht="15.75" customHeight="1">
      <c r="A252" s="949">
        <v>48</v>
      </c>
      <c r="B252" s="963" t="s">
        <v>691</v>
      </c>
      <c r="C252" s="952" t="s">
        <v>688</v>
      </c>
      <c r="D252" s="993" t="s">
        <v>692</v>
      </c>
      <c r="E252" s="949" t="s">
        <v>572</v>
      </c>
      <c r="F252" s="960" t="s">
        <v>693</v>
      </c>
      <c r="G252" s="963" t="s">
        <v>612</v>
      </c>
      <c r="H252" s="488">
        <f>H253+H254+H255+H256</f>
        <v>2764483</v>
      </c>
      <c r="I252" s="488">
        <f>I253+I254+I255+I256</f>
        <v>1784082</v>
      </c>
      <c r="J252" s="954">
        <f>K252+N252</f>
        <v>886360</v>
      </c>
      <c r="K252" s="954">
        <f>L252+M252</f>
        <v>793059</v>
      </c>
      <c r="L252" s="957">
        <v>793059</v>
      </c>
      <c r="M252" s="957">
        <v>0</v>
      </c>
      <c r="N252" s="954">
        <f>O252+R252+U252</f>
        <v>93301</v>
      </c>
      <c r="O252" s="954">
        <f>P252+Q252</f>
        <v>93301</v>
      </c>
      <c r="P252" s="957">
        <v>93301</v>
      </c>
      <c r="Q252" s="957">
        <v>0</v>
      </c>
      <c r="R252" s="954">
        <f>S252+T252</f>
        <v>0</v>
      </c>
      <c r="S252" s="957">
        <v>0</v>
      </c>
      <c r="T252" s="957">
        <v>0</v>
      </c>
      <c r="U252" s="954">
        <f>V252+W252</f>
        <v>0</v>
      </c>
      <c r="V252" s="957">
        <v>0</v>
      </c>
      <c r="W252" s="957">
        <v>0</v>
      </c>
    </row>
    <row r="253" spans="1:23" s="489" customFormat="1" ht="15.75" customHeight="1">
      <c r="A253" s="949"/>
      <c r="B253" s="964"/>
      <c r="C253" s="952"/>
      <c r="D253" s="994"/>
      <c r="E253" s="949"/>
      <c r="F253" s="961"/>
      <c r="G253" s="964"/>
      <c r="H253" s="488">
        <v>2473485</v>
      </c>
      <c r="I253" s="488">
        <v>1596283</v>
      </c>
      <c r="J253" s="955"/>
      <c r="K253" s="955"/>
      <c r="L253" s="958"/>
      <c r="M253" s="958"/>
      <c r="N253" s="955"/>
      <c r="O253" s="955"/>
      <c r="P253" s="958"/>
      <c r="Q253" s="958"/>
      <c r="R253" s="955"/>
      <c r="S253" s="958"/>
      <c r="T253" s="958"/>
      <c r="U253" s="955"/>
      <c r="V253" s="958"/>
      <c r="W253" s="958"/>
    </row>
    <row r="254" spans="1:23" s="489" customFormat="1" ht="15.75" customHeight="1">
      <c r="A254" s="949"/>
      <c r="B254" s="964"/>
      <c r="C254" s="952"/>
      <c r="D254" s="994"/>
      <c r="E254" s="949"/>
      <c r="F254" s="961"/>
      <c r="G254" s="964"/>
      <c r="H254" s="488">
        <v>290998</v>
      </c>
      <c r="I254" s="488">
        <v>187799</v>
      </c>
      <c r="J254" s="955"/>
      <c r="K254" s="955"/>
      <c r="L254" s="958"/>
      <c r="M254" s="958"/>
      <c r="N254" s="955"/>
      <c r="O254" s="955"/>
      <c r="P254" s="958"/>
      <c r="Q254" s="958"/>
      <c r="R254" s="955"/>
      <c r="S254" s="958"/>
      <c r="T254" s="958"/>
      <c r="U254" s="955"/>
      <c r="V254" s="958"/>
      <c r="W254" s="958"/>
    </row>
    <row r="255" spans="1:23" s="489" customFormat="1" ht="15.75" customHeight="1">
      <c r="A255" s="949"/>
      <c r="B255" s="964"/>
      <c r="C255" s="952"/>
      <c r="D255" s="994"/>
      <c r="E255" s="949"/>
      <c r="F255" s="961"/>
      <c r="G255" s="964"/>
      <c r="H255" s="488">
        <v>0</v>
      </c>
      <c r="I255" s="488">
        <v>0</v>
      </c>
      <c r="J255" s="955"/>
      <c r="K255" s="955"/>
      <c r="L255" s="958"/>
      <c r="M255" s="958"/>
      <c r="N255" s="955"/>
      <c r="O255" s="955"/>
      <c r="P255" s="958"/>
      <c r="Q255" s="958"/>
      <c r="R255" s="955"/>
      <c r="S255" s="958"/>
      <c r="T255" s="958"/>
      <c r="U255" s="955"/>
      <c r="V255" s="958"/>
      <c r="W255" s="958"/>
    </row>
    <row r="256" spans="1:23" s="489" customFormat="1" ht="15.75" customHeight="1">
      <c r="A256" s="949"/>
      <c r="B256" s="965"/>
      <c r="C256" s="952"/>
      <c r="D256" s="995"/>
      <c r="E256" s="949"/>
      <c r="F256" s="962"/>
      <c r="G256" s="965"/>
      <c r="H256" s="488">
        <v>0</v>
      </c>
      <c r="I256" s="488">
        <v>0</v>
      </c>
      <c r="J256" s="956"/>
      <c r="K256" s="956"/>
      <c r="L256" s="959"/>
      <c r="M256" s="959"/>
      <c r="N256" s="956"/>
      <c r="O256" s="956"/>
      <c r="P256" s="959"/>
      <c r="Q256" s="959"/>
      <c r="R256" s="956"/>
      <c r="S256" s="959"/>
      <c r="T256" s="959"/>
      <c r="U256" s="956"/>
      <c r="V256" s="959"/>
      <c r="W256" s="959"/>
    </row>
    <row r="257" spans="1:23" s="489" customFormat="1" ht="15.75" customHeight="1">
      <c r="A257" s="949">
        <v>49</v>
      </c>
      <c r="B257" s="963" t="s">
        <v>691</v>
      </c>
      <c r="C257" s="952" t="s">
        <v>688</v>
      </c>
      <c r="D257" s="993" t="s">
        <v>694</v>
      </c>
      <c r="E257" s="949" t="s">
        <v>572</v>
      </c>
      <c r="F257" s="960" t="s">
        <v>693</v>
      </c>
      <c r="G257" s="963" t="s">
        <v>580</v>
      </c>
      <c r="H257" s="488">
        <f>H258+H259+H260+H261</f>
        <v>3517126</v>
      </c>
      <c r="I257" s="488">
        <f>I258+I259+I260+I261</f>
        <v>2391999</v>
      </c>
      <c r="J257" s="954">
        <f>K257+N257</f>
        <v>746326</v>
      </c>
      <c r="K257" s="954">
        <f>L257+M257</f>
        <v>746326</v>
      </c>
      <c r="L257" s="957">
        <v>746326</v>
      </c>
      <c r="M257" s="957">
        <v>0</v>
      </c>
      <c r="N257" s="954">
        <f>O257+R257+U257</f>
        <v>0</v>
      </c>
      <c r="O257" s="954">
        <f>P257+Q257</f>
        <v>0</v>
      </c>
      <c r="P257" s="957">
        <v>0</v>
      </c>
      <c r="Q257" s="957">
        <v>0</v>
      </c>
      <c r="R257" s="954">
        <f>S257+T257</f>
        <v>0</v>
      </c>
      <c r="S257" s="957">
        <v>0</v>
      </c>
      <c r="T257" s="957">
        <v>0</v>
      </c>
      <c r="U257" s="954">
        <f>V257+W257</f>
        <v>0</v>
      </c>
      <c r="V257" s="957">
        <v>0</v>
      </c>
      <c r="W257" s="957">
        <v>0</v>
      </c>
    </row>
    <row r="258" spans="1:23" s="489" customFormat="1" ht="15.75" customHeight="1">
      <c r="A258" s="949"/>
      <c r="B258" s="964"/>
      <c r="C258" s="952"/>
      <c r="D258" s="994"/>
      <c r="E258" s="949"/>
      <c r="F258" s="961"/>
      <c r="G258" s="964"/>
      <c r="H258" s="488">
        <v>3517126</v>
      </c>
      <c r="I258" s="488">
        <v>2391999</v>
      </c>
      <c r="J258" s="955"/>
      <c r="K258" s="955"/>
      <c r="L258" s="958"/>
      <c r="M258" s="958"/>
      <c r="N258" s="955"/>
      <c r="O258" s="955"/>
      <c r="P258" s="958"/>
      <c r="Q258" s="958"/>
      <c r="R258" s="955"/>
      <c r="S258" s="958"/>
      <c r="T258" s="958"/>
      <c r="U258" s="955"/>
      <c r="V258" s="958"/>
      <c r="W258" s="958"/>
    </row>
    <row r="259" spans="1:23" s="489" customFormat="1" ht="15.75" customHeight="1">
      <c r="A259" s="949"/>
      <c r="B259" s="964"/>
      <c r="C259" s="952"/>
      <c r="D259" s="994"/>
      <c r="E259" s="949"/>
      <c r="F259" s="961"/>
      <c r="G259" s="964"/>
      <c r="H259" s="488">
        <v>0</v>
      </c>
      <c r="I259" s="488">
        <v>0</v>
      </c>
      <c r="J259" s="955"/>
      <c r="K259" s="955"/>
      <c r="L259" s="958"/>
      <c r="M259" s="958"/>
      <c r="N259" s="955"/>
      <c r="O259" s="955"/>
      <c r="P259" s="958"/>
      <c r="Q259" s="958"/>
      <c r="R259" s="955"/>
      <c r="S259" s="958"/>
      <c r="T259" s="958"/>
      <c r="U259" s="955"/>
      <c r="V259" s="958"/>
      <c r="W259" s="958"/>
    </row>
    <row r="260" spans="1:23" s="489" customFormat="1" ht="15.75" customHeight="1">
      <c r="A260" s="949"/>
      <c r="B260" s="964"/>
      <c r="C260" s="952"/>
      <c r="D260" s="994"/>
      <c r="E260" s="949"/>
      <c r="F260" s="961"/>
      <c r="G260" s="964"/>
      <c r="H260" s="488">
        <v>0</v>
      </c>
      <c r="I260" s="488">
        <v>0</v>
      </c>
      <c r="J260" s="955"/>
      <c r="K260" s="955"/>
      <c r="L260" s="958"/>
      <c r="M260" s="958"/>
      <c r="N260" s="955"/>
      <c r="O260" s="955"/>
      <c r="P260" s="958"/>
      <c r="Q260" s="958"/>
      <c r="R260" s="955"/>
      <c r="S260" s="958"/>
      <c r="T260" s="958"/>
      <c r="U260" s="955"/>
      <c r="V260" s="958"/>
      <c r="W260" s="958"/>
    </row>
    <row r="261" spans="1:23" s="489" customFormat="1" ht="15.75" customHeight="1">
      <c r="A261" s="949"/>
      <c r="B261" s="965"/>
      <c r="C261" s="952"/>
      <c r="D261" s="995"/>
      <c r="E261" s="949"/>
      <c r="F261" s="962"/>
      <c r="G261" s="965"/>
      <c r="H261" s="488">
        <v>0</v>
      </c>
      <c r="I261" s="488">
        <v>0</v>
      </c>
      <c r="J261" s="956"/>
      <c r="K261" s="956"/>
      <c r="L261" s="959"/>
      <c r="M261" s="959"/>
      <c r="N261" s="956"/>
      <c r="O261" s="956"/>
      <c r="P261" s="959"/>
      <c r="Q261" s="959"/>
      <c r="R261" s="956"/>
      <c r="S261" s="959"/>
      <c r="T261" s="959"/>
      <c r="U261" s="956"/>
      <c r="V261" s="959"/>
      <c r="W261" s="959"/>
    </row>
    <row r="262" spans="1:23" s="489" customFormat="1" ht="15.75" customHeight="1">
      <c r="A262" s="949">
        <v>50</v>
      </c>
      <c r="B262" s="996" t="s">
        <v>695</v>
      </c>
      <c r="C262" s="976" t="s">
        <v>696</v>
      </c>
      <c r="D262" s="999" t="s">
        <v>697</v>
      </c>
      <c r="E262" s="978" t="s">
        <v>698</v>
      </c>
      <c r="F262" s="1002" t="s">
        <v>699</v>
      </c>
      <c r="G262" s="996" t="s">
        <v>582</v>
      </c>
      <c r="H262" s="490">
        <f>H263+H264+H265+H266</f>
        <v>1144706</v>
      </c>
      <c r="I262" s="488">
        <f>I263+I264+I265+I266</f>
        <v>175543</v>
      </c>
      <c r="J262" s="954">
        <f>K262+N262</f>
        <v>531755</v>
      </c>
      <c r="K262" s="954">
        <f>L262+M262</f>
        <v>480243</v>
      </c>
      <c r="L262" s="957">
        <v>480243</v>
      </c>
      <c r="M262" s="957">
        <v>0</v>
      </c>
      <c r="N262" s="954">
        <f>O262+R262+U262</f>
        <v>51512</v>
      </c>
      <c r="O262" s="954">
        <f>P262+Q262</f>
        <v>28250</v>
      </c>
      <c r="P262" s="957">
        <v>28250</v>
      </c>
      <c r="Q262" s="957">
        <v>0</v>
      </c>
      <c r="R262" s="954">
        <f>S262+T262</f>
        <v>23262</v>
      </c>
      <c r="S262" s="957">
        <v>23262</v>
      </c>
      <c r="T262" s="957">
        <v>0</v>
      </c>
      <c r="U262" s="954">
        <f>V262+W262</f>
        <v>0</v>
      </c>
      <c r="V262" s="957">
        <v>0</v>
      </c>
      <c r="W262" s="957">
        <v>0</v>
      </c>
    </row>
    <row r="263" spans="1:23" s="489" customFormat="1" ht="15.75" customHeight="1">
      <c r="A263" s="949"/>
      <c r="B263" s="997"/>
      <c r="C263" s="976"/>
      <c r="D263" s="1000"/>
      <c r="E263" s="978"/>
      <c r="F263" s="1003"/>
      <c r="G263" s="997"/>
      <c r="H263" s="490">
        <v>1033817</v>
      </c>
      <c r="I263" s="488">
        <v>158539</v>
      </c>
      <c r="J263" s="955"/>
      <c r="K263" s="955"/>
      <c r="L263" s="958"/>
      <c r="M263" s="958"/>
      <c r="N263" s="955"/>
      <c r="O263" s="955"/>
      <c r="P263" s="958"/>
      <c r="Q263" s="958"/>
      <c r="R263" s="955"/>
      <c r="S263" s="958"/>
      <c r="T263" s="958"/>
      <c r="U263" s="955"/>
      <c r="V263" s="958"/>
      <c r="W263" s="958"/>
    </row>
    <row r="264" spans="1:23" s="489" customFormat="1" ht="15.75" customHeight="1">
      <c r="A264" s="949"/>
      <c r="B264" s="997"/>
      <c r="C264" s="976"/>
      <c r="D264" s="1000"/>
      <c r="E264" s="978"/>
      <c r="F264" s="1003"/>
      <c r="G264" s="997"/>
      <c r="H264" s="490">
        <v>60813</v>
      </c>
      <c r="I264" s="488">
        <v>9325</v>
      </c>
      <c r="J264" s="955"/>
      <c r="K264" s="955"/>
      <c r="L264" s="958"/>
      <c r="M264" s="958"/>
      <c r="N264" s="955"/>
      <c r="O264" s="955"/>
      <c r="P264" s="958"/>
      <c r="Q264" s="958"/>
      <c r="R264" s="955"/>
      <c r="S264" s="958"/>
      <c r="T264" s="958"/>
      <c r="U264" s="955"/>
      <c r="V264" s="958"/>
      <c r="W264" s="958"/>
    </row>
    <row r="265" spans="1:23" s="489" customFormat="1" ht="15.75" customHeight="1">
      <c r="A265" s="949"/>
      <c r="B265" s="997"/>
      <c r="C265" s="976"/>
      <c r="D265" s="1000"/>
      <c r="E265" s="978"/>
      <c r="F265" s="1003"/>
      <c r="G265" s="997"/>
      <c r="H265" s="490">
        <v>50076</v>
      </c>
      <c r="I265" s="488">
        <v>7679</v>
      </c>
      <c r="J265" s="955"/>
      <c r="K265" s="955"/>
      <c r="L265" s="958"/>
      <c r="M265" s="958"/>
      <c r="N265" s="955"/>
      <c r="O265" s="955"/>
      <c r="P265" s="958"/>
      <c r="Q265" s="958"/>
      <c r="R265" s="955"/>
      <c r="S265" s="958"/>
      <c r="T265" s="958"/>
      <c r="U265" s="955"/>
      <c r="V265" s="958"/>
      <c r="W265" s="958"/>
    </row>
    <row r="266" spans="1:23" s="489" customFormat="1" ht="15.75" customHeight="1">
      <c r="A266" s="949"/>
      <c r="B266" s="998"/>
      <c r="C266" s="976"/>
      <c r="D266" s="1001"/>
      <c r="E266" s="978"/>
      <c r="F266" s="1004"/>
      <c r="G266" s="998"/>
      <c r="H266" s="490">
        <v>0</v>
      </c>
      <c r="I266" s="488">
        <v>0</v>
      </c>
      <c r="J266" s="956"/>
      <c r="K266" s="956"/>
      <c r="L266" s="959"/>
      <c r="M266" s="959"/>
      <c r="N266" s="956"/>
      <c r="O266" s="956"/>
      <c r="P266" s="959"/>
      <c r="Q266" s="959"/>
      <c r="R266" s="956"/>
      <c r="S266" s="959"/>
      <c r="T266" s="959"/>
      <c r="U266" s="956"/>
      <c r="V266" s="959"/>
      <c r="W266" s="959"/>
    </row>
    <row r="267" spans="1:23" s="489" customFormat="1" ht="15.75" customHeight="1">
      <c r="A267" s="949">
        <v>51</v>
      </c>
      <c r="B267" s="963" t="s">
        <v>695</v>
      </c>
      <c r="C267" s="952" t="s">
        <v>696</v>
      </c>
      <c r="D267" s="993" t="s">
        <v>700</v>
      </c>
      <c r="E267" s="949" t="s">
        <v>701</v>
      </c>
      <c r="F267" s="960" t="s">
        <v>699</v>
      </c>
      <c r="G267" s="963" t="s">
        <v>617</v>
      </c>
      <c r="H267" s="488">
        <f>H268+H269+H270+H271</f>
        <v>1143360</v>
      </c>
      <c r="I267" s="488">
        <f>I268+I269+I270+I271</f>
        <v>572208</v>
      </c>
      <c r="J267" s="954">
        <f>K267+N267</f>
        <v>571152</v>
      </c>
      <c r="K267" s="954">
        <f>L267+M267</f>
        <v>485479</v>
      </c>
      <c r="L267" s="957">
        <v>485479</v>
      </c>
      <c r="M267" s="957">
        <v>0</v>
      </c>
      <c r="N267" s="954">
        <f>O267+R267+U267</f>
        <v>85673</v>
      </c>
      <c r="O267" s="954">
        <f>P267+Q267</f>
        <v>28558</v>
      </c>
      <c r="P267" s="957">
        <v>28558</v>
      </c>
      <c r="Q267" s="957">
        <v>0</v>
      </c>
      <c r="R267" s="954">
        <f>S267+T267</f>
        <v>57115</v>
      </c>
      <c r="S267" s="957">
        <v>57115</v>
      </c>
      <c r="T267" s="957">
        <v>0</v>
      </c>
      <c r="U267" s="954">
        <f>V267+W267</f>
        <v>0</v>
      </c>
      <c r="V267" s="957">
        <v>0</v>
      </c>
      <c r="W267" s="957">
        <v>0</v>
      </c>
    </row>
    <row r="268" spans="1:23" s="489" customFormat="1" ht="15.75" customHeight="1">
      <c r="A268" s="949"/>
      <c r="B268" s="964"/>
      <c r="C268" s="952"/>
      <c r="D268" s="994"/>
      <c r="E268" s="949"/>
      <c r="F268" s="961"/>
      <c r="G268" s="964"/>
      <c r="H268" s="488">
        <v>971856</v>
      </c>
      <c r="I268" s="488">
        <v>486377</v>
      </c>
      <c r="J268" s="955"/>
      <c r="K268" s="955"/>
      <c r="L268" s="958"/>
      <c r="M268" s="958"/>
      <c r="N268" s="955"/>
      <c r="O268" s="955"/>
      <c r="P268" s="958"/>
      <c r="Q268" s="958"/>
      <c r="R268" s="955"/>
      <c r="S268" s="958"/>
      <c r="T268" s="958"/>
      <c r="U268" s="955"/>
      <c r="V268" s="958"/>
      <c r="W268" s="958"/>
    </row>
    <row r="269" spans="1:23" s="489" customFormat="1" ht="15.75" customHeight="1">
      <c r="A269" s="949"/>
      <c r="B269" s="964"/>
      <c r="C269" s="952"/>
      <c r="D269" s="994"/>
      <c r="E269" s="949"/>
      <c r="F269" s="961"/>
      <c r="G269" s="964"/>
      <c r="H269" s="488">
        <v>57168</v>
      </c>
      <c r="I269" s="488">
        <v>28610</v>
      </c>
      <c r="J269" s="955"/>
      <c r="K269" s="955"/>
      <c r="L269" s="958"/>
      <c r="M269" s="958"/>
      <c r="N269" s="955"/>
      <c r="O269" s="955"/>
      <c r="P269" s="958"/>
      <c r="Q269" s="958"/>
      <c r="R269" s="955"/>
      <c r="S269" s="958"/>
      <c r="T269" s="958"/>
      <c r="U269" s="955"/>
      <c r="V269" s="958"/>
      <c r="W269" s="958"/>
    </row>
    <row r="270" spans="1:23" s="489" customFormat="1" ht="15.75" customHeight="1">
      <c r="A270" s="949"/>
      <c r="B270" s="964"/>
      <c r="C270" s="952"/>
      <c r="D270" s="994"/>
      <c r="E270" s="949"/>
      <c r="F270" s="961"/>
      <c r="G270" s="964"/>
      <c r="H270" s="488">
        <v>114336</v>
      </c>
      <c r="I270" s="488">
        <v>57221</v>
      </c>
      <c r="J270" s="955"/>
      <c r="K270" s="955"/>
      <c r="L270" s="958"/>
      <c r="M270" s="958"/>
      <c r="N270" s="955"/>
      <c r="O270" s="955"/>
      <c r="P270" s="958"/>
      <c r="Q270" s="958"/>
      <c r="R270" s="955"/>
      <c r="S270" s="958"/>
      <c r="T270" s="958"/>
      <c r="U270" s="955"/>
      <c r="V270" s="958"/>
      <c r="W270" s="958"/>
    </row>
    <row r="271" spans="1:23" s="489" customFormat="1" ht="15.75" customHeight="1">
      <c r="A271" s="949"/>
      <c r="B271" s="965"/>
      <c r="C271" s="952"/>
      <c r="D271" s="995"/>
      <c r="E271" s="949"/>
      <c r="F271" s="962"/>
      <c r="G271" s="965"/>
      <c r="H271" s="488">
        <v>0</v>
      </c>
      <c r="I271" s="488">
        <v>0</v>
      </c>
      <c r="J271" s="956"/>
      <c r="K271" s="956"/>
      <c r="L271" s="959"/>
      <c r="M271" s="959"/>
      <c r="N271" s="956"/>
      <c r="O271" s="956"/>
      <c r="P271" s="959"/>
      <c r="Q271" s="959"/>
      <c r="R271" s="956"/>
      <c r="S271" s="959"/>
      <c r="T271" s="959"/>
      <c r="U271" s="956"/>
      <c r="V271" s="959"/>
      <c r="W271" s="959"/>
    </row>
    <row r="272" spans="1:23" s="489" customFormat="1" ht="15.75" customHeight="1">
      <c r="A272" s="949">
        <v>52</v>
      </c>
      <c r="B272" s="963" t="s">
        <v>695</v>
      </c>
      <c r="C272" s="952" t="s">
        <v>696</v>
      </c>
      <c r="D272" s="993" t="s">
        <v>702</v>
      </c>
      <c r="E272" s="949" t="s">
        <v>572</v>
      </c>
      <c r="F272" s="960" t="s">
        <v>699</v>
      </c>
      <c r="G272" s="963" t="s">
        <v>703</v>
      </c>
      <c r="H272" s="488">
        <f>H273+H274+H275+H276</f>
        <v>687648</v>
      </c>
      <c r="I272" s="488">
        <f>I273+I274+I275+I276</f>
        <v>0</v>
      </c>
      <c r="J272" s="954">
        <f>K272+N272</f>
        <v>431029</v>
      </c>
      <c r="K272" s="954">
        <f>L272+M272</f>
        <v>366374</v>
      </c>
      <c r="L272" s="957">
        <v>366374</v>
      </c>
      <c r="M272" s="957">
        <v>0</v>
      </c>
      <c r="N272" s="954">
        <f>O272+R272+U272</f>
        <v>64655</v>
      </c>
      <c r="O272" s="954">
        <f>P272+Q272</f>
        <v>21552</v>
      </c>
      <c r="P272" s="957">
        <v>21552</v>
      </c>
      <c r="Q272" s="957">
        <v>0</v>
      </c>
      <c r="R272" s="954">
        <f>S272+T272</f>
        <v>43103</v>
      </c>
      <c r="S272" s="957">
        <v>43103</v>
      </c>
      <c r="T272" s="957">
        <v>0</v>
      </c>
      <c r="U272" s="954">
        <f>V272+W272</f>
        <v>0</v>
      </c>
      <c r="V272" s="957">
        <v>0</v>
      </c>
      <c r="W272" s="957">
        <v>0</v>
      </c>
    </row>
    <row r="273" spans="1:23" s="489" customFormat="1" ht="15.75" customHeight="1">
      <c r="A273" s="949"/>
      <c r="B273" s="964"/>
      <c r="C273" s="952"/>
      <c r="D273" s="994"/>
      <c r="E273" s="949"/>
      <c r="F273" s="961"/>
      <c r="G273" s="964"/>
      <c r="H273" s="488">
        <v>584500</v>
      </c>
      <c r="I273" s="488">
        <v>0</v>
      </c>
      <c r="J273" s="955"/>
      <c r="K273" s="955"/>
      <c r="L273" s="958"/>
      <c r="M273" s="958"/>
      <c r="N273" s="955"/>
      <c r="O273" s="955"/>
      <c r="P273" s="958"/>
      <c r="Q273" s="958"/>
      <c r="R273" s="955"/>
      <c r="S273" s="958"/>
      <c r="T273" s="958"/>
      <c r="U273" s="955"/>
      <c r="V273" s="958"/>
      <c r="W273" s="958"/>
    </row>
    <row r="274" spans="1:23" s="489" customFormat="1" ht="15.75" customHeight="1">
      <c r="A274" s="949"/>
      <c r="B274" s="964"/>
      <c r="C274" s="952"/>
      <c r="D274" s="994"/>
      <c r="E274" s="949"/>
      <c r="F274" s="961"/>
      <c r="G274" s="964"/>
      <c r="H274" s="488">
        <v>34383</v>
      </c>
      <c r="I274" s="488">
        <v>0</v>
      </c>
      <c r="J274" s="955"/>
      <c r="K274" s="955"/>
      <c r="L274" s="958"/>
      <c r="M274" s="958"/>
      <c r="N274" s="955"/>
      <c r="O274" s="955"/>
      <c r="P274" s="958"/>
      <c r="Q274" s="958"/>
      <c r="R274" s="955"/>
      <c r="S274" s="958"/>
      <c r="T274" s="958"/>
      <c r="U274" s="955"/>
      <c r="V274" s="958"/>
      <c r="W274" s="958"/>
    </row>
    <row r="275" spans="1:23" s="489" customFormat="1" ht="15.75" customHeight="1">
      <c r="A275" s="949"/>
      <c r="B275" s="964"/>
      <c r="C275" s="952"/>
      <c r="D275" s="994"/>
      <c r="E275" s="949"/>
      <c r="F275" s="961"/>
      <c r="G275" s="964"/>
      <c r="H275" s="488">
        <v>68765</v>
      </c>
      <c r="I275" s="488">
        <v>0</v>
      </c>
      <c r="J275" s="955"/>
      <c r="K275" s="955"/>
      <c r="L275" s="958"/>
      <c r="M275" s="958"/>
      <c r="N275" s="955"/>
      <c r="O275" s="955"/>
      <c r="P275" s="958"/>
      <c r="Q275" s="958"/>
      <c r="R275" s="955"/>
      <c r="S275" s="958"/>
      <c r="T275" s="958"/>
      <c r="U275" s="955"/>
      <c r="V275" s="958"/>
      <c r="W275" s="958"/>
    </row>
    <row r="276" spans="1:23" s="489" customFormat="1" ht="15.75" customHeight="1">
      <c r="A276" s="949"/>
      <c r="B276" s="965"/>
      <c r="C276" s="952"/>
      <c r="D276" s="995"/>
      <c r="E276" s="949"/>
      <c r="F276" s="962"/>
      <c r="G276" s="965"/>
      <c r="H276" s="488">
        <v>0</v>
      </c>
      <c r="I276" s="488">
        <v>0</v>
      </c>
      <c r="J276" s="956"/>
      <c r="K276" s="956"/>
      <c r="L276" s="959"/>
      <c r="M276" s="959"/>
      <c r="N276" s="956"/>
      <c r="O276" s="956"/>
      <c r="P276" s="959"/>
      <c r="Q276" s="959"/>
      <c r="R276" s="956"/>
      <c r="S276" s="959"/>
      <c r="T276" s="959"/>
      <c r="U276" s="956"/>
      <c r="V276" s="959"/>
      <c r="W276" s="959"/>
    </row>
    <row r="277" spans="1:23" s="489" customFormat="1" ht="16.5" customHeight="1">
      <c r="A277" s="949">
        <v>53</v>
      </c>
      <c r="B277" s="963" t="s">
        <v>704</v>
      </c>
      <c r="C277" s="952" t="s">
        <v>688</v>
      </c>
      <c r="D277" s="993" t="s">
        <v>705</v>
      </c>
      <c r="E277" s="949" t="s">
        <v>572</v>
      </c>
      <c r="F277" s="960" t="s">
        <v>706</v>
      </c>
      <c r="G277" s="963" t="s">
        <v>574</v>
      </c>
      <c r="H277" s="488">
        <f>H278+H279+H280+H281</f>
        <v>19999350</v>
      </c>
      <c r="I277" s="488">
        <f>I278+I279+I280+I281</f>
        <v>16901775</v>
      </c>
      <c r="J277" s="954">
        <f>K277+N277</f>
        <v>1631200</v>
      </c>
      <c r="K277" s="954">
        <f>L277+M277</f>
        <v>1386520</v>
      </c>
      <c r="L277" s="957">
        <v>1386520</v>
      </c>
      <c r="M277" s="957">
        <v>0</v>
      </c>
      <c r="N277" s="954">
        <f>O277+R277+U277</f>
        <v>244680</v>
      </c>
      <c r="O277" s="954">
        <f>P277+Q277</f>
        <v>244680</v>
      </c>
      <c r="P277" s="957">
        <v>244680</v>
      </c>
      <c r="Q277" s="957">
        <v>0</v>
      </c>
      <c r="R277" s="954">
        <f>S277+T277</f>
        <v>0</v>
      </c>
      <c r="S277" s="957">
        <v>0</v>
      </c>
      <c r="T277" s="957">
        <v>0</v>
      </c>
      <c r="U277" s="954">
        <f>V277+W277</f>
        <v>0</v>
      </c>
      <c r="V277" s="957">
        <v>0</v>
      </c>
      <c r="W277" s="957">
        <v>0</v>
      </c>
    </row>
    <row r="278" spans="1:23" s="489" customFormat="1" ht="16.5" customHeight="1">
      <c r="A278" s="949"/>
      <c r="B278" s="964"/>
      <c r="C278" s="952"/>
      <c r="D278" s="994"/>
      <c r="E278" s="949"/>
      <c r="F278" s="961"/>
      <c r="G278" s="964"/>
      <c r="H278" s="488">
        <v>16999447</v>
      </c>
      <c r="I278" s="488">
        <v>14366509</v>
      </c>
      <c r="J278" s="955"/>
      <c r="K278" s="955"/>
      <c r="L278" s="958"/>
      <c r="M278" s="958"/>
      <c r="N278" s="955"/>
      <c r="O278" s="955"/>
      <c r="P278" s="958"/>
      <c r="Q278" s="958"/>
      <c r="R278" s="955"/>
      <c r="S278" s="958"/>
      <c r="T278" s="958"/>
      <c r="U278" s="955"/>
      <c r="V278" s="958"/>
      <c r="W278" s="958"/>
    </row>
    <row r="279" spans="1:23" s="489" customFormat="1" ht="16.5" customHeight="1">
      <c r="A279" s="949"/>
      <c r="B279" s="964"/>
      <c r="C279" s="952"/>
      <c r="D279" s="994"/>
      <c r="E279" s="949"/>
      <c r="F279" s="961"/>
      <c r="G279" s="964"/>
      <c r="H279" s="488">
        <v>2999903</v>
      </c>
      <c r="I279" s="488">
        <v>2535266</v>
      </c>
      <c r="J279" s="955"/>
      <c r="K279" s="955"/>
      <c r="L279" s="958"/>
      <c r="M279" s="958"/>
      <c r="N279" s="955"/>
      <c r="O279" s="955"/>
      <c r="P279" s="958"/>
      <c r="Q279" s="958"/>
      <c r="R279" s="955"/>
      <c r="S279" s="958"/>
      <c r="T279" s="958"/>
      <c r="U279" s="955"/>
      <c r="V279" s="958"/>
      <c r="W279" s="958"/>
    </row>
    <row r="280" spans="1:23" s="489" customFormat="1" ht="16.5" customHeight="1">
      <c r="A280" s="949"/>
      <c r="B280" s="964"/>
      <c r="C280" s="952"/>
      <c r="D280" s="994"/>
      <c r="E280" s="949"/>
      <c r="F280" s="961"/>
      <c r="G280" s="964"/>
      <c r="H280" s="488">
        <v>0</v>
      </c>
      <c r="I280" s="488">
        <v>0</v>
      </c>
      <c r="J280" s="955"/>
      <c r="K280" s="955"/>
      <c r="L280" s="958"/>
      <c r="M280" s="958"/>
      <c r="N280" s="955"/>
      <c r="O280" s="955"/>
      <c r="P280" s="958"/>
      <c r="Q280" s="958"/>
      <c r="R280" s="955"/>
      <c r="S280" s="958"/>
      <c r="T280" s="958"/>
      <c r="U280" s="955"/>
      <c r="V280" s="958"/>
      <c r="W280" s="958"/>
    </row>
    <row r="281" spans="1:23" s="489" customFormat="1" ht="16.5" customHeight="1">
      <c r="A281" s="949"/>
      <c r="B281" s="965"/>
      <c r="C281" s="952"/>
      <c r="D281" s="995"/>
      <c r="E281" s="949"/>
      <c r="F281" s="962"/>
      <c r="G281" s="965"/>
      <c r="H281" s="488">
        <v>0</v>
      </c>
      <c r="I281" s="488">
        <v>0</v>
      </c>
      <c r="J281" s="956"/>
      <c r="K281" s="956"/>
      <c r="L281" s="959"/>
      <c r="M281" s="959"/>
      <c r="N281" s="956"/>
      <c r="O281" s="956"/>
      <c r="P281" s="959"/>
      <c r="Q281" s="959"/>
      <c r="R281" s="956"/>
      <c r="S281" s="959"/>
      <c r="T281" s="959"/>
      <c r="U281" s="956"/>
      <c r="V281" s="959"/>
      <c r="W281" s="959"/>
    </row>
    <row r="282" spans="1:23" s="489" customFormat="1" ht="15.6" customHeight="1">
      <c r="A282" s="949">
        <v>54</v>
      </c>
      <c r="B282" s="963" t="s">
        <v>704</v>
      </c>
      <c r="C282" s="952" t="s">
        <v>688</v>
      </c>
      <c r="D282" s="993" t="s">
        <v>707</v>
      </c>
      <c r="E282" s="949" t="s">
        <v>572</v>
      </c>
      <c r="F282" s="960" t="s">
        <v>706</v>
      </c>
      <c r="G282" s="963" t="s">
        <v>612</v>
      </c>
      <c r="H282" s="488">
        <f>H283+H284+H285+H286</f>
        <v>6100050</v>
      </c>
      <c r="I282" s="488">
        <f>I283+I284+I285+I286</f>
        <v>3803954</v>
      </c>
      <c r="J282" s="954">
        <f>K282+N282</f>
        <v>1137400</v>
      </c>
      <c r="K282" s="954">
        <f>L282+M282</f>
        <v>966790</v>
      </c>
      <c r="L282" s="957">
        <v>966790</v>
      </c>
      <c r="M282" s="957">
        <v>0</v>
      </c>
      <c r="N282" s="954">
        <f>O282+R282+U282</f>
        <v>170610</v>
      </c>
      <c r="O282" s="954">
        <f>P282+Q282</f>
        <v>170610</v>
      </c>
      <c r="P282" s="957">
        <v>170610</v>
      </c>
      <c r="Q282" s="957">
        <v>0</v>
      </c>
      <c r="R282" s="954">
        <f>S282+T282</f>
        <v>0</v>
      </c>
      <c r="S282" s="957">
        <v>0</v>
      </c>
      <c r="T282" s="957">
        <v>0</v>
      </c>
      <c r="U282" s="954">
        <f>V282+W282</f>
        <v>0</v>
      </c>
      <c r="V282" s="957">
        <v>0</v>
      </c>
      <c r="W282" s="957">
        <v>0</v>
      </c>
    </row>
    <row r="283" spans="1:23" s="489" customFormat="1" ht="15.6" customHeight="1">
      <c r="A283" s="949"/>
      <c r="B283" s="964"/>
      <c r="C283" s="952"/>
      <c r="D283" s="994"/>
      <c r="E283" s="949"/>
      <c r="F283" s="961"/>
      <c r="G283" s="964"/>
      <c r="H283" s="488">
        <v>5185043</v>
      </c>
      <c r="I283" s="488">
        <v>3233361</v>
      </c>
      <c r="J283" s="955"/>
      <c r="K283" s="955"/>
      <c r="L283" s="958"/>
      <c r="M283" s="958"/>
      <c r="N283" s="955"/>
      <c r="O283" s="955"/>
      <c r="P283" s="958"/>
      <c r="Q283" s="958"/>
      <c r="R283" s="955"/>
      <c r="S283" s="958"/>
      <c r="T283" s="958"/>
      <c r="U283" s="955"/>
      <c r="V283" s="958"/>
      <c r="W283" s="958"/>
    </row>
    <row r="284" spans="1:23" s="489" customFormat="1" ht="15.6" customHeight="1">
      <c r="A284" s="949"/>
      <c r="B284" s="964"/>
      <c r="C284" s="952"/>
      <c r="D284" s="994"/>
      <c r="E284" s="949"/>
      <c r="F284" s="961"/>
      <c r="G284" s="964"/>
      <c r="H284" s="488">
        <v>915007</v>
      </c>
      <c r="I284" s="488">
        <v>570593</v>
      </c>
      <c r="J284" s="955"/>
      <c r="K284" s="955"/>
      <c r="L284" s="958"/>
      <c r="M284" s="958"/>
      <c r="N284" s="955"/>
      <c r="O284" s="955"/>
      <c r="P284" s="958"/>
      <c r="Q284" s="958"/>
      <c r="R284" s="955"/>
      <c r="S284" s="958"/>
      <c r="T284" s="958"/>
      <c r="U284" s="955"/>
      <c r="V284" s="958"/>
      <c r="W284" s="958"/>
    </row>
    <row r="285" spans="1:23" s="489" customFormat="1" ht="15.6" customHeight="1">
      <c r="A285" s="949"/>
      <c r="B285" s="964"/>
      <c r="C285" s="952"/>
      <c r="D285" s="994"/>
      <c r="E285" s="949"/>
      <c r="F285" s="961"/>
      <c r="G285" s="964"/>
      <c r="H285" s="488">
        <v>0</v>
      </c>
      <c r="I285" s="488">
        <v>0</v>
      </c>
      <c r="J285" s="955"/>
      <c r="K285" s="955"/>
      <c r="L285" s="958"/>
      <c r="M285" s="958"/>
      <c r="N285" s="955"/>
      <c r="O285" s="955"/>
      <c r="P285" s="958"/>
      <c r="Q285" s="958"/>
      <c r="R285" s="955"/>
      <c r="S285" s="958"/>
      <c r="T285" s="958"/>
      <c r="U285" s="955"/>
      <c r="V285" s="958"/>
      <c r="W285" s="958"/>
    </row>
    <row r="286" spans="1:23" s="489" customFormat="1" ht="15.6" customHeight="1">
      <c r="A286" s="949"/>
      <c r="B286" s="965"/>
      <c r="C286" s="952"/>
      <c r="D286" s="995"/>
      <c r="E286" s="949"/>
      <c r="F286" s="962"/>
      <c r="G286" s="965"/>
      <c r="H286" s="488">
        <v>0</v>
      </c>
      <c r="I286" s="488">
        <v>0</v>
      </c>
      <c r="J286" s="956"/>
      <c r="K286" s="956"/>
      <c r="L286" s="959"/>
      <c r="M286" s="959"/>
      <c r="N286" s="956"/>
      <c r="O286" s="956"/>
      <c r="P286" s="959"/>
      <c r="Q286" s="959"/>
      <c r="R286" s="956"/>
      <c r="S286" s="959"/>
      <c r="T286" s="959"/>
      <c r="U286" s="956"/>
      <c r="V286" s="959"/>
      <c r="W286" s="959"/>
    </row>
    <row r="287" spans="1:23" s="489" customFormat="1" ht="15.6" customHeight="1">
      <c r="A287" s="949">
        <v>55</v>
      </c>
      <c r="B287" s="963" t="s">
        <v>708</v>
      </c>
      <c r="C287" s="952" t="s">
        <v>696</v>
      </c>
      <c r="D287" s="993" t="s">
        <v>709</v>
      </c>
      <c r="E287" s="949" t="s">
        <v>572</v>
      </c>
      <c r="F287" s="960" t="s">
        <v>706</v>
      </c>
      <c r="G287" s="963" t="s">
        <v>580</v>
      </c>
      <c r="H287" s="488">
        <f>H288+H289+H290+H291</f>
        <v>7914500</v>
      </c>
      <c r="I287" s="488">
        <f>I288+I289+I290+I291</f>
        <v>4536294</v>
      </c>
      <c r="J287" s="954">
        <f>K287+N287</f>
        <v>1587982</v>
      </c>
      <c r="K287" s="954">
        <f>L287+M287</f>
        <v>1349784</v>
      </c>
      <c r="L287" s="957">
        <v>1349784</v>
      </c>
      <c r="M287" s="957">
        <v>0</v>
      </c>
      <c r="N287" s="954">
        <f>O287+R287+U287</f>
        <v>238198</v>
      </c>
      <c r="O287" s="954">
        <f>P287+Q287</f>
        <v>238198</v>
      </c>
      <c r="P287" s="957">
        <v>238198</v>
      </c>
      <c r="Q287" s="957">
        <v>0</v>
      </c>
      <c r="R287" s="954">
        <f>S287+T287</f>
        <v>0</v>
      </c>
      <c r="S287" s="957">
        <v>0</v>
      </c>
      <c r="T287" s="957">
        <v>0</v>
      </c>
      <c r="U287" s="954">
        <f>V287+W287</f>
        <v>0</v>
      </c>
      <c r="V287" s="957">
        <v>0</v>
      </c>
      <c r="W287" s="957">
        <v>0</v>
      </c>
    </row>
    <row r="288" spans="1:23" s="489" customFormat="1" ht="15.6" customHeight="1">
      <c r="A288" s="949"/>
      <c r="B288" s="964"/>
      <c r="C288" s="952"/>
      <c r="D288" s="994"/>
      <c r="E288" s="949"/>
      <c r="F288" s="961"/>
      <c r="G288" s="964"/>
      <c r="H288" s="488">
        <v>6727325</v>
      </c>
      <c r="I288" s="488">
        <v>3855849</v>
      </c>
      <c r="J288" s="955"/>
      <c r="K288" s="955"/>
      <c r="L288" s="958"/>
      <c r="M288" s="958"/>
      <c r="N288" s="955"/>
      <c r="O288" s="955"/>
      <c r="P288" s="958"/>
      <c r="Q288" s="958"/>
      <c r="R288" s="955"/>
      <c r="S288" s="958"/>
      <c r="T288" s="958"/>
      <c r="U288" s="955"/>
      <c r="V288" s="958"/>
      <c r="W288" s="958"/>
    </row>
    <row r="289" spans="1:24" s="489" customFormat="1" ht="15.6" customHeight="1">
      <c r="A289" s="949"/>
      <c r="B289" s="964"/>
      <c r="C289" s="952"/>
      <c r="D289" s="994"/>
      <c r="E289" s="949"/>
      <c r="F289" s="961"/>
      <c r="G289" s="964"/>
      <c r="H289" s="488">
        <v>1187175</v>
      </c>
      <c r="I289" s="488">
        <v>680445</v>
      </c>
      <c r="J289" s="955"/>
      <c r="K289" s="955"/>
      <c r="L289" s="958"/>
      <c r="M289" s="958"/>
      <c r="N289" s="955"/>
      <c r="O289" s="955"/>
      <c r="P289" s="958"/>
      <c r="Q289" s="958"/>
      <c r="R289" s="955"/>
      <c r="S289" s="958"/>
      <c r="T289" s="958"/>
      <c r="U289" s="955"/>
      <c r="V289" s="958"/>
      <c r="W289" s="958"/>
    </row>
    <row r="290" spans="1:24" s="489" customFormat="1" ht="15.6" customHeight="1">
      <c r="A290" s="949"/>
      <c r="B290" s="964"/>
      <c r="C290" s="952"/>
      <c r="D290" s="994"/>
      <c r="E290" s="949"/>
      <c r="F290" s="961"/>
      <c r="G290" s="964"/>
      <c r="H290" s="488">
        <v>0</v>
      </c>
      <c r="I290" s="488">
        <v>0</v>
      </c>
      <c r="J290" s="955"/>
      <c r="K290" s="955"/>
      <c r="L290" s="958"/>
      <c r="M290" s="958"/>
      <c r="N290" s="955"/>
      <c r="O290" s="955"/>
      <c r="P290" s="958"/>
      <c r="Q290" s="958"/>
      <c r="R290" s="955"/>
      <c r="S290" s="958"/>
      <c r="T290" s="958"/>
      <c r="U290" s="955"/>
      <c r="V290" s="958"/>
      <c r="W290" s="958"/>
    </row>
    <row r="291" spans="1:24" s="489" customFormat="1" ht="15.6" customHeight="1">
      <c r="A291" s="949"/>
      <c r="B291" s="965"/>
      <c r="C291" s="952"/>
      <c r="D291" s="995"/>
      <c r="E291" s="949"/>
      <c r="F291" s="962"/>
      <c r="G291" s="965"/>
      <c r="H291" s="488">
        <v>0</v>
      </c>
      <c r="I291" s="488">
        <v>0</v>
      </c>
      <c r="J291" s="956"/>
      <c r="K291" s="956"/>
      <c r="L291" s="959"/>
      <c r="M291" s="959"/>
      <c r="N291" s="956"/>
      <c r="O291" s="956"/>
      <c r="P291" s="959"/>
      <c r="Q291" s="959"/>
      <c r="R291" s="956"/>
      <c r="S291" s="959"/>
      <c r="T291" s="959"/>
      <c r="U291" s="956"/>
      <c r="V291" s="959"/>
      <c r="W291" s="959"/>
    </row>
    <row r="292" spans="1:24" s="489" customFormat="1" ht="15.6" customHeight="1">
      <c r="A292" s="949">
        <v>56</v>
      </c>
      <c r="B292" s="963" t="s">
        <v>710</v>
      </c>
      <c r="C292" s="952" t="s">
        <v>711</v>
      </c>
      <c r="D292" s="993" t="s">
        <v>712</v>
      </c>
      <c r="E292" s="949" t="s">
        <v>572</v>
      </c>
      <c r="F292" s="960" t="s">
        <v>713</v>
      </c>
      <c r="G292" s="963" t="s">
        <v>612</v>
      </c>
      <c r="H292" s="488">
        <f>H293+H294+H295+H296</f>
        <v>26644347</v>
      </c>
      <c r="I292" s="488">
        <f>I293+I294+I295+I296</f>
        <v>14249041</v>
      </c>
      <c r="J292" s="954">
        <f>K292+N292</f>
        <v>6135500</v>
      </c>
      <c r="K292" s="954">
        <f>L292+M292</f>
        <v>5795994</v>
      </c>
      <c r="L292" s="957">
        <v>5795994</v>
      </c>
      <c r="M292" s="957">
        <v>0</v>
      </c>
      <c r="N292" s="954">
        <f>O292+R292+U292</f>
        <v>339506</v>
      </c>
      <c r="O292" s="954">
        <f>P292+Q292</f>
        <v>339506</v>
      </c>
      <c r="P292" s="957">
        <v>339506</v>
      </c>
      <c r="Q292" s="957">
        <v>0</v>
      </c>
      <c r="R292" s="954">
        <f>S292+T292</f>
        <v>0</v>
      </c>
      <c r="S292" s="957">
        <v>0</v>
      </c>
      <c r="T292" s="957">
        <v>0</v>
      </c>
      <c r="U292" s="954">
        <f>V292+W292</f>
        <v>0</v>
      </c>
      <c r="V292" s="957">
        <v>0</v>
      </c>
      <c r="W292" s="957">
        <v>0</v>
      </c>
    </row>
    <row r="293" spans="1:24" s="489" customFormat="1" ht="15.6" customHeight="1">
      <c r="A293" s="949"/>
      <c r="B293" s="964"/>
      <c r="C293" s="952"/>
      <c r="D293" s="994"/>
      <c r="E293" s="949"/>
      <c r="F293" s="961"/>
      <c r="G293" s="964"/>
      <c r="H293" s="488">
        <v>24793944</v>
      </c>
      <c r="I293" s="488">
        <v>13087667</v>
      </c>
      <c r="J293" s="955"/>
      <c r="K293" s="955"/>
      <c r="L293" s="958"/>
      <c r="M293" s="958"/>
      <c r="N293" s="955"/>
      <c r="O293" s="955"/>
      <c r="P293" s="958"/>
      <c r="Q293" s="958"/>
      <c r="R293" s="955"/>
      <c r="S293" s="958"/>
      <c r="T293" s="958"/>
      <c r="U293" s="955"/>
      <c r="V293" s="958"/>
      <c r="W293" s="958"/>
    </row>
    <row r="294" spans="1:24" s="489" customFormat="1" ht="15.6" customHeight="1">
      <c r="A294" s="949"/>
      <c r="B294" s="964"/>
      <c r="C294" s="952"/>
      <c r="D294" s="994"/>
      <c r="E294" s="949"/>
      <c r="F294" s="961"/>
      <c r="G294" s="964"/>
      <c r="H294" s="488">
        <v>1458468</v>
      </c>
      <c r="I294" s="488">
        <v>769439</v>
      </c>
      <c r="J294" s="955"/>
      <c r="K294" s="955"/>
      <c r="L294" s="958"/>
      <c r="M294" s="958"/>
      <c r="N294" s="955"/>
      <c r="O294" s="955"/>
      <c r="P294" s="958"/>
      <c r="Q294" s="958"/>
      <c r="R294" s="955"/>
      <c r="S294" s="958"/>
      <c r="T294" s="958"/>
      <c r="U294" s="955"/>
      <c r="V294" s="958"/>
      <c r="W294" s="958"/>
    </row>
    <row r="295" spans="1:24" s="489" customFormat="1" ht="15.6" customHeight="1">
      <c r="A295" s="949"/>
      <c r="B295" s="964"/>
      <c r="C295" s="952"/>
      <c r="D295" s="994"/>
      <c r="E295" s="949"/>
      <c r="F295" s="961"/>
      <c r="G295" s="964"/>
      <c r="H295" s="488">
        <v>391935</v>
      </c>
      <c r="I295" s="488">
        <v>391935</v>
      </c>
      <c r="J295" s="955"/>
      <c r="K295" s="955"/>
      <c r="L295" s="958"/>
      <c r="M295" s="958"/>
      <c r="N295" s="955"/>
      <c r="O295" s="955"/>
      <c r="P295" s="958"/>
      <c r="Q295" s="958"/>
      <c r="R295" s="955"/>
      <c r="S295" s="958"/>
      <c r="T295" s="958"/>
      <c r="U295" s="955"/>
      <c r="V295" s="958"/>
      <c r="W295" s="958"/>
    </row>
    <row r="296" spans="1:24" s="489" customFormat="1" ht="15.6" customHeight="1">
      <c r="A296" s="949"/>
      <c r="B296" s="965"/>
      <c r="C296" s="952"/>
      <c r="D296" s="995"/>
      <c r="E296" s="949"/>
      <c r="F296" s="962"/>
      <c r="G296" s="965"/>
      <c r="H296" s="488">
        <v>0</v>
      </c>
      <c r="I296" s="488">
        <v>0</v>
      </c>
      <c r="J296" s="956"/>
      <c r="K296" s="956"/>
      <c r="L296" s="959"/>
      <c r="M296" s="959"/>
      <c r="N296" s="956"/>
      <c r="O296" s="956"/>
      <c r="P296" s="959"/>
      <c r="Q296" s="959"/>
      <c r="R296" s="956"/>
      <c r="S296" s="959"/>
      <c r="T296" s="959"/>
      <c r="U296" s="956"/>
      <c r="V296" s="959"/>
      <c r="W296" s="959"/>
    </row>
    <row r="297" spans="1:24" s="492" customFormat="1" ht="15.75" customHeight="1">
      <c r="A297" s="948" t="s">
        <v>714</v>
      </c>
      <c r="B297" s="948"/>
      <c r="C297" s="948"/>
      <c r="D297" s="948"/>
      <c r="E297" s="948"/>
      <c r="F297" s="948"/>
      <c r="G297" s="948"/>
      <c r="H297" s="491">
        <f>H17+H22+H37+H32+H42+H47+H52+H57+H62+H67+H72+H82+H77+H87+H92+H97+H102+H112+H122+H107+H117+H127+H137+H152+H157+H162+H167+H172+H177+H182+H187+H192+H197+H202+H212+H217+H222+H227+H242+H247+H252+H257+H267+H277+H282+H287+H292+H262+H237+H232+H207+H147+H142+H132+H27+H272</f>
        <v>1289399900</v>
      </c>
      <c r="I297" s="491">
        <f>I17+I22+I37+I32+I42+I47+I52+I57+I62+I67+I72+I82+I77+I87+I92+I97+I102+I112+I122+I107+I117+I127+I137+I152+I157+I162+I167+I172+I177+I182+I187+I192+I197+I202+I212+I217+I222+I227+I242+I247+I252+I257+I267+I277+I282+I287+I292+I262+I237+I232+I207+I147+I142+I132+I27+I272</f>
        <v>681455032</v>
      </c>
      <c r="J297" s="992">
        <f t="shared" ref="J297:W297" si="0">SUM(J17:J296)</f>
        <v>437169141</v>
      </c>
      <c r="K297" s="992">
        <f t="shared" si="0"/>
        <v>367176499</v>
      </c>
      <c r="L297" s="992">
        <f t="shared" si="0"/>
        <v>76962092</v>
      </c>
      <c r="M297" s="992">
        <f t="shared" si="0"/>
        <v>290214407</v>
      </c>
      <c r="N297" s="992">
        <f t="shared" si="0"/>
        <v>69992642</v>
      </c>
      <c r="O297" s="992">
        <f t="shared" si="0"/>
        <v>17903274</v>
      </c>
      <c r="P297" s="992">
        <f t="shared" si="0"/>
        <v>5390306</v>
      </c>
      <c r="Q297" s="992">
        <f t="shared" si="0"/>
        <v>12512968</v>
      </c>
      <c r="R297" s="992">
        <f t="shared" si="0"/>
        <v>45861915</v>
      </c>
      <c r="S297" s="992">
        <f t="shared" si="0"/>
        <v>2824633</v>
      </c>
      <c r="T297" s="992">
        <f t="shared" si="0"/>
        <v>43037282</v>
      </c>
      <c r="U297" s="992">
        <f t="shared" si="0"/>
        <v>6227453</v>
      </c>
      <c r="V297" s="992">
        <f t="shared" si="0"/>
        <v>959431</v>
      </c>
      <c r="W297" s="992">
        <f t="shared" si="0"/>
        <v>5268022</v>
      </c>
    </row>
    <row r="298" spans="1:24" s="492" customFormat="1" ht="15.75" customHeight="1">
      <c r="A298" s="948"/>
      <c r="B298" s="948"/>
      <c r="C298" s="948"/>
      <c r="D298" s="948"/>
      <c r="E298" s="948"/>
      <c r="F298" s="948"/>
      <c r="G298" s="948"/>
      <c r="H298" s="491">
        <f t="shared" ref="H298:I301" si="1">H18+H23+H38+H33+H43+H48+H53+H58+H63+H68+H73+H83+H78+H88+H93+H98+H103+H113+H123+H108+H118+H128+H138+H153+H158+H163+H168+H173+H178+H183+H188+H193+H198+H203+H213+H218+H223+H228+H243+H248+H253+H258+H268+H278+H283+H288+H293+H263+H238+H233+H208+H148+H143+H133+H28+H273</f>
        <v>1078726037</v>
      </c>
      <c r="I298" s="491">
        <f t="shared" si="1"/>
        <v>569633415</v>
      </c>
      <c r="J298" s="992"/>
      <c r="K298" s="992"/>
      <c r="L298" s="992"/>
      <c r="M298" s="992"/>
      <c r="N298" s="992"/>
      <c r="O298" s="992"/>
      <c r="P298" s="992"/>
      <c r="Q298" s="992"/>
      <c r="R298" s="992"/>
      <c r="S298" s="992"/>
      <c r="T298" s="992"/>
      <c r="U298" s="992"/>
      <c r="V298" s="992"/>
      <c r="W298" s="992"/>
    </row>
    <row r="299" spans="1:24" s="492" customFormat="1" ht="15.75" customHeight="1">
      <c r="A299" s="948"/>
      <c r="B299" s="948"/>
      <c r="C299" s="948"/>
      <c r="D299" s="948"/>
      <c r="E299" s="948"/>
      <c r="F299" s="948"/>
      <c r="G299" s="948"/>
      <c r="H299" s="491">
        <f t="shared" si="1"/>
        <v>54695501</v>
      </c>
      <c r="I299" s="491">
        <f t="shared" si="1"/>
        <v>25179679</v>
      </c>
      <c r="J299" s="992"/>
      <c r="K299" s="992"/>
      <c r="L299" s="992"/>
      <c r="M299" s="992"/>
      <c r="N299" s="992"/>
      <c r="O299" s="992"/>
      <c r="P299" s="992"/>
      <c r="Q299" s="992"/>
      <c r="R299" s="992"/>
      <c r="S299" s="992"/>
      <c r="T299" s="992"/>
      <c r="U299" s="992"/>
      <c r="V299" s="992"/>
      <c r="W299" s="992"/>
    </row>
    <row r="300" spans="1:24" s="492" customFormat="1" ht="15.75" customHeight="1">
      <c r="A300" s="948"/>
      <c r="B300" s="948"/>
      <c r="C300" s="948"/>
      <c r="D300" s="948"/>
      <c r="E300" s="948"/>
      <c r="F300" s="948"/>
      <c r="G300" s="948"/>
      <c r="H300" s="491">
        <f t="shared" si="1"/>
        <v>135480206</v>
      </c>
      <c r="I300" s="491">
        <f t="shared" si="1"/>
        <v>72597295</v>
      </c>
      <c r="J300" s="992"/>
      <c r="K300" s="992"/>
      <c r="L300" s="992"/>
      <c r="M300" s="992"/>
      <c r="N300" s="992"/>
      <c r="O300" s="992"/>
      <c r="P300" s="992"/>
      <c r="Q300" s="992"/>
      <c r="R300" s="992"/>
      <c r="S300" s="992"/>
      <c r="T300" s="992"/>
      <c r="U300" s="992"/>
      <c r="V300" s="992"/>
      <c r="W300" s="992"/>
    </row>
    <row r="301" spans="1:24" s="492" customFormat="1" ht="15.75" customHeight="1">
      <c r="A301" s="948"/>
      <c r="B301" s="948"/>
      <c r="C301" s="948"/>
      <c r="D301" s="948"/>
      <c r="E301" s="948"/>
      <c r="F301" s="948"/>
      <c r="G301" s="948"/>
      <c r="H301" s="491">
        <f t="shared" si="1"/>
        <v>20498156</v>
      </c>
      <c r="I301" s="491">
        <f t="shared" si="1"/>
        <v>14044643</v>
      </c>
      <c r="J301" s="992"/>
      <c r="K301" s="992"/>
      <c r="L301" s="992"/>
      <c r="M301" s="992"/>
      <c r="N301" s="992"/>
      <c r="O301" s="992"/>
      <c r="P301" s="992"/>
      <c r="Q301" s="992"/>
      <c r="R301" s="992"/>
      <c r="S301" s="992"/>
      <c r="T301" s="992"/>
      <c r="U301" s="992"/>
      <c r="V301" s="992"/>
      <c r="W301" s="992"/>
    </row>
    <row r="302" spans="1:24" ht="5.25" customHeight="1">
      <c r="A302" s="493"/>
      <c r="B302" s="494"/>
      <c r="C302" s="494"/>
      <c r="D302" s="494"/>
      <c r="E302" s="494"/>
      <c r="F302" s="494"/>
      <c r="G302" s="494"/>
      <c r="H302" s="494"/>
      <c r="I302" s="494"/>
      <c r="J302" s="494"/>
      <c r="K302" s="494"/>
      <c r="L302" s="494"/>
      <c r="M302" s="494"/>
      <c r="N302" s="494"/>
      <c r="O302" s="494"/>
      <c r="P302" s="494"/>
      <c r="Q302" s="494"/>
      <c r="R302" s="494"/>
      <c r="S302" s="494"/>
      <c r="T302" s="494"/>
      <c r="U302" s="494"/>
      <c r="V302" s="494"/>
      <c r="W302" s="495"/>
    </row>
    <row r="303" spans="1:24" s="485" customFormat="1" ht="24" customHeight="1">
      <c r="A303" s="988" t="s">
        <v>715</v>
      </c>
      <c r="B303" s="989"/>
      <c r="C303" s="989"/>
      <c r="D303" s="989"/>
      <c r="E303" s="989"/>
      <c r="F303" s="989"/>
      <c r="G303" s="989"/>
      <c r="H303" s="989"/>
      <c r="I303" s="989"/>
      <c r="J303" s="989"/>
      <c r="K303" s="989"/>
      <c r="L303" s="989"/>
      <c r="M303" s="989"/>
      <c r="N303" s="989"/>
      <c r="O303" s="989"/>
      <c r="P303" s="989"/>
      <c r="Q303" s="989"/>
      <c r="R303" s="989"/>
      <c r="S303" s="989"/>
      <c r="T303" s="989"/>
      <c r="U303" s="989"/>
      <c r="V303" s="989"/>
      <c r="W303" s="990"/>
      <c r="X303" s="486"/>
    </row>
    <row r="304" spans="1:24" ht="4.5" customHeight="1">
      <c r="A304" s="991"/>
      <c r="B304" s="991"/>
      <c r="C304" s="991"/>
      <c r="D304" s="991"/>
      <c r="E304" s="991"/>
      <c r="F304" s="991"/>
      <c r="G304" s="991"/>
      <c r="H304" s="991"/>
      <c r="I304" s="991"/>
      <c r="J304" s="991"/>
      <c r="K304" s="991"/>
      <c r="L304" s="991"/>
      <c r="M304" s="991"/>
      <c r="N304" s="991"/>
      <c r="O304" s="991"/>
      <c r="P304" s="991"/>
      <c r="Q304" s="991"/>
      <c r="R304" s="991"/>
      <c r="S304" s="991"/>
      <c r="T304" s="991"/>
      <c r="U304" s="991"/>
      <c r="V304" s="991"/>
      <c r="W304" s="991"/>
    </row>
    <row r="305" spans="1:23" ht="15" customHeight="1">
      <c r="A305" s="950">
        <v>1</v>
      </c>
      <c r="B305" s="951" t="s">
        <v>716</v>
      </c>
      <c r="C305" s="950" t="s">
        <v>717</v>
      </c>
      <c r="D305" s="953" t="s">
        <v>718</v>
      </c>
      <c r="E305" s="949" t="s">
        <v>572</v>
      </c>
      <c r="F305" s="949" t="s">
        <v>719</v>
      </c>
      <c r="G305" s="949" t="s">
        <v>577</v>
      </c>
      <c r="H305" s="488">
        <f>H306+H308+H307+H309</f>
        <v>210679640</v>
      </c>
      <c r="I305" s="488">
        <f>I306+I308+I307+I309</f>
        <v>156451028</v>
      </c>
      <c r="J305" s="946">
        <f>K305+N305</f>
        <v>54228612</v>
      </c>
      <c r="K305" s="946">
        <f>L305+M305</f>
        <v>46094321</v>
      </c>
      <c r="L305" s="947">
        <v>41709759</v>
      </c>
      <c r="M305" s="947">
        <v>4384562</v>
      </c>
      <c r="N305" s="946">
        <f>O305+R305+U305</f>
        <v>8134291</v>
      </c>
      <c r="O305" s="946">
        <f>P305+Q305</f>
        <v>0</v>
      </c>
      <c r="P305" s="947">
        <v>0</v>
      </c>
      <c r="Q305" s="947">
        <v>0</v>
      </c>
      <c r="R305" s="946">
        <f>S305+T305</f>
        <v>8134291</v>
      </c>
      <c r="S305" s="947">
        <v>7360545</v>
      </c>
      <c r="T305" s="947">
        <v>773746</v>
      </c>
      <c r="U305" s="946">
        <f>V305+W305</f>
        <v>0</v>
      </c>
      <c r="V305" s="947">
        <v>0</v>
      </c>
      <c r="W305" s="947">
        <v>0</v>
      </c>
    </row>
    <row r="306" spans="1:23" ht="15" customHeight="1">
      <c r="A306" s="950"/>
      <c r="B306" s="951"/>
      <c r="C306" s="950"/>
      <c r="D306" s="953"/>
      <c r="E306" s="949"/>
      <c r="F306" s="949"/>
      <c r="G306" s="949"/>
      <c r="H306" s="488">
        <v>179077695</v>
      </c>
      <c r="I306" s="488">
        <v>132983374</v>
      </c>
      <c r="J306" s="946"/>
      <c r="K306" s="946"/>
      <c r="L306" s="947"/>
      <c r="M306" s="947"/>
      <c r="N306" s="946"/>
      <c r="O306" s="946"/>
      <c r="P306" s="947"/>
      <c r="Q306" s="947"/>
      <c r="R306" s="946"/>
      <c r="S306" s="947"/>
      <c r="T306" s="947"/>
      <c r="U306" s="946"/>
      <c r="V306" s="947"/>
      <c r="W306" s="947"/>
    </row>
    <row r="307" spans="1:23" ht="15" customHeight="1">
      <c r="A307" s="950"/>
      <c r="B307" s="951"/>
      <c r="C307" s="950"/>
      <c r="D307" s="953"/>
      <c r="E307" s="949"/>
      <c r="F307" s="949"/>
      <c r="G307" s="949"/>
      <c r="H307" s="488">
        <v>0</v>
      </c>
      <c r="I307" s="488">
        <v>0</v>
      </c>
      <c r="J307" s="946"/>
      <c r="K307" s="946"/>
      <c r="L307" s="947"/>
      <c r="M307" s="947"/>
      <c r="N307" s="946"/>
      <c r="O307" s="946"/>
      <c r="P307" s="947"/>
      <c r="Q307" s="947"/>
      <c r="R307" s="946"/>
      <c r="S307" s="947"/>
      <c r="T307" s="947"/>
      <c r="U307" s="946"/>
      <c r="V307" s="947"/>
      <c r="W307" s="947"/>
    </row>
    <row r="308" spans="1:23" ht="15" customHeight="1">
      <c r="A308" s="950"/>
      <c r="B308" s="951"/>
      <c r="C308" s="950"/>
      <c r="D308" s="953"/>
      <c r="E308" s="949"/>
      <c r="F308" s="949"/>
      <c r="G308" s="949"/>
      <c r="H308" s="488">
        <v>31601945</v>
      </c>
      <c r="I308" s="488">
        <v>23467654</v>
      </c>
      <c r="J308" s="946"/>
      <c r="K308" s="946"/>
      <c r="L308" s="947"/>
      <c r="M308" s="947"/>
      <c r="N308" s="946"/>
      <c r="O308" s="946"/>
      <c r="P308" s="947"/>
      <c r="Q308" s="947"/>
      <c r="R308" s="946"/>
      <c r="S308" s="947"/>
      <c r="T308" s="947"/>
      <c r="U308" s="946"/>
      <c r="V308" s="947"/>
      <c r="W308" s="947"/>
    </row>
    <row r="309" spans="1:23" ht="15" customHeight="1">
      <c r="A309" s="950"/>
      <c r="B309" s="951"/>
      <c r="C309" s="950"/>
      <c r="D309" s="953"/>
      <c r="E309" s="949"/>
      <c r="F309" s="949"/>
      <c r="G309" s="949"/>
      <c r="H309" s="488">
        <v>0</v>
      </c>
      <c r="I309" s="488">
        <v>0</v>
      </c>
      <c r="J309" s="946"/>
      <c r="K309" s="946"/>
      <c r="L309" s="947"/>
      <c r="M309" s="947"/>
      <c r="N309" s="946"/>
      <c r="O309" s="946"/>
      <c r="P309" s="947"/>
      <c r="Q309" s="947"/>
      <c r="R309" s="946"/>
      <c r="S309" s="947"/>
      <c r="T309" s="947"/>
      <c r="U309" s="946"/>
      <c r="V309" s="947"/>
      <c r="W309" s="947"/>
    </row>
    <row r="310" spans="1:23" ht="15" customHeight="1">
      <c r="A310" s="950">
        <v>2</v>
      </c>
      <c r="B310" s="951" t="s">
        <v>716</v>
      </c>
      <c r="C310" s="950" t="s">
        <v>717</v>
      </c>
      <c r="D310" s="953" t="s">
        <v>718</v>
      </c>
      <c r="E310" s="960" t="s">
        <v>664</v>
      </c>
      <c r="F310" s="960" t="s">
        <v>665</v>
      </c>
      <c r="G310" s="949" t="s">
        <v>577</v>
      </c>
      <c r="H310" s="488">
        <f>H311+H313+H312+H314</f>
        <v>9775889</v>
      </c>
      <c r="I310" s="488">
        <f>I311+I313+I312+I314</f>
        <v>7560311</v>
      </c>
      <c r="J310" s="946">
        <f>K310+N310</f>
        <v>2215578</v>
      </c>
      <c r="K310" s="946">
        <f>L310+M310</f>
        <v>1883241</v>
      </c>
      <c r="L310" s="947">
        <v>1883241</v>
      </c>
      <c r="M310" s="947">
        <v>0</v>
      </c>
      <c r="N310" s="946">
        <f>O310+R310+U310</f>
        <v>332337</v>
      </c>
      <c r="O310" s="946">
        <f>P310+Q310</f>
        <v>0</v>
      </c>
      <c r="P310" s="947">
        <v>0</v>
      </c>
      <c r="Q310" s="947">
        <v>0</v>
      </c>
      <c r="R310" s="946">
        <f>S310+T310</f>
        <v>332337</v>
      </c>
      <c r="S310" s="947">
        <v>332337</v>
      </c>
      <c r="T310" s="947">
        <v>0</v>
      </c>
      <c r="U310" s="946">
        <f>V310+W310</f>
        <v>0</v>
      </c>
      <c r="V310" s="947">
        <v>0</v>
      </c>
      <c r="W310" s="947">
        <v>0</v>
      </c>
    </row>
    <row r="311" spans="1:23" ht="15" customHeight="1">
      <c r="A311" s="950"/>
      <c r="B311" s="951"/>
      <c r="C311" s="950"/>
      <c r="D311" s="953"/>
      <c r="E311" s="961"/>
      <c r="F311" s="961"/>
      <c r="G311" s="949"/>
      <c r="H311" s="488">
        <v>8309505</v>
      </c>
      <c r="I311" s="488">
        <v>6426264</v>
      </c>
      <c r="J311" s="946"/>
      <c r="K311" s="946"/>
      <c r="L311" s="947"/>
      <c r="M311" s="947"/>
      <c r="N311" s="946"/>
      <c r="O311" s="946"/>
      <c r="P311" s="947"/>
      <c r="Q311" s="947"/>
      <c r="R311" s="946"/>
      <c r="S311" s="947"/>
      <c r="T311" s="947"/>
      <c r="U311" s="946"/>
      <c r="V311" s="947"/>
      <c r="W311" s="947"/>
    </row>
    <row r="312" spans="1:23" ht="15" customHeight="1">
      <c r="A312" s="950"/>
      <c r="B312" s="951"/>
      <c r="C312" s="950"/>
      <c r="D312" s="953"/>
      <c r="E312" s="961"/>
      <c r="F312" s="961"/>
      <c r="G312" s="949"/>
      <c r="H312" s="488">
        <v>0</v>
      </c>
      <c r="I312" s="488">
        <v>0</v>
      </c>
      <c r="J312" s="946"/>
      <c r="K312" s="946"/>
      <c r="L312" s="947"/>
      <c r="M312" s="947"/>
      <c r="N312" s="946"/>
      <c r="O312" s="946"/>
      <c r="P312" s="947"/>
      <c r="Q312" s="947"/>
      <c r="R312" s="946"/>
      <c r="S312" s="947"/>
      <c r="T312" s="947"/>
      <c r="U312" s="946"/>
      <c r="V312" s="947"/>
      <c r="W312" s="947"/>
    </row>
    <row r="313" spans="1:23" ht="15" customHeight="1">
      <c r="A313" s="950"/>
      <c r="B313" s="951"/>
      <c r="C313" s="950"/>
      <c r="D313" s="953"/>
      <c r="E313" s="961"/>
      <c r="F313" s="961"/>
      <c r="G313" s="949"/>
      <c r="H313" s="488">
        <v>1466384</v>
      </c>
      <c r="I313" s="488">
        <v>1134047</v>
      </c>
      <c r="J313" s="946"/>
      <c r="K313" s="946"/>
      <c r="L313" s="947"/>
      <c r="M313" s="947"/>
      <c r="N313" s="946"/>
      <c r="O313" s="946"/>
      <c r="P313" s="947"/>
      <c r="Q313" s="947"/>
      <c r="R313" s="946"/>
      <c r="S313" s="947"/>
      <c r="T313" s="947"/>
      <c r="U313" s="946"/>
      <c r="V313" s="947"/>
      <c r="W313" s="947"/>
    </row>
    <row r="314" spans="1:23" ht="15" customHeight="1">
      <c r="A314" s="950"/>
      <c r="B314" s="951"/>
      <c r="C314" s="950"/>
      <c r="D314" s="953"/>
      <c r="E314" s="962"/>
      <c r="F314" s="962"/>
      <c r="G314" s="949"/>
      <c r="H314" s="488">
        <v>0</v>
      </c>
      <c r="I314" s="488">
        <v>0</v>
      </c>
      <c r="J314" s="946"/>
      <c r="K314" s="946"/>
      <c r="L314" s="947"/>
      <c r="M314" s="947"/>
      <c r="N314" s="946"/>
      <c r="O314" s="946"/>
      <c r="P314" s="947"/>
      <c r="Q314" s="947"/>
      <c r="R314" s="946"/>
      <c r="S314" s="947"/>
      <c r="T314" s="947"/>
      <c r="U314" s="946"/>
      <c r="V314" s="947"/>
      <c r="W314" s="947"/>
    </row>
    <row r="315" spans="1:23" ht="15" customHeight="1">
      <c r="A315" s="950">
        <v>3</v>
      </c>
      <c r="B315" s="951" t="s">
        <v>716</v>
      </c>
      <c r="C315" s="950">
        <v>121</v>
      </c>
      <c r="D315" s="953" t="s">
        <v>720</v>
      </c>
      <c r="E315" s="949" t="s">
        <v>572</v>
      </c>
      <c r="F315" s="949" t="s">
        <v>721</v>
      </c>
      <c r="G315" s="949" t="s">
        <v>637</v>
      </c>
      <c r="H315" s="488">
        <f>H316+H318+H317+H319</f>
        <v>8392047</v>
      </c>
      <c r="I315" s="488">
        <f>I316+I318+I317+I319</f>
        <v>2509767</v>
      </c>
      <c r="J315" s="946">
        <f>K315+N315</f>
        <v>5882280</v>
      </c>
      <c r="K315" s="946">
        <f>L315+M315</f>
        <v>4999937</v>
      </c>
      <c r="L315" s="947">
        <v>0</v>
      </c>
      <c r="M315" s="947">
        <v>4999937</v>
      </c>
      <c r="N315" s="946">
        <f>O315+R315+U315</f>
        <v>882343</v>
      </c>
      <c r="O315" s="946">
        <f>P315+Q315</f>
        <v>0</v>
      </c>
      <c r="P315" s="947">
        <v>0</v>
      </c>
      <c r="Q315" s="947">
        <v>0</v>
      </c>
      <c r="R315" s="946">
        <f>S315+T315</f>
        <v>882343</v>
      </c>
      <c r="S315" s="947">
        <v>0</v>
      </c>
      <c r="T315" s="947">
        <v>882343</v>
      </c>
      <c r="U315" s="946">
        <f>V315+W315</f>
        <v>0</v>
      </c>
      <c r="V315" s="947">
        <v>0</v>
      </c>
      <c r="W315" s="947">
        <v>0</v>
      </c>
    </row>
    <row r="316" spans="1:23" ht="15" customHeight="1">
      <c r="A316" s="950"/>
      <c r="B316" s="951"/>
      <c r="C316" s="950"/>
      <c r="D316" s="953"/>
      <c r="E316" s="949"/>
      <c r="F316" s="949"/>
      <c r="G316" s="949"/>
      <c r="H316" s="488">
        <v>7133239</v>
      </c>
      <c r="I316" s="488">
        <v>2133302</v>
      </c>
      <c r="J316" s="946"/>
      <c r="K316" s="946"/>
      <c r="L316" s="947"/>
      <c r="M316" s="947"/>
      <c r="N316" s="946"/>
      <c r="O316" s="946"/>
      <c r="P316" s="947"/>
      <c r="Q316" s="947"/>
      <c r="R316" s="946"/>
      <c r="S316" s="947"/>
      <c r="T316" s="947"/>
      <c r="U316" s="946"/>
      <c r="V316" s="947"/>
      <c r="W316" s="947"/>
    </row>
    <row r="317" spans="1:23" ht="15" customHeight="1">
      <c r="A317" s="950"/>
      <c r="B317" s="951"/>
      <c r="C317" s="950"/>
      <c r="D317" s="953"/>
      <c r="E317" s="949"/>
      <c r="F317" s="949"/>
      <c r="G317" s="949"/>
      <c r="H317" s="488">
        <v>0</v>
      </c>
      <c r="I317" s="488">
        <v>0</v>
      </c>
      <c r="J317" s="946"/>
      <c r="K317" s="946"/>
      <c r="L317" s="947"/>
      <c r="M317" s="947"/>
      <c r="N317" s="946"/>
      <c r="O317" s="946"/>
      <c r="P317" s="947"/>
      <c r="Q317" s="947"/>
      <c r="R317" s="946"/>
      <c r="S317" s="947"/>
      <c r="T317" s="947"/>
      <c r="U317" s="946"/>
      <c r="V317" s="947"/>
      <c r="W317" s="947"/>
    </row>
    <row r="318" spans="1:23" ht="15" customHeight="1">
      <c r="A318" s="950"/>
      <c r="B318" s="951"/>
      <c r="C318" s="950"/>
      <c r="D318" s="953"/>
      <c r="E318" s="949"/>
      <c r="F318" s="949"/>
      <c r="G318" s="949"/>
      <c r="H318" s="488">
        <v>1258808</v>
      </c>
      <c r="I318" s="488">
        <v>376465</v>
      </c>
      <c r="J318" s="946"/>
      <c r="K318" s="946"/>
      <c r="L318" s="947"/>
      <c r="M318" s="947"/>
      <c r="N318" s="946"/>
      <c r="O318" s="946"/>
      <c r="P318" s="947"/>
      <c r="Q318" s="947"/>
      <c r="R318" s="946"/>
      <c r="S318" s="947"/>
      <c r="T318" s="947"/>
      <c r="U318" s="946"/>
      <c r="V318" s="947"/>
      <c r="W318" s="947"/>
    </row>
    <row r="319" spans="1:23" ht="15" customHeight="1">
      <c r="A319" s="950"/>
      <c r="B319" s="951"/>
      <c r="C319" s="950"/>
      <c r="D319" s="953"/>
      <c r="E319" s="949"/>
      <c r="F319" s="949"/>
      <c r="G319" s="949"/>
      <c r="H319" s="488">
        <v>0</v>
      </c>
      <c r="I319" s="488">
        <v>0</v>
      </c>
      <c r="J319" s="946"/>
      <c r="K319" s="946"/>
      <c r="L319" s="947"/>
      <c r="M319" s="947"/>
      <c r="N319" s="946"/>
      <c r="O319" s="946"/>
      <c r="P319" s="947"/>
      <c r="Q319" s="947"/>
      <c r="R319" s="946"/>
      <c r="S319" s="947"/>
      <c r="T319" s="947"/>
      <c r="U319" s="946"/>
      <c r="V319" s="947"/>
      <c r="W319" s="947"/>
    </row>
    <row r="320" spans="1:23" ht="15" customHeight="1">
      <c r="A320" s="950">
        <v>4</v>
      </c>
      <c r="B320" s="951" t="s">
        <v>716</v>
      </c>
      <c r="C320" s="950" t="s">
        <v>717</v>
      </c>
      <c r="D320" s="953" t="s">
        <v>722</v>
      </c>
      <c r="E320" s="949" t="s">
        <v>572</v>
      </c>
      <c r="F320" s="949" t="s">
        <v>719</v>
      </c>
      <c r="G320" s="949">
        <v>2022</v>
      </c>
      <c r="H320" s="488">
        <f>H321+H323+H322+H324</f>
        <v>850000</v>
      </c>
      <c r="I320" s="488">
        <f>I321+I323+I322+I324</f>
        <v>0</v>
      </c>
      <c r="J320" s="946">
        <f>K320+N320</f>
        <v>850000</v>
      </c>
      <c r="K320" s="946">
        <f>L320+M320</f>
        <v>722501</v>
      </c>
      <c r="L320" s="947">
        <v>0</v>
      </c>
      <c r="M320" s="947">
        <v>722501</v>
      </c>
      <c r="N320" s="946">
        <f>O320+R320+U320</f>
        <v>127499</v>
      </c>
      <c r="O320" s="946">
        <f>P320+Q320</f>
        <v>0</v>
      </c>
      <c r="P320" s="947">
        <v>0</v>
      </c>
      <c r="Q320" s="947">
        <v>0</v>
      </c>
      <c r="R320" s="946">
        <f>S320+T320</f>
        <v>127499</v>
      </c>
      <c r="S320" s="947">
        <v>0</v>
      </c>
      <c r="T320" s="947">
        <v>127499</v>
      </c>
      <c r="U320" s="946">
        <f>V320+W320</f>
        <v>0</v>
      </c>
      <c r="V320" s="947">
        <v>0</v>
      </c>
      <c r="W320" s="947">
        <v>0</v>
      </c>
    </row>
    <row r="321" spans="1:23" ht="15" customHeight="1">
      <c r="A321" s="950"/>
      <c r="B321" s="951"/>
      <c r="C321" s="950"/>
      <c r="D321" s="953"/>
      <c r="E321" s="949"/>
      <c r="F321" s="949"/>
      <c r="G321" s="949"/>
      <c r="H321" s="488">
        <v>722501</v>
      </c>
      <c r="I321" s="488">
        <v>0</v>
      </c>
      <c r="J321" s="946"/>
      <c r="K321" s="946"/>
      <c r="L321" s="947"/>
      <c r="M321" s="947"/>
      <c r="N321" s="946"/>
      <c r="O321" s="946"/>
      <c r="P321" s="947"/>
      <c r="Q321" s="947"/>
      <c r="R321" s="946"/>
      <c r="S321" s="947"/>
      <c r="T321" s="947"/>
      <c r="U321" s="946"/>
      <c r="V321" s="947"/>
      <c r="W321" s="947"/>
    </row>
    <row r="322" spans="1:23" ht="15" customHeight="1">
      <c r="A322" s="950"/>
      <c r="B322" s="951"/>
      <c r="C322" s="950"/>
      <c r="D322" s="953"/>
      <c r="E322" s="949"/>
      <c r="F322" s="949"/>
      <c r="G322" s="949"/>
      <c r="H322" s="488">
        <v>0</v>
      </c>
      <c r="I322" s="488">
        <v>0</v>
      </c>
      <c r="J322" s="946"/>
      <c r="K322" s="946"/>
      <c r="L322" s="947"/>
      <c r="M322" s="947"/>
      <c r="N322" s="946"/>
      <c r="O322" s="946"/>
      <c r="P322" s="947"/>
      <c r="Q322" s="947"/>
      <c r="R322" s="946"/>
      <c r="S322" s="947"/>
      <c r="T322" s="947"/>
      <c r="U322" s="946"/>
      <c r="V322" s="947"/>
      <c r="W322" s="947"/>
    </row>
    <row r="323" spans="1:23" ht="15" customHeight="1">
      <c r="A323" s="950"/>
      <c r="B323" s="951"/>
      <c r="C323" s="950"/>
      <c r="D323" s="953"/>
      <c r="E323" s="949"/>
      <c r="F323" s="949"/>
      <c r="G323" s="949"/>
      <c r="H323" s="488">
        <v>127499</v>
      </c>
      <c r="I323" s="488">
        <v>0</v>
      </c>
      <c r="J323" s="946"/>
      <c r="K323" s="946"/>
      <c r="L323" s="947"/>
      <c r="M323" s="947"/>
      <c r="N323" s="946"/>
      <c r="O323" s="946"/>
      <c r="P323" s="947"/>
      <c r="Q323" s="947"/>
      <c r="R323" s="946"/>
      <c r="S323" s="947"/>
      <c r="T323" s="947"/>
      <c r="U323" s="946"/>
      <c r="V323" s="947"/>
      <c r="W323" s="947"/>
    </row>
    <row r="324" spans="1:23" ht="15" customHeight="1">
      <c r="A324" s="950"/>
      <c r="B324" s="951"/>
      <c r="C324" s="950"/>
      <c r="D324" s="953"/>
      <c r="E324" s="949"/>
      <c r="F324" s="949"/>
      <c r="G324" s="949"/>
      <c r="H324" s="488">
        <v>0</v>
      </c>
      <c r="I324" s="488">
        <v>0</v>
      </c>
      <c r="J324" s="946"/>
      <c r="K324" s="946"/>
      <c r="L324" s="947"/>
      <c r="M324" s="947"/>
      <c r="N324" s="946"/>
      <c r="O324" s="946"/>
      <c r="P324" s="947"/>
      <c r="Q324" s="947"/>
      <c r="R324" s="946"/>
      <c r="S324" s="947"/>
      <c r="T324" s="947"/>
      <c r="U324" s="946"/>
      <c r="V324" s="947"/>
      <c r="W324" s="947"/>
    </row>
    <row r="325" spans="1:23" ht="15" customHeight="1">
      <c r="A325" s="963">
        <v>5</v>
      </c>
      <c r="B325" s="966" t="s">
        <v>723</v>
      </c>
      <c r="C325" s="963">
        <v>123</v>
      </c>
      <c r="D325" s="972" t="s">
        <v>724</v>
      </c>
      <c r="E325" s="949" t="s">
        <v>572</v>
      </c>
      <c r="F325" s="960" t="s">
        <v>719</v>
      </c>
      <c r="G325" s="960">
        <v>2022</v>
      </c>
      <c r="H325" s="488">
        <f>H326+H328+H327+H329</f>
        <v>2830000</v>
      </c>
      <c r="I325" s="488">
        <f>I326+I328+I327+I329</f>
        <v>0</v>
      </c>
      <c r="J325" s="954">
        <f>K325+N325</f>
        <v>2830000</v>
      </c>
      <c r="K325" s="954">
        <f>L325+M325</f>
        <v>2405500</v>
      </c>
      <c r="L325" s="957">
        <v>2405500</v>
      </c>
      <c r="M325" s="957">
        <v>0</v>
      </c>
      <c r="N325" s="954">
        <f>O325+R325+U325</f>
        <v>424500</v>
      </c>
      <c r="O325" s="954">
        <f>P325+Q325</f>
        <v>0</v>
      </c>
      <c r="P325" s="957">
        <v>0</v>
      </c>
      <c r="Q325" s="957">
        <v>0</v>
      </c>
      <c r="R325" s="954">
        <f>S325+T325</f>
        <v>424500</v>
      </c>
      <c r="S325" s="957">
        <v>424500</v>
      </c>
      <c r="T325" s="957">
        <v>0</v>
      </c>
      <c r="U325" s="954">
        <f>V325+W325</f>
        <v>0</v>
      </c>
      <c r="V325" s="957">
        <v>0</v>
      </c>
      <c r="W325" s="957">
        <v>0</v>
      </c>
    </row>
    <row r="326" spans="1:23" ht="15" customHeight="1">
      <c r="A326" s="964"/>
      <c r="B326" s="967"/>
      <c r="C326" s="964"/>
      <c r="D326" s="973"/>
      <c r="E326" s="949"/>
      <c r="F326" s="961"/>
      <c r="G326" s="961"/>
      <c r="H326" s="488">
        <v>2405500</v>
      </c>
      <c r="I326" s="488">
        <v>0</v>
      </c>
      <c r="J326" s="955"/>
      <c r="K326" s="955"/>
      <c r="L326" s="958"/>
      <c r="M326" s="958"/>
      <c r="N326" s="955"/>
      <c r="O326" s="955"/>
      <c r="P326" s="958"/>
      <c r="Q326" s="958"/>
      <c r="R326" s="955"/>
      <c r="S326" s="958"/>
      <c r="T326" s="958"/>
      <c r="U326" s="955"/>
      <c r="V326" s="958"/>
      <c r="W326" s="958"/>
    </row>
    <row r="327" spans="1:23" ht="15" customHeight="1">
      <c r="A327" s="964"/>
      <c r="B327" s="967"/>
      <c r="C327" s="964"/>
      <c r="D327" s="973"/>
      <c r="E327" s="949"/>
      <c r="F327" s="961"/>
      <c r="G327" s="961"/>
      <c r="H327" s="488">
        <v>0</v>
      </c>
      <c r="I327" s="488">
        <v>0</v>
      </c>
      <c r="J327" s="955"/>
      <c r="K327" s="955"/>
      <c r="L327" s="958"/>
      <c r="M327" s="958"/>
      <c r="N327" s="955"/>
      <c r="O327" s="955"/>
      <c r="P327" s="958"/>
      <c r="Q327" s="958"/>
      <c r="R327" s="955"/>
      <c r="S327" s="958"/>
      <c r="T327" s="958"/>
      <c r="U327" s="955"/>
      <c r="V327" s="958"/>
      <c r="W327" s="958"/>
    </row>
    <row r="328" spans="1:23" ht="15" customHeight="1">
      <c r="A328" s="964"/>
      <c r="B328" s="967"/>
      <c r="C328" s="964"/>
      <c r="D328" s="973"/>
      <c r="E328" s="949"/>
      <c r="F328" s="961"/>
      <c r="G328" s="961"/>
      <c r="H328" s="488">
        <v>424500</v>
      </c>
      <c r="I328" s="488">
        <v>0</v>
      </c>
      <c r="J328" s="955"/>
      <c r="K328" s="955"/>
      <c r="L328" s="958"/>
      <c r="M328" s="958"/>
      <c r="N328" s="955"/>
      <c r="O328" s="955"/>
      <c r="P328" s="958"/>
      <c r="Q328" s="958"/>
      <c r="R328" s="955"/>
      <c r="S328" s="958"/>
      <c r="T328" s="958"/>
      <c r="U328" s="955"/>
      <c r="V328" s="958"/>
      <c r="W328" s="958"/>
    </row>
    <row r="329" spans="1:23" ht="15" customHeight="1">
      <c r="A329" s="965"/>
      <c r="B329" s="968"/>
      <c r="C329" s="965"/>
      <c r="D329" s="974"/>
      <c r="E329" s="949"/>
      <c r="F329" s="962"/>
      <c r="G329" s="962"/>
      <c r="H329" s="488">
        <v>0</v>
      </c>
      <c r="I329" s="488">
        <v>0</v>
      </c>
      <c r="J329" s="956"/>
      <c r="K329" s="956"/>
      <c r="L329" s="959"/>
      <c r="M329" s="959"/>
      <c r="N329" s="956"/>
      <c r="O329" s="956"/>
      <c r="P329" s="959"/>
      <c r="Q329" s="959"/>
      <c r="R329" s="956"/>
      <c r="S329" s="959"/>
      <c r="T329" s="959"/>
      <c r="U329" s="956"/>
      <c r="V329" s="959"/>
      <c r="W329" s="959"/>
    </row>
    <row r="330" spans="1:23" ht="14.85" customHeight="1">
      <c r="A330" s="963">
        <v>6</v>
      </c>
      <c r="B330" s="966" t="s">
        <v>723</v>
      </c>
      <c r="C330" s="963">
        <v>123</v>
      </c>
      <c r="D330" s="972" t="s">
        <v>724</v>
      </c>
      <c r="E330" s="960" t="s">
        <v>664</v>
      </c>
      <c r="F330" s="960" t="s">
        <v>665</v>
      </c>
      <c r="G330" s="960">
        <v>2022</v>
      </c>
      <c r="H330" s="488">
        <f>H331+H333+H332+H334</f>
        <v>10000</v>
      </c>
      <c r="I330" s="488">
        <f>I331+I333+I332+I334</f>
        <v>0</v>
      </c>
      <c r="J330" s="954">
        <f>K330+N330</f>
        <v>10000</v>
      </c>
      <c r="K330" s="954">
        <f>L330+M330</f>
        <v>8500</v>
      </c>
      <c r="L330" s="957">
        <v>8500</v>
      </c>
      <c r="M330" s="957">
        <v>0</v>
      </c>
      <c r="N330" s="954">
        <f>O330+R330+U330</f>
        <v>1500</v>
      </c>
      <c r="O330" s="954">
        <f>P330+Q330</f>
        <v>0</v>
      </c>
      <c r="P330" s="957">
        <v>0</v>
      </c>
      <c r="Q330" s="957">
        <v>0</v>
      </c>
      <c r="R330" s="954">
        <f>S330+T330</f>
        <v>1500</v>
      </c>
      <c r="S330" s="957">
        <v>1500</v>
      </c>
      <c r="T330" s="957">
        <v>0</v>
      </c>
      <c r="U330" s="954">
        <f>V330+W330</f>
        <v>0</v>
      </c>
      <c r="V330" s="957">
        <v>0</v>
      </c>
      <c r="W330" s="957">
        <v>0</v>
      </c>
    </row>
    <row r="331" spans="1:23" ht="14.85" customHeight="1">
      <c r="A331" s="964"/>
      <c r="B331" s="967"/>
      <c r="C331" s="964"/>
      <c r="D331" s="973"/>
      <c r="E331" s="961"/>
      <c r="F331" s="961"/>
      <c r="G331" s="961"/>
      <c r="H331" s="488">
        <v>8500</v>
      </c>
      <c r="I331" s="488">
        <v>0</v>
      </c>
      <c r="J331" s="955"/>
      <c r="K331" s="955"/>
      <c r="L331" s="958"/>
      <c r="M331" s="958"/>
      <c r="N331" s="955"/>
      <c r="O331" s="955"/>
      <c r="P331" s="958"/>
      <c r="Q331" s="958"/>
      <c r="R331" s="955"/>
      <c r="S331" s="958"/>
      <c r="T331" s="958"/>
      <c r="U331" s="955"/>
      <c r="V331" s="958"/>
      <c r="W331" s="958"/>
    </row>
    <row r="332" spans="1:23" ht="14.85" customHeight="1">
      <c r="A332" s="964"/>
      <c r="B332" s="967"/>
      <c r="C332" s="964"/>
      <c r="D332" s="973"/>
      <c r="E332" s="961"/>
      <c r="F332" s="961"/>
      <c r="G332" s="961"/>
      <c r="H332" s="488">
        <v>0</v>
      </c>
      <c r="I332" s="488">
        <v>0</v>
      </c>
      <c r="J332" s="955"/>
      <c r="K332" s="955"/>
      <c r="L332" s="958"/>
      <c r="M332" s="958"/>
      <c r="N332" s="955"/>
      <c r="O332" s="955"/>
      <c r="P332" s="958"/>
      <c r="Q332" s="958"/>
      <c r="R332" s="955"/>
      <c r="S332" s="958"/>
      <c r="T332" s="958"/>
      <c r="U332" s="955"/>
      <c r="V332" s="958"/>
      <c r="W332" s="958"/>
    </row>
    <row r="333" spans="1:23" ht="14.85" customHeight="1">
      <c r="A333" s="964"/>
      <c r="B333" s="967"/>
      <c r="C333" s="964"/>
      <c r="D333" s="973"/>
      <c r="E333" s="961"/>
      <c r="F333" s="961"/>
      <c r="G333" s="961"/>
      <c r="H333" s="488">
        <v>1500</v>
      </c>
      <c r="I333" s="488">
        <v>0</v>
      </c>
      <c r="J333" s="955"/>
      <c r="K333" s="955"/>
      <c r="L333" s="958"/>
      <c r="M333" s="958"/>
      <c r="N333" s="955"/>
      <c r="O333" s="955"/>
      <c r="P333" s="958"/>
      <c r="Q333" s="958"/>
      <c r="R333" s="955"/>
      <c r="S333" s="958"/>
      <c r="T333" s="958"/>
      <c r="U333" s="955"/>
      <c r="V333" s="958"/>
      <c r="W333" s="958"/>
    </row>
    <row r="334" spans="1:23" ht="14.85" customHeight="1">
      <c r="A334" s="965"/>
      <c r="B334" s="968"/>
      <c r="C334" s="965"/>
      <c r="D334" s="974"/>
      <c r="E334" s="962"/>
      <c r="F334" s="962"/>
      <c r="G334" s="962"/>
      <c r="H334" s="488">
        <v>0</v>
      </c>
      <c r="I334" s="488">
        <v>0</v>
      </c>
      <c r="J334" s="956"/>
      <c r="K334" s="956"/>
      <c r="L334" s="959"/>
      <c r="M334" s="959"/>
      <c r="N334" s="956"/>
      <c r="O334" s="956"/>
      <c r="P334" s="959"/>
      <c r="Q334" s="959"/>
      <c r="R334" s="956"/>
      <c r="S334" s="959"/>
      <c r="T334" s="959"/>
      <c r="U334" s="956"/>
      <c r="V334" s="959"/>
      <c r="W334" s="959"/>
    </row>
    <row r="335" spans="1:23" ht="15" customHeight="1">
      <c r="A335" s="948" t="s">
        <v>725</v>
      </c>
      <c r="B335" s="948"/>
      <c r="C335" s="948"/>
      <c r="D335" s="948"/>
      <c r="E335" s="948"/>
      <c r="F335" s="948"/>
      <c r="G335" s="948"/>
      <c r="H335" s="497">
        <f>H305+H310+H315+H320+H325+H330</f>
        <v>232537576</v>
      </c>
      <c r="I335" s="497">
        <f>I305+I310+I315+I320+I325+I330</f>
        <v>166521106</v>
      </c>
      <c r="J335" s="986">
        <f>SUM(J305:J334)</f>
        <v>66016470</v>
      </c>
      <c r="K335" s="986">
        <f t="shared" ref="K335:W335" si="2">SUM(K305:K334)</f>
        <v>56114000</v>
      </c>
      <c r="L335" s="986">
        <f t="shared" si="2"/>
        <v>46007000</v>
      </c>
      <c r="M335" s="986">
        <f t="shared" si="2"/>
        <v>10107000</v>
      </c>
      <c r="N335" s="986">
        <f t="shared" si="2"/>
        <v>9902470</v>
      </c>
      <c r="O335" s="986">
        <f t="shared" si="2"/>
        <v>0</v>
      </c>
      <c r="P335" s="986">
        <f t="shared" si="2"/>
        <v>0</v>
      </c>
      <c r="Q335" s="986">
        <f t="shared" si="2"/>
        <v>0</v>
      </c>
      <c r="R335" s="986">
        <f t="shared" si="2"/>
        <v>9902470</v>
      </c>
      <c r="S335" s="986">
        <f t="shared" si="2"/>
        <v>8118882</v>
      </c>
      <c r="T335" s="986">
        <f t="shared" si="2"/>
        <v>1783588</v>
      </c>
      <c r="U335" s="986">
        <f t="shared" si="2"/>
        <v>0</v>
      </c>
      <c r="V335" s="986">
        <f t="shared" si="2"/>
        <v>0</v>
      </c>
      <c r="W335" s="986">
        <f t="shared" si="2"/>
        <v>0</v>
      </c>
    </row>
    <row r="336" spans="1:23" ht="15" customHeight="1">
      <c r="A336" s="948"/>
      <c r="B336" s="948"/>
      <c r="C336" s="948"/>
      <c r="D336" s="948"/>
      <c r="E336" s="948"/>
      <c r="F336" s="948"/>
      <c r="G336" s="948"/>
      <c r="H336" s="497">
        <f t="shared" ref="H336:I339" si="3">H306+H311+H316+H321+H326+H331</f>
        <v>197656940</v>
      </c>
      <c r="I336" s="497">
        <f t="shared" si="3"/>
        <v>141542940</v>
      </c>
      <c r="J336" s="987"/>
      <c r="K336" s="987"/>
      <c r="L336" s="987"/>
      <c r="M336" s="987"/>
      <c r="N336" s="987"/>
      <c r="O336" s="987"/>
      <c r="P336" s="987"/>
      <c r="Q336" s="987"/>
      <c r="R336" s="987"/>
      <c r="S336" s="987"/>
      <c r="T336" s="987"/>
      <c r="U336" s="987"/>
      <c r="V336" s="987"/>
      <c r="W336" s="987"/>
    </row>
    <row r="337" spans="1:24" ht="15" customHeight="1">
      <c r="A337" s="948"/>
      <c r="B337" s="948"/>
      <c r="C337" s="948"/>
      <c r="D337" s="948"/>
      <c r="E337" s="948"/>
      <c r="F337" s="948"/>
      <c r="G337" s="948"/>
      <c r="H337" s="497">
        <f t="shared" si="3"/>
        <v>0</v>
      </c>
      <c r="I337" s="497">
        <f t="shared" si="3"/>
        <v>0</v>
      </c>
      <c r="J337" s="987"/>
      <c r="K337" s="987"/>
      <c r="L337" s="987"/>
      <c r="M337" s="987"/>
      <c r="N337" s="987"/>
      <c r="O337" s="987"/>
      <c r="P337" s="987"/>
      <c r="Q337" s="987"/>
      <c r="R337" s="987"/>
      <c r="S337" s="987"/>
      <c r="T337" s="987"/>
      <c r="U337" s="987"/>
      <c r="V337" s="987"/>
      <c r="W337" s="987"/>
    </row>
    <row r="338" spans="1:24" ht="15" customHeight="1">
      <c r="A338" s="948"/>
      <c r="B338" s="948"/>
      <c r="C338" s="948"/>
      <c r="D338" s="948"/>
      <c r="E338" s="948"/>
      <c r="F338" s="948"/>
      <c r="G338" s="948"/>
      <c r="H338" s="497">
        <f t="shared" si="3"/>
        <v>34880636</v>
      </c>
      <c r="I338" s="497">
        <f t="shared" si="3"/>
        <v>24978166</v>
      </c>
      <c r="J338" s="987"/>
      <c r="K338" s="987"/>
      <c r="L338" s="987"/>
      <c r="M338" s="987"/>
      <c r="N338" s="987"/>
      <c r="O338" s="987"/>
      <c r="P338" s="987"/>
      <c r="Q338" s="987"/>
      <c r="R338" s="987"/>
      <c r="S338" s="987"/>
      <c r="T338" s="987"/>
      <c r="U338" s="987"/>
      <c r="V338" s="987"/>
      <c r="W338" s="987"/>
    </row>
    <row r="339" spans="1:24" ht="15" customHeight="1">
      <c r="A339" s="948"/>
      <c r="B339" s="948"/>
      <c r="C339" s="948"/>
      <c r="D339" s="948"/>
      <c r="E339" s="948"/>
      <c r="F339" s="948"/>
      <c r="G339" s="948"/>
      <c r="H339" s="497">
        <f t="shared" si="3"/>
        <v>0</v>
      </c>
      <c r="I339" s="497">
        <f t="shared" si="3"/>
        <v>0</v>
      </c>
      <c r="J339" s="987"/>
      <c r="K339" s="987"/>
      <c r="L339" s="987"/>
      <c r="M339" s="987"/>
      <c r="N339" s="987"/>
      <c r="O339" s="987"/>
      <c r="P339" s="987"/>
      <c r="Q339" s="987"/>
      <c r="R339" s="987"/>
      <c r="S339" s="987"/>
      <c r="T339" s="987"/>
      <c r="U339" s="987"/>
      <c r="V339" s="987"/>
      <c r="W339" s="987"/>
    </row>
    <row r="340" spans="1:24" s="499" customFormat="1" ht="3.75" customHeight="1">
      <c r="A340" s="950"/>
      <c r="B340" s="950"/>
      <c r="C340" s="950"/>
      <c r="D340" s="950"/>
      <c r="E340" s="950"/>
      <c r="F340" s="950"/>
      <c r="G340" s="950"/>
      <c r="H340" s="950"/>
      <c r="I340" s="950"/>
      <c r="J340" s="950"/>
      <c r="K340" s="950"/>
      <c r="L340" s="950"/>
      <c r="M340" s="950"/>
      <c r="N340" s="950"/>
      <c r="O340" s="950"/>
      <c r="P340" s="950"/>
      <c r="Q340" s="950"/>
      <c r="R340" s="950"/>
      <c r="S340" s="950"/>
      <c r="T340" s="950"/>
      <c r="U340" s="950"/>
      <c r="V340" s="950"/>
      <c r="W340" s="950"/>
      <c r="X340" s="498"/>
    </row>
    <row r="341" spans="1:24" s="485" customFormat="1" ht="21.75" customHeight="1">
      <c r="A341" s="988" t="s">
        <v>726</v>
      </c>
      <c r="B341" s="989"/>
      <c r="C341" s="989"/>
      <c r="D341" s="989"/>
      <c r="E341" s="989"/>
      <c r="F341" s="989"/>
      <c r="G341" s="989"/>
      <c r="H341" s="989"/>
      <c r="I341" s="989"/>
      <c r="J341" s="989"/>
      <c r="K341" s="989"/>
      <c r="L341" s="989"/>
      <c r="M341" s="989"/>
      <c r="N341" s="989"/>
      <c r="O341" s="989"/>
      <c r="P341" s="989"/>
      <c r="Q341" s="989"/>
      <c r="R341" s="989"/>
      <c r="S341" s="989"/>
      <c r="T341" s="989"/>
      <c r="U341" s="989"/>
      <c r="V341" s="989"/>
      <c r="W341" s="990"/>
      <c r="X341" s="486"/>
    </row>
    <row r="342" spans="1:24" s="499" customFormat="1" ht="3" customHeight="1">
      <c r="A342" s="950"/>
      <c r="B342" s="950"/>
      <c r="C342" s="950"/>
      <c r="D342" s="950"/>
      <c r="E342" s="950"/>
      <c r="F342" s="950"/>
      <c r="G342" s="950"/>
      <c r="H342" s="950"/>
      <c r="I342" s="950"/>
      <c r="J342" s="950"/>
      <c r="K342" s="950"/>
      <c r="L342" s="950"/>
      <c r="M342" s="950"/>
      <c r="N342" s="950"/>
      <c r="O342" s="950"/>
      <c r="P342" s="950"/>
      <c r="Q342" s="950"/>
      <c r="R342" s="950"/>
      <c r="S342" s="950"/>
      <c r="T342" s="950"/>
      <c r="U342" s="950"/>
      <c r="V342" s="950"/>
      <c r="W342" s="950"/>
      <c r="X342" s="498"/>
    </row>
    <row r="343" spans="1:24" ht="14.25" customHeight="1">
      <c r="A343" s="950">
        <v>1</v>
      </c>
      <c r="B343" s="975" t="s">
        <v>592</v>
      </c>
      <c r="C343" s="983" t="s">
        <v>727</v>
      </c>
      <c r="D343" s="977" t="s">
        <v>728</v>
      </c>
      <c r="E343" s="978" t="s">
        <v>572</v>
      </c>
      <c r="F343" s="949" t="s">
        <v>729</v>
      </c>
      <c r="G343" s="949" t="s">
        <v>730</v>
      </c>
      <c r="H343" s="488" t="s">
        <v>731</v>
      </c>
      <c r="I343" s="488" t="s">
        <v>731</v>
      </c>
      <c r="J343" s="946">
        <f>K343+N343</f>
        <v>428521</v>
      </c>
      <c r="K343" s="946">
        <f>L343+M343</f>
        <v>0</v>
      </c>
      <c r="L343" s="947">
        <v>0</v>
      </c>
      <c r="M343" s="947">
        <v>0</v>
      </c>
      <c r="N343" s="946">
        <f>O343+R343+U343</f>
        <v>428521</v>
      </c>
      <c r="O343" s="946">
        <f>P343+Q343</f>
        <v>428521</v>
      </c>
      <c r="P343" s="947">
        <v>500</v>
      </c>
      <c r="Q343" s="947">
        <v>428021</v>
      </c>
      <c r="R343" s="946">
        <f>S343+T343</f>
        <v>0</v>
      </c>
      <c r="S343" s="947">
        <v>0</v>
      </c>
      <c r="T343" s="947">
        <v>0</v>
      </c>
      <c r="U343" s="946">
        <f>V343+W343</f>
        <v>0</v>
      </c>
      <c r="V343" s="947">
        <v>0</v>
      </c>
      <c r="W343" s="947">
        <v>0</v>
      </c>
    </row>
    <row r="344" spans="1:24" ht="14.25" customHeight="1">
      <c r="A344" s="950"/>
      <c r="B344" s="975"/>
      <c r="C344" s="984"/>
      <c r="D344" s="977"/>
      <c r="E344" s="978"/>
      <c r="F344" s="949"/>
      <c r="G344" s="949"/>
      <c r="H344" s="488" t="s">
        <v>731</v>
      </c>
      <c r="I344" s="488" t="s">
        <v>731</v>
      </c>
      <c r="J344" s="946"/>
      <c r="K344" s="946"/>
      <c r="L344" s="947"/>
      <c r="M344" s="947"/>
      <c r="N344" s="946"/>
      <c r="O344" s="946"/>
      <c r="P344" s="947"/>
      <c r="Q344" s="947"/>
      <c r="R344" s="946"/>
      <c r="S344" s="947"/>
      <c r="T344" s="947"/>
      <c r="U344" s="946"/>
      <c r="V344" s="947"/>
      <c r="W344" s="947"/>
    </row>
    <row r="345" spans="1:24" ht="14.25" customHeight="1">
      <c r="A345" s="950"/>
      <c r="B345" s="975"/>
      <c r="C345" s="984"/>
      <c r="D345" s="977"/>
      <c r="E345" s="978"/>
      <c r="F345" s="949"/>
      <c r="G345" s="949"/>
      <c r="H345" s="488" t="s">
        <v>731</v>
      </c>
      <c r="I345" s="488" t="s">
        <v>731</v>
      </c>
      <c r="J345" s="946"/>
      <c r="K345" s="946"/>
      <c r="L345" s="947"/>
      <c r="M345" s="947"/>
      <c r="N345" s="946"/>
      <c r="O345" s="946"/>
      <c r="P345" s="947"/>
      <c r="Q345" s="947"/>
      <c r="R345" s="946"/>
      <c r="S345" s="947"/>
      <c r="T345" s="947"/>
      <c r="U345" s="946"/>
      <c r="V345" s="947"/>
      <c r="W345" s="947"/>
    </row>
    <row r="346" spans="1:24" ht="14.25" customHeight="1">
      <c r="A346" s="950"/>
      <c r="B346" s="975"/>
      <c r="C346" s="984"/>
      <c r="D346" s="977"/>
      <c r="E346" s="978"/>
      <c r="F346" s="949"/>
      <c r="G346" s="949"/>
      <c r="H346" s="488" t="s">
        <v>731</v>
      </c>
      <c r="I346" s="488" t="s">
        <v>731</v>
      </c>
      <c r="J346" s="946"/>
      <c r="K346" s="946"/>
      <c r="L346" s="947"/>
      <c r="M346" s="947"/>
      <c r="N346" s="946"/>
      <c r="O346" s="946"/>
      <c r="P346" s="947"/>
      <c r="Q346" s="947"/>
      <c r="R346" s="946"/>
      <c r="S346" s="947"/>
      <c r="T346" s="947"/>
      <c r="U346" s="946"/>
      <c r="V346" s="947"/>
      <c r="W346" s="947"/>
    </row>
    <row r="347" spans="1:24" ht="14.25" customHeight="1">
      <c r="A347" s="950"/>
      <c r="B347" s="975"/>
      <c r="C347" s="985"/>
      <c r="D347" s="977"/>
      <c r="E347" s="978"/>
      <c r="F347" s="949"/>
      <c r="G347" s="949"/>
      <c r="H347" s="488" t="s">
        <v>731</v>
      </c>
      <c r="I347" s="488" t="s">
        <v>731</v>
      </c>
      <c r="J347" s="946"/>
      <c r="K347" s="946"/>
      <c r="L347" s="947"/>
      <c r="M347" s="947"/>
      <c r="N347" s="946"/>
      <c r="O347" s="946"/>
      <c r="P347" s="947"/>
      <c r="Q347" s="947"/>
      <c r="R347" s="946"/>
      <c r="S347" s="947"/>
      <c r="T347" s="947"/>
      <c r="U347" s="946"/>
      <c r="V347" s="947"/>
      <c r="W347" s="947"/>
    </row>
    <row r="348" spans="1:24" ht="14.25" customHeight="1">
      <c r="A348" s="950">
        <v>2</v>
      </c>
      <c r="B348" s="979" t="s">
        <v>598</v>
      </c>
      <c r="C348" s="980" t="s">
        <v>732</v>
      </c>
      <c r="D348" s="953" t="s">
        <v>733</v>
      </c>
      <c r="E348" s="949" t="s">
        <v>572</v>
      </c>
      <c r="F348" s="949" t="s">
        <v>734</v>
      </c>
      <c r="G348" s="949" t="s">
        <v>730</v>
      </c>
      <c r="H348" s="488" t="s">
        <v>731</v>
      </c>
      <c r="I348" s="488" t="s">
        <v>731</v>
      </c>
      <c r="J348" s="946">
        <f>K348+N348</f>
        <v>1429445</v>
      </c>
      <c r="K348" s="946">
        <f>L348+M348</f>
        <v>0</v>
      </c>
      <c r="L348" s="947">
        <v>0</v>
      </c>
      <c r="M348" s="947">
        <v>0</v>
      </c>
      <c r="N348" s="946">
        <f>O348+R348+U348</f>
        <v>1429445</v>
      </c>
      <c r="O348" s="946">
        <f>P348+Q348</f>
        <v>1429445</v>
      </c>
      <c r="P348" s="947">
        <v>2800</v>
      </c>
      <c r="Q348" s="947">
        <v>1426645</v>
      </c>
      <c r="R348" s="946">
        <f>S348+T348</f>
        <v>0</v>
      </c>
      <c r="S348" s="947">
        <v>0</v>
      </c>
      <c r="T348" s="947">
        <v>0</v>
      </c>
      <c r="U348" s="946">
        <f>V348+W348</f>
        <v>0</v>
      </c>
      <c r="V348" s="947">
        <v>0</v>
      </c>
      <c r="W348" s="947">
        <v>0</v>
      </c>
    </row>
    <row r="349" spans="1:24" ht="14.25" customHeight="1">
      <c r="A349" s="950"/>
      <c r="B349" s="979"/>
      <c r="C349" s="981"/>
      <c r="D349" s="953"/>
      <c r="E349" s="949"/>
      <c r="F349" s="949"/>
      <c r="G349" s="949"/>
      <c r="H349" s="488" t="s">
        <v>731</v>
      </c>
      <c r="I349" s="488" t="s">
        <v>731</v>
      </c>
      <c r="J349" s="946"/>
      <c r="K349" s="946"/>
      <c r="L349" s="947"/>
      <c r="M349" s="947"/>
      <c r="N349" s="946"/>
      <c r="O349" s="946"/>
      <c r="P349" s="947"/>
      <c r="Q349" s="947"/>
      <c r="R349" s="946"/>
      <c r="S349" s="947"/>
      <c r="T349" s="947"/>
      <c r="U349" s="946"/>
      <c r="V349" s="947"/>
      <c r="W349" s="947"/>
    </row>
    <row r="350" spans="1:24" ht="14.25" customHeight="1">
      <c r="A350" s="950"/>
      <c r="B350" s="979"/>
      <c r="C350" s="981"/>
      <c r="D350" s="953"/>
      <c r="E350" s="949"/>
      <c r="F350" s="949"/>
      <c r="G350" s="949"/>
      <c r="H350" s="488" t="s">
        <v>731</v>
      </c>
      <c r="I350" s="488" t="s">
        <v>731</v>
      </c>
      <c r="J350" s="946"/>
      <c r="K350" s="946"/>
      <c r="L350" s="947"/>
      <c r="M350" s="947"/>
      <c r="N350" s="946"/>
      <c r="O350" s="946"/>
      <c r="P350" s="947"/>
      <c r="Q350" s="947"/>
      <c r="R350" s="946"/>
      <c r="S350" s="947"/>
      <c r="T350" s="947"/>
      <c r="U350" s="946"/>
      <c r="V350" s="947"/>
      <c r="W350" s="947"/>
    </row>
    <row r="351" spans="1:24" ht="14.25" customHeight="1">
      <c r="A351" s="950"/>
      <c r="B351" s="979"/>
      <c r="C351" s="981"/>
      <c r="D351" s="953"/>
      <c r="E351" s="949"/>
      <c r="F351" s="949"/>
      <c r="G351" s="949"/>
      <c r="H351" s="488" t="s">
        <v>731</v>
      </c>
      <c r="I351" s="488" t="s">
        <v>731</v>
      </c>
      <c r="J351" s="946"/>
      <c r="K351" s="946"/>
      <c r="L351" s="947"/>
      <c r="M351" s="947"/>
      <c r="N351" s="946"/>
      <c r="O351" s="946"/>
      <c r="P351" s="947"/>
      <c r="Q351" s="947"/>
      <c r="R351" s="946"/>
      <c r="S351" s="947"/>
      <c r="T351" s="947"/>
      <c r="U351" s="946"/>
      <c r="V351" s="947"/>
      <c r="W351" s="947"/>
    </row>
    <row r="352" spans="1:24" ht="14.25" customHeight="1">
      <c r="A352" s="950"/>
      <c r="B352" s="979"/>
      <c r="C352" s="982"/>
      <c r="D352" s="953"/>
      <c r="E352" s="949"/>
      <c r="F352" s="949"/>
      <c r="G352" s="949"/>
      <c r="H352" s="488" t="s">
        <v>731</v>
      </c>
      <c r="I352" s="488" t="s">
        <v>731</v>
      </c>
      <c r="J352" s="946"/>
      <c r="K352" s="946"/>
      <c r="L352" s="947"/>
      <c r="M352" s="947"/>
      <c r="N352" s="946"/>
      <c r="O352" s="946"/>
      <c r="P352" s="947"/>
      <c r="Q352" s="947"/>
      <c r="R352" s="946"/>
      <c r="S352" s="947"/>
      <c r="T352" s="947"/>
      <c r="U352" s="946"/>
      <c r="V352" s="947"/>
      <c r="W352" s="947"/>
    </row>
    <row r="353" spans="1:23" ht="14.25" customHeight="1">
      <c r="A353" s="950">
        <v>3</v>
      </c>
      <c r="B353" s="951" t="s">
        <v>735</v>
      </c>
      <c r="C353" s="980" t="s">
        <v>727</v>
      </c>
      <c r="D353" s="953" t="s">
        <v>736</v>
      </c>
      <c r="E353" s="949" t="s">
        <v>572</v>
      </c>
      <c r="F353" s="949" t="s">
        <v>693</v>
      </c>
      <c r="G353" s="949" t="s">
        <v>730</v>
      </c>
      <c r="H353" s="488" t="s">
        <v>731</v>
      </c>
      <c r="I353" s="488" t="s">
        <v>731</v>
      </c>
      <c r="J353" s="946">
        <f>K353+N353</f>
        <v>294950</v>
      </c>
      <c r="K353" s="946">
        <f>L353+M353</f>
        <v>0</v>
      </c>
      <c r="L353" s="947">
        <v>0</v>
      </c>
      <c r="M353" s="947">
        <v>0</v>
      </c>
      <c r="N353" s="946">
        <f>O353+R353+U353</f>
        <v>294950</v>
      </c>
      <c r="O353" s="946">
        <f>P353+Q353</f>
        <v>294950</v>
      </c>
      <c r="P353" s="947">
        <v>1300</v>
      </c>
      <c r="Q353" s="947">
        <v>293650</v>
      </c>
      <c r="R353" s="946">
        <f>S353+T353</f>
        <v>0</v>
      </c>
      <c r="S353" s="947">
        <v>0</v>
      </c>
      <c r="T353" s="947">
        <v>0</v>
      </c>
      <c r="U353" s="946">
        <f>V353+W353</f>
        <v>0</v>
      </c>
      <c r="V353" s="947">
        <v>0</v>
      </c>
      <c r="W353" s="947">
        <v>0</v>
      </c>
    </row>
    <row r="354" spans="1:23" ht="14.25" customHeight="1">
      <c r="A354" s="950"/>
      <c r="B354" s="951"/>
      <c r="C354" s="981"/>
      <c r="D354" s="953"/>
      <c r="E354" s="949"/>
      <c r="F354" s="949"/>
      <c r="G354" s="949"/>
      <c r="H354" s="488" t="s">
        <v>731</v>
      </c>
      <c r="I354" s="488" t="s">
        <v>731</v>
      </c>
      <c r="J354" s="946"/>
      <c r="K354" s="946"/>
      <c r="L354" s="947"/>
      <c r="M354" s="947"/>
      <c r="N354" s="946"/>
      <c r="O354" s="946"/>
      <c r="P354" s="947"/>
      <c r="Q354" s="947"/>
      <c r="R354" s="946"/>
      <c r="S354" s="947"/>
      <c r="T354" s="947"/>
      <c r="U354" s="946"/>
      <c r="V354" s="947"/>
      <c r="W354" s="947"/>
    </row>
    <row r="355" spans="1:23" ht="14.25" customHeight="1">
      <c r="A355" s="950"/>
      <c r="B355" s="951"/>
      <c r="C355" s="981"/>
      <c r="D355" s="953"/>
      <c r="E355" s="949"/>
      <c r="F355" s="949"/>
      <c r="G355" s="949"/>
      <c r="H355" s="488" t="s">
        <v>731</v>
      </c>
      <c r="I355" s="488" t="s">
        <v>731</v>
      </c>
      <c r="J355" s="946"/>
      <c r="K355" s="946"/>
      <c r="L355" s="947"/>
      <c r="M355" s="947"/>
      <c r="N355" s="946"/>
      <c r="O355" s="946"/>
      <c r="P355" s="947"/>
      <c r="Q355" s="947"/>
      <c r="R355" s="946"/>
      <c r="S355" s="947"/>
      <c r="T355" s="947"/>
      <c r="U355" s="946"/>
      <c r="V355" s="947"/>
      <c r="W355" s="947"/>
    </row>
    <row r="356" spans="1:23" ht="14.25" customHeight="1">
      <c r="A356" s="950"/>
      <c r="B356" s="951"/>
      <c r="C356" s="981"/>
      <c r="D356" s="953"/>
      <c r="E356" s="949"/>
      <c r="F356" s="949"/>
      <c r="G356" s="949"/>
      <c r="H356" s="488" t="s">
        <v>731</v>
      </c>
      <c r="I356" s="488" t="s">
        <v>731</v>
      </c>
      <c r="J356" s="946"/>
      <c r="K356" s="946"/>
      <c r="L356" s="947"/>
      <c r="M356" s="947"/>
      <c r="N356" s="946"/>
      <c r="O356" s="946"/>
      <c r="P356" s="947"/>
      <c r="Q356" s="947"/>
      <c r="R356" s="946"/>
      <c r="S356" s="947"/>
      <c r="T356" s="947"/>
      <c r="U356" s="946"/>
      <c r="V356" s="947"/>
      <c r="W356" s="947"/>
    </row>
    <row r="357" spans="1:23" ht="14.25" customHeight="1">
      <c r="A357" s="950"/>
      <c r="B357" s="951"/>
      <c r="C357" s="982"/>
      <c r="D357" s="953"/>
      <c r="E357" s="949"/>
      <c r="F357" s="949"/>
      <c r="G357" s="949"/>
      <c r="H357" s="488" t="s">
        <v>731</v>
      </c>
      <c r="I357" s="488" t="s">
        <v>731</v>
      </c>
      <c r="J357" s="946"/>
      <c r="K357" s="946"/>
      <c r="L357" s="947"/>
      <c r="M357" s="947"/>
      <c r="N357" s="946"/>
      <c r="O357" s="946"/>
      <c r="P357" s="947"/>
      <c r="Q357" s="947"/>
      <c r="R357" s="946"/>
      <c r="S357" s="947"/>
      <c r="T357" s="947"/>
      <c r="U357" s="946"/>
      <c r="V357" s="947"/>
      <c r="W357" s="947"/>
    </row>
    <row r="358" spans="1:23" ht="14.85" customHeight="1">
      <c r="A358" s="950">
        <v>4</v>
      </c>
      <c r="B358" s="975" t="s">
        <v>500</v>
      </c>
      <c r="C358" s="983" t="s">
        <v>737</v>
      </c>
      <c r="D358" s="977" t="s">
        <v>738</v>
      </c>
      <c r="E358" s="978" t="s">
        <v>572</v>
      </c>
      <c r="F358" s="949" t="s">
        <v>739</v>
      </c>
      <c r="G358" s="949" t="s">
        <v>730</v>
      </c>
      <c r="H358" s="488" t="s">
        <v>731</v>
      </c>
      <c r="I358" s="488" t="s">
        <v>731</v>
      </c>
      <c r="J358" s="946">
        <f>K358+N358</f>
        <v>50422</v>
      </c>
      <c r="K358" s="946">
        <f>L358+M358</f>
        <v>0</v>
      </c>
      <c r="L358" s="947">
        <v>0</v>
      </c>
      <c r="M358" s="947">
        <v>0</v>
      </c>
      <c r="N358" s="946">
        <f>O358+R358+U358</f>
        <v>50422</v>
      </c>
      <c r="O358" s="946">
        <f>P358+Q358</f>
        <v>50422</v>
      </c>
      <c r="P358" s="947">
        <v>0</v>
      </c>
      <c r="Q358" s="947">
        <v>50422</v>
      </c>
      <c r="R358" s="946">
        <f>S358+T358</f>
        <v>0</v>
      </c>
      <c r="S358" s="947">
        <v>0</v>
      </c>
      <c r="T358" s="947">
        <v>0</v>
      </c>
      <c r="U358" s="946">
        <f>V358+W358</f>
        <v>0</v>
      </c>
      <c r="V358" s="947">
        <v>0</v>
      </c>
      <c r="W358" s="947">
        <v>0</v>
      </c>
    </row>
    <row r="359" spans="1:23" ht="14.85" customHeight="1">
      <c r="A359" s="950"/>
      <c r="B359" s="975"/>
      <c r="C359" s="984"/>
      <c r="D359" s="977"/>
      <c r="E359" s="978"/>
      <c r="F359" s="949"/>
      <c r="G359" s="949"/>
      <c r="H359" s="488" t="s">
        <v>731</v>
      </c>
      <c r="I359" s="488" t="s">
        <v>731</v>
      </c>
      <c r="J359" s="946"/>
      <c r="K359" s="946"/>
      <c r="L359" s="947"/>
      <c r="M359" s="947"/>
      <c r="N359" s="946"/>
      <c r="O359" s="946"/>
      <c r="P359" s="947"/>
      <c r="Q359" s="947"/>
      <c r="R359" s="946"/>
      <c r="S359" s="947"/>
      <c r="T359" s="947"/>
      <c r="U359" s="946"/>
      <c r="V359" s="947"/>
      <c r="W359" s="947"/>
    </row>
    <row r="360" spans="1:23" ht="14.85" customHeight="1">
      <c r="A360" s="950"/>
      <c r="B360" s="975"/>
      <c r="C360" s="984"/>
      <c r="D360" s="977"/>
      <c r="E360" s="978"/>
      <c r="F360" s="949"/>
      <c r="G360" s="949"/>
      <c r="H360" s="488" t="s">
        <v>731</v>
      </c>
      <c r="I360" s="488" t="s">
        <v>731</v>
      </c>
      <c r="J360" s="946"/>
      <c r="K360" s="946"/>
      <c r="L360" s="947"/>
      <c r="M360" s="947"/>
      <c r="N360" s="946"/>
      <c r="O360" s="946"/>
      <c r="P360" s="947"/>
      <c r="Q360" s="947"/>
      <c r="R360" s="946"/>
      <c r="S360" s="947"/>
      <c r="T360" s="947"/>
      <c r="U360" s="946"/>
      <c r="V360" s="947"/>
      <c r="W360" s="947"/>
    </row>
    <row r="361" spans="1:23" ht="14.85" customHeight="1">
      <c r="A361" s="950"/>
      <c r="B361" s="975"/>
      <c r="C361" s="984"/>
      <c r="D361" s="977"/>
      <c r="E361" s="978"/>
      <c r="F361" s="949"/>
      <c r="G361" s="949"/>
      <c r="H361" s="488" t="s">
        <v>731</v>
      </c>
      <c r="I361" s="488" t="s">
        <v>731</v>
      </c>
      <c r="J361" s="946"/>
      <c r="K361" s="946"/>
      <c r="L361" s="947"/>
      <c r="M361" s="947"/>
      <c r="N361" s="946"/>
      <c r="O361" s="946"/>
      <c r="P361" s="947"/>
      <c r="Q361" s="947"/>
      <c r="R361" s="946"/>
      <c r="S361" s="947"/>
      <c r="T361" s="947"/>
      <c r="U361" s="946"/>
      <c r="V361" s="947"/>
      <c r="W361" s="947"/>
    </row>
    <row r="362" spans="1:23" ht="14.85" customHeight="1">
      <c r="A362" s="950"/>
      <c r="B362" s="975"/>
      <c r="C362" s="985"/>
      <c r="D362" s="977"/>
      <c r="E362" s="978"/>
      <c r="F362" s="949"/>
      <c r="G362" s="949"/>
      <c r="H362" s="488" t="s">
        <v>731</v>
      </c>
      <c r="I362" s="488" t="s">
        <v>731</v>
      </c>
      <c r="J362" s="946"/>
      <c r="K362" s="946"/>
      <c r="L362" s="947"/>
      <c r="M362" s="947"/>
      <c r="N362" s="946"/>
      <c r="O362" s="946"/>
      <c r="P362" s="947"/>
      <c r="Q362" s="947"/>
      <c r="R362" s="946"/>
      <c r="S362" s="947"/>
      <c r="T362" s="947"/>
      <c r="U362" s="946"/>
      <c r="V362" s="947"/>
      <c r="W362" s="947"/>
    </row>
    <row r="363" spans="1:23" ht="14.25" customHeight="1">
      <c r="A363" s="950">
        <v>5</v>
      </c>
      <c r="B363" s="979" t="s">
        <v>740</v>
      </c>
      <c r="C363" s="980" t="s">
        <v>741</v>
      </c>
      <c r="D363" s="953" t="s">
        <v>742</v>
      </c>
      <c r="E363" s="949" t="s">
        <v>572</v>
      </c>
      <c r="F363" s="949" t="s">
        <v>743</v>
      </c>
      <c r="G363" s="949" t="s">
        <v>730</v>
      </c>
      <c r="H363" s="488" t="s">
        <v>731</v>
      </c>
      <c r="I363" s="488" t="s">
        <v>731</v>
      </c>
      <c r="J363" s="946">
        <f>K363+N363</f>
        <v>476427</v>
      </c>
      <c r="K363" s="946">
        <f>L363+M363</f>
        <v>0</v>
      </c>
      <c r="L363" s="947">
        <v>0</v>
      </c>
      <c r="M363" s="947">
        <v>0</v>
      </c>
      <c r="N363" s="946">
        <f>O363+R363+U363</f>
        <v>476427</v>
      </c>
      <c r="O363" s="946">
        <f>P363+Q363</f>
        <v>476427</v>
      </c>
      <c r="P363" s="947">
        <v>100</v>
      </c>
      <c r="Q363" s="947">
        <v>476327</v>
      </c>
      <c r="R363" s="946">
        <f>S363+T363</f>
        <v>0</v>
      </c>
      <c r="S363" s="947">
        <v>0</v>
      </c>
      <c r="T363" s="947">
        <v>0</v>
      </c>
      <c r="U363" s="946">
        <f>V363+W363</f>
        <v>0</v>
      </c>
      <c r="V363" s="947">
        <v>0</v>
      </c>
      <c r="W363" s="947">
        <v>0</v>
      </c>
    </row>
    <row r="364" spans="1:23" ht="14.25" customHeight="1">
      <c r="A364" s="950"/>
      <c r="B364" s="979"/>
      <c r="C364" s="981"/>
      <c r="D364" s="953"/>
      <c r="E364" s="949"/>
      <c r="F364" s="949"/>
      <c r="G364" s="949"/>
      <c r="H364" s="488" t="s">
        <v>731</v>
      </c>
      <c r="I364" s="488" t="s">
        <v>731</v>
      </c>
      <c r="J364" s="946"/>
      <c r="K364" s="946"/>
      <c r="L364" s="947"/>
      <c r="M364" s="947"/>
      <c r="N364" s="946"/>
      <c r="O364" s="946"/>
      <c r="P364" s="947"/>
      <c r="Q364" s="947"/>
      <c r="R364" s="946"/>
      <c r="S364" s="947"/>
      <c r="T364" s="947"/>
      <c r="U364" s="946"/>
      <c r="V364" s="947"/>
      <c r="W364" s="947"/>
    </row>
    <row r="365" spans="1:23" ht="14.25" customHeight="1">
      <c r="A365" s="950"/>
      <c r="B365" s="979"/>
      <c r="C365" s="981"/>
      <c r="D365" s="953"/>
      <c r="E365" s="949"/>
      <c r="F365" s="949"/>
      <c r="G365" s="949"/>
      <c r="H365" s="488" t="s">
        <v>731</v>
      </c>
      <c r="I365" s="488" t="s">
        <v>731</v>
      </c>
      <c r="J365" s="946"/>
      <c r="K365" s="946"/>
      <c r="L365" s="947"/>
      <c r="M365" s="947"/>
      <c r="N365" s="946"/>
      <c r="O365" s="946"/>
      <c r="P365" s="947"/>
      <c r="Q365" s="947"/>
      <c r="R365" s="946"/>
      <c r="S365" s="947"/>
      <c r="T365" s="947"/>
      <c r="U365" s="946"/>
      <c r="V365" s="947"/>
      <c r="W365" s="947"/>
    </row>
    <row r="366" spans="1:23" ht="14.25" customHeight="1">
      <c r="A366" s="950"/>
      <c r="B366" s="979"/>
      <c r="C366" s="981"/>
      <c r="D366" s="953"/>
      <c r="E366" s="949"/>
      <c r="F366" s="949"/>
      <c r="G366" s="949"/>
      <c r="H366" s="488" t="s">
        <v>731</v>
      </c>
      <c r="I366" s="488" t="s">
        <v>731</v>
      </c>
      <c r="J366" s="946"/>
      <c r="K366" s="946"/>
      <c r="L366" s="947"/>
      <c r="M366" s="947"/>
      <c r="N366" s="946"/>
      <c r="O366" s="946"/>
      <c r="P366" s="947"/>
      <c r="Q366" s="947"/>
      <c r="R366" s="946"/>
      <c r="S366" s="947"/>
      <c r="T366" s="947"/>
      <c r="U366" s="946"/>
      <c r="V366" s="947"/>
      <c r="W366" s="947"/>
    </row>
    <row r="367" spans="1:23" ht="14.25" customHeight="1">
      <c r="A367" s="950"/>
      <c r="B367" s="979"/>
      <c r="C367" s="982"/>
      <c r="D367" s="953"/>
      <c r="E367" s="949"/>
      <c r="F367" s="949"/>
      <c r="G367" s="949"/>
      <c r="H367" s="488" t="s">
        <v>731</v>
      </c>
      <c r="I367" s="488" t="s">
        <v>731</v>
      </c>
      <c r="J367" s="946"/>
      <c r="K367" s="946"/>
      <c r="L367" s="947"/>
      <c r="M367" s="947"/>
      <c r="N367" s="946"/>
      <c r="O367" s="946"/>
      <c r="P367" s="947"/>
      <c r="Q367" s="947"/>
      <c r="R367" s="946"/>
      <c r="S367" s="947"/>
      <c r="T367" s="947"/>
      <c r="U367" s="946"/>
      <c r="V367" s="947"/>
      <c r="W367" s="947"/>
    </row>
    <row r="368" spans="1:23" ht="14.85" customHeight="1">
      <c r="A368" s="950">
        <v>6</v>
      </c>
      <c r="B368" s="951" t="s">
        <v>633</v>
      </c>
      <c r="C368" s="980" t="s">
        <v>634</v>
      </c>
      <c r="D368" s="953" t="s">
        <v>744</v>
      </c>
      <c r="E368" s="949" t="s">
        <v>572</v>
      </c>
      <c r="F368" s="949" t="s">
        <v>745</v>
      </c>
      <c r="G368" s="949" t="s">
        <v>730</v>
      </c>
      <c r="H368" s="488" t="s">
        <v>731</v>
      </c>
      <c r="I368" s="488" t="s">
        <v>731</v>
      </c>
      <c r="J368" s="946">
        <f>K368+N368</f>
        <v>13056634</v>
      </c>
      <c r="K368" s="946">
        <f>L368+M368</f>
        <v>0</v>
      </c>
      <c r="L368" s="947">
        <v>0</v>
      </c>
      <c r="M368" s="947">
        <v>0</v>
      </c>
      <c r="N368" s="946">
        <f>O368+R368+U368</f>
        <v>13056634</v>
      </c>
      <c r="O368" s="946">
        <f>P368+Q368</f>
        <v>13056634</v>
      </c>
      <c r="P368" s="947">
        <v>189300</v>
      </c>
      <c r="Q368" s="947">
        <v>12867334</v>
      </c>
      <c r="R368" s="946">
        <f>S368+T368</f>
        <v>0</v>
      </c>
      <c r="S368" s="947">
        <v>0</v>
      </c>
      <c r="T368" s="947">
        <v>0</v>
      </c>
      <c r="U368" s="946">
        <f>V368+W368</f>
        <v>0</v>
      </c>
      <c r="V368" s="947">
        <v>0</v>
      </c>
      <c r="W368" s="947">
        <v>0</v>
      </c>
    </row>
    <row r="369" spans="1:23" ht="14.85" customHeight="1">
      <c r="A369" s="950"/>
      <c r="B369" s="951"/>
      <c r="C369" s="981"/>
      <c r="D369" s="953"/>
      <c r="E369" s="949"/>
      <c r="F369" s="949"/>
      <c r="G369" s="949"/>
      <c r="H369" s="488" t="s">
        <v>731</v>
      </c>
      <c r="I369" s="488" t="s">
        <v>731</v>
      </c>
      <c r="J369" s="946"/>
      <c r="K369" s="946"/>
      <c r="L369" s="947"/>
      <c r="M369" s="947"/>
      <c r="N369" s="946"/>
      <c r="O369" s="946"/>
      <c r="P369" s="947"/>
      <c r="Q369" s="947"/>
      <c r="R369" s="946"/>
      <c r="S369" s="947"/>
      <c r="T369" s="947"/>
      <c r="U369" s="946"/>
      <c r="V369" s="947"/>
      <c r="W369" s="947"/>
    </row>
    <row r="370" spans="1:23" ht="14.85" customHeight="1">
      <c r="A370" s="950"/>
      <c r="B370" s="951"/>
      <c r="C370" s="981"/>
      <c r="D370" s="953"/>
      <c r="E370" s="949"/>
      <c r="F370" s="949"/>
      <c r="G370" s="949"/>
      <c r="H370" s="488" t="s">
        <v>731</v>
      </c>
      <c r="I370" s="488" t="s">
        <v>731</v>
      </c>
      <c r="J370" s="946"/>
      <c r="K370" s="946"/>
      <c r="L370" s="947"/>
      <c r="M370" s="947"/>
      <c r="N370" s="946"/>
      <c r="O370" s="946"/>
      <c r="P370" s="947"/>
      <c r="Q370" s="947"/>
      <c r="R370" s="946"/>
      <c r="S370" s="947"/>
      <c r="T370" s="947"/>
      <c r="U370" s="946"/>
      <c r="V370" s="947"/>
      <c r="W370" s="947"/>
    </row>
    <row r="371" spans="1:23" ht="14.85" customHeight="1">
      <c r="A371" s="950"/>
      <c r="B371" s="951"/>
      <c r="C371" s="981"/>
      <c r="D371" s="953"/>
      <c r="E371" s="949"/>
      <c r="F371" s="949"/>
      <c r="G371" s="949"/>
      <c r="H371" s="488" t="s">
        <v>731</v>
      </c>
      <c r="I371" s="488" t="s">
        <v>731</v>
      </c>
      <c r="J371" s="946"/>
      <c r="K371" s="946"/>
      <c r="L371" s="947"/>
      <c r="M371" s="947"/>
      <c r="N371" s="946"/>
      <c r="O371" s="946"/>
      <c r="P371" s="947"/>
      <c r="Q371" s="947"/>
      <c r="R371" s="946"/>
      <c r="S371" s="947"/>
      <c r="T371" s="947"/>
      <c r="U371" s="946"/>
      <c r="V371" s="947"/>
      <c r="W371" s="947"/>
    </row>
    <row r="372" spans="1:23" ht="14.85" customHeight="1">
      <c r="A372" s="950"/>
      <c r="B372" s="951"/>
      <c r="C372" s="982"/>
      <c r="D372" s="953"/>
      <c r="E372" s="949"/>
      <c r="F372" s="949"/>
      <c r="G372" s="949"/>
      <c r="H372" s="488" t="s">
        <v>731</v>
      </c>
      <c r="I372" s="488" t="s">
        <v>731</v>
      </c>
      <c r="J372" s="946"/>
      <c r="K372" s="946"/>
      <c r="L372" s="947"/>
      <c r="M372" s="947"/>
      <c r="N372" s="946"/>
      <c r="O372" s="946"/>
      <c r="P372" s="947"/>
      <c r="Q372" s="947"/>
      <c r="R372" s="946"/>
      <c r="S372" s="947"/>
      <c r="T372" s="947"/>
      <c r="U372" s="946"/>
      <c r="V372" s="947"/>
      <c r="W372" s="947"/>
    </row>
    <row r="373" spans="1:23" ht="14.85" customHeight="1">
      <c r="A373" s="950">
        <v>7</v>
      </c>
      <c r="B373" s="951" t="s">
        <v>746</v>
      </c>
      <c r="C373" s="980" t="s">
        <v>747</v>
      </c>
      <c r="D373" s="953" t="s">
        <v>748</v>
      </c>
      <c r="E373" s="949" t="s">
        <v>572</v>
      </c>
      <c r="F373" s="949" t="s">
        <v>669</v>
      </c>
      <c r="G373" s="949" t="s">
        <v>730</v>
      </c>
      <c r="H373" s="488" t="s">
        <v>731</v>
      </c>
      <c r="I373" s="488" t="s">
        <v>731</v>
      </c>
      <c r="J373" s="946">
        <f>K373+N373</f>
        <v>4259566</v>
      </c>
      <c r="K373" s="946">
        <f>L373+M373</f>
        <v>0</v>
      </c>
      <c r="L373" s="947">
        <v>0</v>
      </c>
      <c r="M373" s="947">
        <v>0</v>
      </c>
      <c r="N373" s="946">
        <f>O373+R373+U373</f>
        <v>4259566</v>
      </c>
      <c r="O373" s="946">
        <f>P373+Q373</f>
        <v>4259566</v>
      </c>
      <c r="P373" s="947">
        <v>14050</v>
      </c>
      <c r="Q373" s="947">
        <v>4245516</v>
      </c>
      <c r="R373" s="946">
        <f>S373+T373</f>
        <v>0</v>
      </c>
      <c r="S373" s="947">
        <v>0</v>
      </c>
      <c r="T373" s="947">
        <v>0</v>
      </c>
      <c r="U373" s="946">
        <f>V373+W373</f>
        <v>0</v>
      </c>
      <c r="V373" s="947">
        <v>0</v>
      </c>
      <c r="W373" s="947">
        <v>0</v>
      </c>
    </row>
    <row r="374" spans="1:23" ht="14.85" customHeight="1">
      <c r="A374" s="950"/>
      <c r="B374" s="951"/>
      <c r="C374" s="981"/>
      <c r="D374" s="953"/>
      <c r="E374" s="949"/>
      <c r="F374" s="949"/>
      <c r="G374" s="949"/>
      <c r="H374" s="488" t="s">
        <v>731</v>
      </c>
      <c r="I374" s="488" t="s">
        <v>731</v>
      </c>
      <c r="J374" s="946"/>
      <c r="K374" s="946"/>
      <c r="L374" s="947"/>
      <c r="M374" s="947"/>
      <c r="N374" s="946"/>
      <c r="O374" s="946"/>
      <c r="P374" s="947"/>
      <c r="Q374" s="947"/>
      <c r="R374" s="946"/>
      <c r="S374" s="947"/>
      <c r="T374" s="947"/>
      <c r="U374" s="946"/>
      <c r="V374" s="947"/>
      <c r="W374" s="947"/>
    </row>
    <row r="375" spans="1:23" ht="14.85" customHeight="1">
      <c r="A375" s="950"/>
      <c r="B375" s="951"/>
      <c r="C375" s="981"/>
      <c r="D375" s="953"/>
      <c r="E375" s="949"/>
      <c r="F375" s="949"/>
      <c r="G375" s="949"/>
      <c r="H375" s="488" t="s">
        <v>731</v>
      </c>
      <c r="I375" s="488" t="s">
        <v>731</v>
      </c>
      <c r="J375" s="946"/>
      <c r="K375" s="946"/>
      <c r="L375" s="947"/>
      <c r="M375" s="947"/>
      <c r="N375" s="946"/>
      <c r="O375" s="946"/>
      <c r="P375" s="947"/>
      <c r="Q375" s="947"/>
      <c r="R375" s="946"/>
      <c r="S375" s="947"/>
      <c r="T375" s="947"/>
      <c r="U375" s="946"/>
      <c r="V375" s="947"/>
      <c r="W375" s="947"/>
    </row>
    <row r="376" spans="1:23" ht="14.85" customHeight="1">
      <c r="A376" s="950"/>
      <c r="B376" s="951"/>
      <c r="C376" s="981"/>
      <c r="D376" s="953"/>
      <c r="E376" s="949"/>
      <c r="F376" s="949"/>
      <c r="G376" s="949"/>
      <c r="H376" s="488" t="s">
        <v>731</v>
      </c>
      <c r="I376" s="488" t="s">
        <v>731</v>
      </c>
      <c r="J376" s="946"/>
      <c r="K376" s="946"/>
      <c r="L376" s="947"/>
      <c r="M376" s="947"/>
      <c r="N376" s="946"/>
      <c r="O376" s="946"/>
      <c r="P376" s="947"/>
      <c r="Q376" s="947"/>
      <c r="R376" s="946"/>
      <c r="S376" s="947"/>
      <c r="T376" s="947"/>
      <c r="U376" s="946"/>
      <c r="V376" s="947"/>
      <c r="W376" s="947"/>
    </row>
    <row r="377" spans="1:23" ht="14.85" customHeight="1">
      <c r="A377" s="950"/>
      <c r="B377" s="951"/>
      <c r="C377" s="982"/>
      <c r="D377" s="953"/>
      <c r="E377" s="949"/>
      <c r="F377" s="949"/>
      <c r="G377" s="949"/>
      <c r="H377" s="488" t="s">
        <v>731</v>
      </c>
      <c r="I377" s="488" t="s">
        <v>731</v>
      </c>
      <c r="J377" s="946"/>
      <c r="K377" s="946"/>
      <c r="L377" s="947"/>
      <c r="M377" s="947"/>
      <c r="N377" s="946"/>
      <c r="O377" s="946"/>
      <c r="P377" s="947"/>
      <c r="Q377" s="947"/>
      <c r="R377" s="946"/>
      <c r="S377" s="947"/>
      <c r="T377" s="947"/>
      <c r="U377" s="946"/>
      <c r="V377" s="947"/>
      <c r="W377" s="947"/>
    </row>
    <row r="378" spans="1:23" ht="15" customHeight="1">
      <c r="A378" s="950">
        <v>8</v>
      </c>
      <c r="B378" s="951" t="s">
        <v>749</v>
      </c>
      <c r="C378" s="980" t="s">
        <v>750</v>
      </c>
      <c r="D378" s="953" t="s">
        <v>751</v>
      </c>
      <c r="E378" s="949" t="s">
        <v>572</v>
      </c>
      <c r="F378" s="949" t="s">
        <v>729</v>
      </c>
      <c r="G378" s="949" t="s">
        <v>730</v>
      </c>
      <c r="H378" s="488" t="s">
        <v>731</v>
      </c>
      <c r="I378" s="488" t="s">
        <v>731</v>
      </c>
      <c r="J378" s="946">
        <f>K378+N378</f>
        <v>7185751</v>
      </c>
      <c r="K378" s="946">
        <f>L378+M378</f>
        <v>0</v>
      </c>
      <c r="L378" s="947">
        <v>0</v>
      </c>
      <c r="M378" s="947">
        <v>0</v>
      </c>
      <c r="N378" s="946">
        <f>O378+R378+U378</f>
        <v>7185751</v>
      </c>
      <c r="O378" s="946">
        <f>P378+Q378</f>
        <v>7185751</v>
      </c>
      <c r="P378" s="947">
        <v>18000</v>
      </c>
      <c r="Q378" s="947">
        <v>7167751</v>
      </c>
      <c r="R378" s="946">
        <f>S378+T378</f>
        <v>0</v>
      </c>
      <c r="S378" s="947">
        <v>0</v>
      </c>
      <c r="T378" s="947">
        <v>0</v>
      </c>
      <c r="U378" s="946">
        <f>V378+W378</f>
        <v>0</v>
      </c>
      <c r="V378" s="947">
        <v>0</v>
      </c>
      <c r="W378" s="947">
        <v>0</v>
      </c>
    </row>
    <row r="379" spans="1:23" ht="15" customHeight="1">
      <c r="A379" s="950"/>
      <c r="B379" s="951"/>
      <c r="C379" s="981"/>
      <c r="D379" s="953"/>
      <c r="E379" s="949"/>
      <c r="F379" s="949"/>
      <c r="G379" s="949"/>
      <c r="H379" s="488" t="s">
        <v>731</v>
      </c>
      <c r="I379" s="488" t="s">
        <v>731</v>
      </c>
      <c r="J379" s="946"/>
      <c r="K379" s="946"/>
      <c r="L379" s="947"/>
      <c r="M379" s="947"/>
      <c r="N379" s="946"/>
      <c r="O379" s="946"/>
      <c r="P379" s="947"/>
      <c r="Q379" s="947"/>
      <c r="R379" s="946"/>
      <c r="S379" s="947"/>
      <c r="T379" s="947"/>
      <c r="U379" s="946"/>
      <c r="V379" s="947"/>
      <c r="W379" s="947"/>
    </row>
    <row r="380" spans="1:23" ht="15" customHeight="1">
      <c r="A380" s="950"/>
      <c r="B380" s="951"/>
      <c r="C380" s="981"/>
      <c r="D380" s="953"/>
      <c r="E380" s="949"/>
      <c r="F380" s="949"/>
      <c r="G380" s="949"/>
      <c r="H380" s="488" t="s">
        <v>731</v>
      </c>
      <c r="I380" s="488" t="s">
        <v>731</v>
      </c>
      <c r="J380" s="946"/>
      <c r="K380" s="946"/>
      <c r="L380" s="947"/>
      <c r="M380" s="947"/>
      <c r="N380" s="946"/>
      <c r="O380" s="946"/>
      <c r="P380" s="947"/>
      <c r="Q380" s="947"/>
      <c r="R380" s="946"/>
      <c r="S380" s="947"/>
      <c r="T380" s="947"/>
      <c r="U380" s="946"/>
      <c r="V380" s="947"/>
      <c r="W380" s="947"/>
    </row>
    <row r="381" spans="1:23" ht="15" customHeight="1">
      <c r="A381" s="950"/>
      <c r="B381" s="951"/>
      <c r="C381" s="981"/>
      <c r="D381" s="953"/>
      <c r="E381" s="949"/>
      <c r="F381" s="949"/>
      <c r="G381" s="949"/>
      <c r="H381" s="488" t="s">
        <v>731</v>
      </c>
      <c r="I381" s="488" t="s">
        <v>731</v>
      </c>
      <c r="J381" s="946"/>
      <c r="K381" s="946"/>
      <c r="L381" s="947"/>
      <c r="M381" s="947"/>
      <c r="N381" s="946"/>
      <c r="O381" s="946"/>
      <c r="P381" s="947"/>
      <c r="Q381" s="947"/>
      <c r="R381" s="946"/>
      <c r="S381" s="947"/>
      <c r="T381" s="947"/>
      <c r="U381" s="946"/>
      <c r="V381" s="947"/>
      <c r="W381" s="947"/>
    </row>
    <row r="382" spans="1:23" ht="15" customHeight="1">
      <c r="A382" s="950"/>
      <c r="B382" s="951"/>
      <c r="C382" s="982"/>
      <c r="D382" s="953"/>
      <c r="E382" s="949"/>
      <c r="F382" s="949"/>
      <c r="G382" s="949"/>
      <c r="H382" s="488" t="s">
        <v>731</v>
      </c>
      <c r="I382" s="488" t="s">
        <v>731</v>
      </c>
      <c r="J382" s="946"/>
      <c r="K382" s="946"/>
      <c r="L382" s="947"/>
      <c r="M382" s="947"/>
      <c r="N382" s="946"/>
      <c r="O382" s="946"/>
      <c r="P382" s="947"/>
      <c r="Q382" s="947"/>
      <c r="R382" s="946"/>
      <c r="S382" s="947"/>
      <c r="T382" s="947"/>
      <c r="U382" s="946"/>
      <c r="V382" s="947"/>
      <c r="W382" s="947"/>
    </row>
    <row r="383" spans="1:23" ht="15" customHeight="1">
      <c r="A383" s="950">
        <v>9</v>
      </c>
      <c r="B383" s="979" t="s">
        <v>640</v>
      </c>
      <c r="C383" s="980" t="s">
        <v>752</v>
      </c>
      <c r="D383" s="953" t="s">
        <v>753</v>
      </c>
      <c r="E383" s="949" t="s">
        <v>572</v>
      </c>
      <c r="F383" s="949" t="s">
        <v>754</v>
      </c>
      <c r="G383" s="949" t="s">
        <v>730</v>
      </c>
      <c r="H383" s="488" t="s">
        <v>731</v>
      </c>
      <c r="I383" s="488" t="s">
        <v>731</v>
      </c>
      <c r="J383" s="946">
        <f>K383+N383</f>
        <v>293268</v>
      </c>
      <c r="K383" s="946">
        <f>L383+M383</f>
        <v>0</v>
      </c>
      <c r="L383" s="947">
        <v>0</v>
      </c>
      <c r="M383" s="947">
        <v>0</v>
      </c>
      <c r="N383" s="946">
        <f>O383+R383+U383</f>
        <v>293268</v>
      </c>
      <c r="O383" s="946">
        <f>P383+Q383</f>
        <v>293268</v>
      </c>
      <c r="P383" s="947">
        <v>0</v>
      </c>
      <c r="Q383" s="947">
        <v>293268</v>
      </c>
      <c r="R383" s="946">
        <f>S383+T383</f>
        <v>0</v>
      </c>
      <c r="S383" s="947">
        <v>0</v>
      </c>
      <c r="T383" s="947">
        <v>0</v>
      </c>
      <c r="U383" s="946">
        <f>V383+W383</f>
        <v>0</v>
      </c>
      <c r="V383" s="947">
        <v>0</v>
      </c>
      <c r="W383" s="947">
        <v>0</v>
      </c>
    </row>
    <row r="384" spans="1:23" ht="15" customHeight="1">
      <c r="A384" s="950"/>
      <c r="B384" s="979"/>
      <c r="C384" s="981"/>
      <c r="D384" s="953"/>
      <c r="E384" s="949"/>
      <c r="F384" s="949"/>
      <c r="G384" s="949"/>
      <c r="H384" s="488" t="s">
        <v>731</v>
      </c>
      <c r="I384" s="488" t="s">
        <v>731</v>
      </c>
      <c r="J384" s="946"/>
      <c r="K384" s="946"/>
      <c r="L384" s="947"/>
      <c r="M384" s="947"/>
      <c r="N384" s="946"/>
      <c r="O384" s="946"/>
      <c r="P384" s="947"/>
      <c r="Q384" s="947"/>
      <c r="R384" s="946"/>
      <c r="S384" s="947"/>
      <c r="T384" s="947"/>
      <c r="U384" s="946"/>
      <c r="V384" s="947"/>
      <c r="W384" s="947"/>
    </row>
    <row r="385" spans="1:23" ht="15" customHeight="1">
      <c r="A385" s="950"/>
      <c r="B385" s="979"/>
      <c r="C385" s="981"/>
      <c r="D385" s="953"/>
      <c r="E385" s="949"/>
      <c r="F385" s="949"/>
      <c r="G385" s="949"/>
      <c r="H385" s="488" t="s">
        <v>731</v>
      </c>
      <c r="I385" s="488" t="s">
        <v>731</v>
      </c>
      <c r="J385" s="946"/>
      <c r="K385" s="946"/>
      <c r="L385" s="947"/>
      <c r="M385" s="947"/>
      <c r="N385" s="946"/>
      <c r="O385" s="946"/>
      <c r="P385" s="947"/>
      <c r="Q385" s="947"/>
      <c r="R385" s="946"/>
      <c r="S385" s="947"/>
      <c r="T385" s="947"/>
      <c r="U385" s="946"/>
      <c r="V385" s="947"/>
      <c r="W385" s="947"/>
    </row>
    <row r="386" spans="1:23" ht="15" customHeight="1">
      <c r="A386" s="950"/>
      <c r="B386" s="979"/>
      <c r="C386" s="981"/>
      <c r="D386" s="953"/>
      <c r="E386" s="949"/>
      <c r="F386" s="949"/>
      <c r="G386" s="949"/>
      <c r="H386" s="488" t="s">
        <v>731</v>
      </c>
      <c r="I386" s="488" t="s">
        <v>731</v>
      </c>
      <c r="J386" s="946"/>
      <c r="K386" s="946"/>
      <c r="L386" s="947"/>
      <c r="M386" s="947"/>
      <c r="N386" s="946"/>
      <c r="O386" s="946"/>
      <c r="P386" s="947"/>
      <c r="Q386" s="947"/>
      <c r="R386" s="946"/>
      <c r="S386" s="947"/>
      <c r="T386" s="947"/>
      <c r="U386" s="946"/>
      <c r="V386" s="947"/>
      <c r="W386" s="947"/>
    </row>
    <row r="387" spans="1:23" ht="15" customHeight="1">
      <c r="A387" s="950"/>
      <c r="B387" s="979"/>
      <c r="C387" s="982"/>
      <c r="D387" s="953"/>
      <c r="E387" s="949"/>
      <c r="F387" s="949"/>
      <c r="G387" s="949"/>
      <c r="H387" s="488" t="s">
        <v>731</v>
      </c>
      <c r="I387" s="488" t="s">
        <v>731</v>
      </c>
      <c r="J387" s="946"/>
      <c r="K387" s="946"/>
      <c r="L387" s="947"/>
      <c r="M387" s="947"/>
      <c r="N387" s="946"/>
      <c r="O387" s="946"/>
      <c r="P387" s="947"/>
      <c r="Q387" s="947"/>
      <c r="R387" s="946"/>
      <c r="S387" s="947"/>
      <c r="T387" s="947"/>
      <c r="U387" s="946"/>
      <c r="V387" s="947"/>
      <c r="W387" s="947"/>
    </row>
    <row r="388" spans="1:23" ht="15" customHeight="1">
      <c r="A388" s="950">
        <v>10</v>
      </c>
      <c r="B388" s="979" t="s">
        <v>646</v>
      </c>
      <c r="C388" s="980" t="s">
        <v>755</v>
      </c>
      <c r="D388" s="953" t="s">
        <v>756</v>
      </c>
      <c r="E388" s="949" t="s">
        <v>572</v>
      </c>
      <c r="F388" s="949" t="s">
        <v>757</v>
      </c>
      <c r="G388" s="949" t="s">
        <v>730</v>
      </c>
      <c r="H388" s="488" t="s">
        <v>731</v>
      </c>
      <c r="I388" s="488" t="s">
        <v>731</v>
      </c>
      <c r="J388" s="946">
        <f>K388+N388</f>
        <v>19129</v>
      </c>
      <c r="K388" s="946">
        <f>L388+M388</f>
        <v>0</v>
      </c>
      <c r="L388" s="947">
        <v>0</v>
      </c>
      <c r="M388" s="947">
        <v>0</v>
      </c>
      <c r="N388" s="946">
        <f>O388+R388+U388</f>
        <v>19129</v>
      </c>
      <c r="O388" s="946">
        <f>P388+Q388</f>
        <v>19129</v>
      </c>
      <c r="P388" s="947">
        <v>0</v>
      </c>
      <c r="Q388" s="947">
        <v>19129</v>
      </c>
      <c r="R388" s="946">
        <f>S388+T388</f>
        <v>0</v>
      </c>
      <c r="S388" s="947">
        <v>0</v>
      </c>
      <c r="T388" s="947">
        <v>0</v>
      </c>
      <c r="U388" s="946">
        <f>V388+W388</f>
        <v>0</v>
      </c>
      <c r="V388" s="947">
        <v>0</v>
      </c>
      <c r="W388" s="947">
        <v>0</v>
      </c>
    </row>
    <row r="389" spans="1:23" ht="15" customHeight="1">
      <c r="A389" s="950"/>
      <c r="B389" s="979"/>
      <c r="C389" s="981"/>
      <c r="D389" s="953"/>
      <c r="E389" s="949"/>
      <c r="F389" s="949"/>
      <c r="G389" s="949"/>
      <c r="H389" s="488" t="s">
        <v>731</v>
      </c>
      <c r="I389" s="488" t="s">
        <v>731</v>
      </c>
      <c r="J389" s="946"/>
      <c r="K389" s="946"/>
      <c r="L389" s="947"/>
      <c r="M389" s="947"/>
      <c r="N389" s="946"/>
      <c r="O389" s="946"/>
      <c r="P389" s="947"/>
      <c r="Q389" s="947"/>
      <c r="R389" s="946"/>
      <c r="S389" s="947"/>
      <c r="T389" s="947"/>
      <c r="U389" s="946"/>
      <c r="V389" s="947"/>
      <c r="W389" s="947"/>
    </row>
    <row r="390" spans="1:23" ht="15" customHeight="1">
      <c r="A390" s="950"/>
      <c r="B390" s="979"/>
      <c r="C390" s="981"/>
      <c r="D390" s="953"/>
      <c r="E390" s="949"/>
      <c r="F390" s="949"/>
      <c r="G390" s="949"/>
      <c r="H390" s="488" t="s">
        <v>731</v>
      </c>
      <c r="I390" s="488" t="s">
        <v>731</v>
      </c>
      <c r="J390" s="946"/>
      <c r="K390" s="946"/>
      <c r="L390" s="947"/>
      <c r="M390" s="947"/>
      <c r="N390" s="946"/>
      <c r="O390" s="946"/>
      <c r="P390" s="947"/>
      <c r="Q390" s="947"/>
      <c r="R390" s="946"/>
      <c r="S390" s="947"/>
      <c r="T390" s="947"/>
      <c r="U390" s="946"/>
      <c r="V390" s="947"/>
      <c r="W390" s="947"/>
    </row>
    <row r="391" spans="1:23" ht="15" customHeight="1">
      <c r="A391" s="950"/>
      <c r="B391" s="979"/>
      <c r="C391" s="981"/>
      <c r="D391" s="953"/>
      <c r="E391" s="949"/>
      <c r="F391" s="949"/>
      <c r="G391" s="949"/>
      <c r="H391" s="488" t="s">
        <v>731</v>
      </c>
      <c r="I391" s="488" t="s">
        <v>731</v>
      </c>
      <c r="J391" s="946"/>
      <c r="K391" s="946"/>
      <c r="L391" s="947"/>
      <c r="M391" s="947"/>
      <c r="N391" s="946"/>
      <c r="O391" s="946"/>
      <c r="P391" s="947"/>
      <c r="Q391" s="947"/>
      <c r="R391" s="946"/>
      <c r="S391" s="947"/>
      <c r="T391" s="947"/>
      <c r="U391" s="946"/>
      <c r="V391" s="947"/>
      <c r="W391" s="947"/>
    </row>
    <row r="392" spans="1:23" ht="15" customHeight="1">
      <c r="A392" s="950"/>
      <c r="B392" s="979"/>
      <c r="C392" s="982"/>
      <c r="D392" s="953"/>
      <c r="E392" s="949"/>
      <c r="F392" s="949"/>
      <c r="G392" s="949"/>
      <c r="H392" s="488" t="s">
        <v>731</v>
      </c>
      <c r="I392" s="488" t="s">
        <v>731</v>
      </c>
      <c r="J392" s="946"/>
      <c r="K392" s="946"/>
      <c r="L392" s="947"/>
      <c r="M392" s="947"/>
      <c r="N392" s="946"/>
      <c r="O392" s="946"/>
      <c r="P392" s="947"/>
      <c r="Q392" s="947"/>
      <c r="R392" s="946"/>
      <c r="S392" s="947"/>
      <c r="T392" s="947"/>
      <c r="U392" s="946"/>
      <c r="V392" s="947"/>
      <c r="W392" s="947"/>
    </row>
    <row r="393" spans="1:23" ht="14.25" customHeight="1">
      <c r="A393" s="950">
        <v>11</v>
      </c>
      <c r="B393" s="951" t="s">
        <v>758</v>
      </c>
      <c r="C393" s="980" t="s">
        <v>750</v>
      </c>
      <c r="D393" s="953" t="s">
        <v>759</v>
      </c>
      <c r="E393" s="949" t="s">
        <v>572</v>
      </c>
      <c r="F393" s="949" t="s">
        <v>729</v>
      </c>
      <c r="G393" s="949" t="s">
        <v>730</v>
      </c>
      <c r="H393" s="488" t="s">
        <v>731</v>
      </c>
      <c r="I393" s="488" t="s">
        <v>731</v>
      </c>
      <c r="J393" s="946">
        <f>K393+N393</f>
        <v>9092749</v>
      </c>
      <c r="K393" s="946">
        <f>L393+M393</f>
        <v>0</v>
      </c>
      <c r="L393" s="947">
        <v>0</v>
      </c>
      <c r="M393" s="947">
        <v>0</v>
      </c>
      <c r="N393" s="946">
        <f>O393+R393+U393</f>
        <v>9092749</v>
      </c>
      <c r="O393" s="946">
        <f>P393+Q393</f>
        <v>9092749</v>
      </c>
      <c r="P393" s="947">
        <v>24000</v>
      </c>
      <c r="Q393" s="947">
        <v>9068749</v>
      </c>
      <c r="R393" s="946">
        <f>S393+T393</f>
        <v>0</v>
      </c>
      <c r="S393" s="947">
        <v>0</v>
      </c>
      <c r="T393" s="947">
        <v>0</v>
      </c>
      <c r="U393" s="946">
        <f>V393+W393</f>
        <v>0</v>
      </c>
      <c r="V393" s="947">
        <v>0</v>
      </c>
      <c r="W393" s="947">
        <v>0</v>
      </c>
    </row>
    <row r="394" spans="1:23" ht="14.25" customHeight="1">
      <c r="A394" s="950"/>
      <c r="B394" s="951"/>
      <c r="C394" s="981"/>
      <c r="D394" s="953"/>
      <c r="E394" s="949"/>
      <c r="F394" s="949"/>
      <c r="G394" s="949"/>
      <c r="H394" s="488" t="s">
        <v>731</v>
      </c>
      <c r="I394" s="488" t="s">
        <v>731</v>
      </c>
      <c r="J394" s="946"/>
      <c r="K394" s="946"/>
      <c r="L394" s="947"/>
      <c r="M394" s="947"/>
      <c r="N394" s="946"/>
      <c r="O394" s="946"/>
      <c r="P394" s="947"/>
      <c r="Q394" s="947"/>
      <c r="R394" s="946"/>
      <c r="S394" s="947"/>
      <c r="T394" s="947"/>
      <c r="U394" s="946"/>
      <c r="V394" s="947"/>
      <c r="W394" s="947"/>
    </row>
    <row r="395" spans="1:23" ht="14.25" customHeight="1">
      <c r="A395" s="950"/>
      <c r="B395" s="951"/>
      <c r="C395" s="981"/>
      <c r="D395" s="953"/>
      <c r="E395" s="949"/>
      <c r="F395" s="949"/>
      <c r="G395" s="949"/>
      <c r="H395" s="488" t="s">
        <v>731</v>
      </c>
      <c r="I395" s="488" t="s">
        <v>731</v>
      </c>
      <c r="J395" s="946"/>
      <c r="K395" s="946"/>
      <c r="L395" s="947"/>
      <c r="M395" s="947"/>
      <c r="N395" s="946"/>
      <c r="O395" s="946"/>
      <c r="P395" s="947"/>
      <c r="Q395" s="947"/>
      <c r="R395" s="946"/>
      <c r="S395" s="947"/>
      <c r="T395" s="947"/>
      <c r="U395" s="946"/>
      <c r="V395" s="947"/>
      <c r="W395" s="947"/>
    </row>
    <row r="396" spans="1:23" ht="14.25" customHeight="1">
      <c r="A396" s="950"/>
      <c r="B396" s="951"/>
      <c r="C396" s="981"/>
      <c r="D396" s="953"/>
      <c r="E396" s="949"/>
      <c r="F396" s="949"/>
      <c r="G396" s="949"/>
      <c r="H396" s="488" t="s">
        <v>731</v>
      </c>
      <c r="I396" s="488" t="s">
        <v>731</v>
      </c>
      <c r="J396" s="946"/>
      <c r="K396" s="946"/>
      <c r="L396" s="947"/>
      <c r="M396" s="947"/>
      <c r="N396" s="946"/>
      <c r="O396" s="946"/>
      <c r="P396" s="947"/>
      <c r="Q396" s="947"/>
      <c r="R396" s="946"/>
      <c r="S396" s="947"/>
      <c r="T396" s="947"/>
      <c r="U396" s="946"/>
      <c r="V396" s="947"/>
      <c r="W396" s="947"/>
    </row>
    <row r="397" spans="1:23" ht="14.25" customHeight="1">
      <c r="A397" s="950"/>
      <c r="B397" s="951"/>
      <c r="C397" s="982"/>
      <c r="D397" s="953"/>
      <c r="E397" s="949"/>
      <c r="F397" s="949"/>
      <c r="G397" s="949"/>
      <c r="H397" s="488" t="s">
        <v>731</v>
      </c>
      <c r="I397" s="488" t="s">
        <v>731</v>
      </c>
      <c r="J397" s="946"/>
      <c r="K397" s="946"/>
      <c r="L397" s="947"/>
      <c r="M397" s="947"/>
      <c r="N397" s="946"/>
      <c r="O397" s="946"/>
      <c r="P397" s="947"/>
      <c r="Q397" s="947"/>
      <c r="R397" s="946"/>
      <c r="S397" s="947"/>
      <c r="T397" s="947"/>
      <c r="U397" s="946"/>
      <c r="V397" s="947"/>
      <c r="W397" s="947"/>
    </row>
    <row r="398" spans="1:23" ht="14.25" customHeight="1">
      <c r="A398" s="950">
        <v>12</v>
      </c>
      <c r="B398" s="979" t="s">
        <v>760</v>
      </c>
      <c r="C398" s="980" t="s">
        <v>761</v>
      </c>
      <c r="D398" s="953" t="s">
        <v>762</v>
      </c>
      <c r="E398" s="949" t="s">
        <v>572</v>
      </c>
      <c r="F398" s="949" t="s">
        <v>729</v>
      </c>
      <c r="G398" s="949" t="s">
        <v>730</v>
      </c>
      <c r="H398" s="488" t="s">
        <v>731</v>
      </c>
      <c r="I398" s="488" t="s">
        <v>731</v>
      </c>
      <c r="J398" s="946">
        <f>K398+N398</f>
        <v>2519315</v>
      </c>
      <c r="K398" s="946">
        <f>L398+M398</f>
        <v>0</v>
      </c>
      <c r="L398" s="947">
        <v>0</v>
      </c>
      <c r="M398" s="947">
        <v>0</v>
      </c>
      <c r="N398" s="946">
        <f>O398+R398+U398</f>
        <v>2519315</v>
      </c>
      <c r="O398" s="946">
        <f>P398+Q398</f>
        <v>2519315</v>
      </c>
      <c r="P398" s="947">
        <v>3000</v>
      </c>
      <c r="Q398" s="947">
        <v>2516315</v>
      </c>
      <c r="R398" s="946">
        <f>S398+T398</f>
        <v>0</v>
      </c>
      <c r="S398" s="947">
        <v>0</v>
      </c>
      <c r="T398" s="947">
        <v>0</v>
      </c>
      <c r="U398" s="946">
        <f>V398+W398</f>
        <v>0</v>
      </c>
      <c r="V398" s="947">
        <v>0</v>
      </c>
      <c r="W398" s="947">
        <v>0</v>
      </c>
    </row>
    <row r="399" spans="1:23" ht="14.25" customHeight="1">
      <c r="A399" s="950"/>
      <c r="B399" s="979"/>
      <c r="C399" s="981"/>
      <c r="D399" s="953"/>
      <c r="E399" s="949"/>
      <c r="F399" s="949"/>
      <c r="G399" s="949"/>
      <c r="H399" s="488" t="s">
        <v>731</v>
      </c>
      <c r="I399" s="488" t="s">
        <v>731</v>
      </c>
      <c r="J399" s="946"/>
      <c r="K399" s="946"/>
      <c r="L399" s="947"/>
      <c r="M399" s="947"/>
      <c r="N399" s="946"/>
      <c r="O399" s="946"/>
      <c r="P399" s="947"/>
      <c r="Q399" s="947"/>
      <c r="R399" s="946"/>
      <c r="S399" s="947"/>
      <c r="T399" s="947"/>
      <c r="U399" s="946"/>
      <c r="V399" s="947"/>
      <c r="W399" s="947"/>
    </row>
    <row r="400" spans="1:23" ht="14.25" customHeight="1">
      <c r="A400" s="950"/>
      <c r="B400" s="979"/>
      <c r="C400" s="981"/>
      <c r="D400" s="953"/>
      <c r="E400" s="949"/>
      <c r="F400" s="949"/>
      <c r="G400" s="949"/>
      <c r="H400" s="488" t="s">
        <v>731</v>
      </c>
      <c r="I400" s="488" t="s">
        <v>731</v>
      </c>
      <c r="J400" s="946"/>
      <c r="K400" s="946"/>
      <c r="L400" s="947"/>
      <c r="M400" s="947"/>
      <c r="N400" s="946"/>
      <c r="O400" s="946"/>
      <c r="P400" s="947"/>
      <c r="Q400" s="947"/>
      <c r="R400" s="946"/>
      <c r="S400" s="947"/>
      <c r="T400" s="947"/>
      <c r="U400" s="946"/>
      <c r="V400" s="947"/>
      <c r="W400" s="947"/>
    </row>
    <row r="401" spans="1:23" ht="14.25" customHeight="1">
      <c r="A401" s="950"/>
      <c r="B401" s="979"/>
      <c r="C401" s="981"/>
      <c r="D401" s="953"/>
      <c r="E401" s="949"/>
      <c r="F401" s="949"/>
      <c r="G401" s="949"/>
      <c r="H401" s="488" t="s">
        <v>731</v>
      </c>
      <c r="I401" s="488" t="s">
        <v>731</v>
      </c>
      <c r="J401" s="946"/>
      <c r="K401" s="946"/>
      <c r="L401" s="947"/>
      <c r="M401" s="947"/>
      <c r="N401" s="946"/>
      <c r="O401" s="946"/>
      <c r="P401" s="947"/>
      <c r="Q401" s="947"/>
      <c r="R401" s="946"/>
      <c r="S401" s="947"/>
      <c r="T401" s="947"/>
      <c r="U401" s="946"/>
      <c r="V401" s="947"/>
      <c r="W401" s="947"/>
    </row>
    <row r="402" spans="1:23" ht="14.25" customHeight="1">
      <c r="A402" s="950"/>
      <c r="B402" s="979"/>
      <c r="C402" s="982"/>
      <c r="D402" s="953"/>
      <c r="E402" s="949"/>
      <c r="F402" s="949"/>
      <c r="G402" s="949"/>
      <c r="H402" s="488" t="s">
        <v>731</v>
      </c>
      <c r="I402" s="488" t="s">
        <v>731</v>
      </c>
      <c r="J402" s="946"/>
      <c r="K402" s="946"/>
      <c r="L402" s="947"/>
      <c r="M402" s="947"/>
      <c r="N402" s="946"/>
      <c r="O402" s="946"/>
      <c r="P402" s="947"/>
      <c r="Q402" s="947"/>
      <c r="R402" s="946"/>
      <c r="S402" s="947"/>
      <c r="T402" s="947"/>
      <c r="U402" s="946"/>
      <c r="V402" s="947"/>
      <c r="W402" s="947"/>
    </row>
    <row r="403" spans="1:23" ht="15" customHeight="1">
      <c r="A403" s="950">
        <v>13</v>
      </c>
      <c r="B403" s="951" t="s">
        <v>763</v>
      </c>
      <c r="C403" s="950">
        <v>102</v>
      </c>
      <c r="D403" s="953" t="s">
        <v>764</v>
      </c>
      <c r="E403" s="960" t="s">
        <v>664</v>
      </c>
      <c r="F403" s="960" t="s">
        <v>682</v>
      </c>
      <c r="G403" s="949" t="s">
        <v>730</v>
      </c>
      <c r="H403" s="488" t="s">
        <v>731</v>
      </c>
      <c r="I403" s="488" t="s">
        <v>731</v>
      </c>
      <c r="J403" s="946">
        <f>K403+N403</f>
        <v>45000</v>
      </c>
      <c r="K403" s="946">
        <f>L403+M403</f>
        <v>0</v>
      </c>
      <c r="L403" s="947">
        <v>0</v>
      </c>
      <c r="M403" s="947">
        <v>0</v>
      </c>
      <c r="N403" s="946">
        <f>O403+R403+U403</f>
        <v>45000</v>
      </c>
      <c r="O403" s="946">
        <f>P403+Q403</f>
        <v>45000</v>
      </c>
      <c r="P403" s="947">
        <v>45000</v>
      </c>
      <c r="Q403" s="947">
        <v>0</v>
      </c>
      <c r="R403" s="946">
        <f>S403+T403</f>
        <v>0</v>
      </c>
      <c r="S403" s="947">
        <v>0</v>
      </c>
      <c r="T403" s="947">
        <v>0</v>
      </c>
      <c r="U403" s="946">
        <f>V403+W403</f>
        <v>0</v>
      </c>
      <c r="V403" s="947">
        <v>0</v>
      </c>
      <c r="W403" s="947">
        <v>0</v>
      </c>
    </row>
    <row r="404" spans="1:23" ht="15" customHeight="1">
      <c r="A404" s="950"/>
      <c r="B404" s="951"/>
      <c r="C404" s="950"/>
      <c r="D404" s="953"/>
      <c r="E404" s="961"/>
      <c r="F404" s="961"/>
      <c r="G404" s="949"/>
      <c r="H404" s="488" t="s">
        <v>731</v>
      </c>
      <c r="I404" s="488" t="s">
        <v>731</v>
      </c>
      <c r="J404" s="946"/>
      <c r="K404" s="946"/>
      <c r="L404" s="947"/>
      <c r="M404" s="947"/>
      <c r="N404" s="946"/>
      <c r="O404" s="946"/>
      <c r="P404" s="947"/>
      <c r="Q404" s="947"/>
      <c r="R404" s="946"/>
      <c r="S404" s="947"/>
      <c r="T404" s="947"/>
      <c r="U404" s="946"/>
      <c r="V404" s="947"/>
      <c r="W404" s="947"/>
    </row>
    <row r="405" spans="1:23" ht="15" customHeight="1">
      <c r="A405" s="950"/>
      <c r="B405" s="951"/>
      <c r="C405" s="950"/>
      <c r="D405" s="953"/>
      <c r="E405" s="961"/>
      <c r="F405" s="961"/>
      <c r="G405" s="949"/>
      <c r="H405" s="488" t="s">
        <v>731</v>
      </c>
      <c r="I405" s="488" t="s">
        <v>731</v>
      </c>
      <c r="J405" s="946"/>
      <c r="K405" s="946"/>
      <c r="L405" s="947"/>
      <c r="M405" s="947"/>
      <c r="N405" s="946"/>
      <c r="O405" s="946"/>
      <c r="P405" s="947"/>
      <c r="Q405" s="947"/>
      <c r="R405" s="946"/>
      <c r="S405" s="947"/>
      <c r="T405" s="947"/>
      <c r="U405" s="946"/>
      <c r="V405" s="947"/>
      <c r="W405" s="947"/>
    </row>
    <row r="406" spans="1:23" ht="15" customHeight="1">
      <c r="A406" s="950"/>
      <c r="B406" s="951"/>
      <c r="C406" s="950"/>
      <c r="D406" s="953"/>
      <c r="E406" s="961"/>
      <c r="F406" s="961"/>
      <c r="G406" s="949"/>
      <c r="H406" s="488" t="s">
        <v>731</v>
      </c>
      <c r="I406" s="488" t="s">
        <v>731</v>
      </c>
      <c r="J406" s="946"/>
      <c r="K406" s="946"/>
      <c r="L406" s="947"/>
      <c r="M406" s="947"/>
      <c r="N406" s="946"/>
      <c r="O406" s="946"/>
      <c r="P406" s="947"/>
      <c r="Q406" s="947"/>
      <c r="R406" s="946"/>
      <c r="S406" s="947"/>
      <c r="T406" s="947"/>
      <c r="U406" s="946"/>
      <c r="V406" s="947"/>
      <c r="W406" s="947"/>
    </row>
    <row r="407" spans="1:23" ht="15" customHeight="1">
      <c r="A407" s="950"/>
      <c r="B407" s="951"/>
      <c r="C407" s="950"/>
      <c r="D407" s="953"/>
      <c r="E407" s="962"/>
      <c r="F407" s="962"/>
      <c r="G407" s="949"/>
      <c r="H407" s="488" t="s">
        <v>731</v>
      </c>
      <c r="I407" s="488" t="s">
        <v>731</v>
      </c>
      <c r="J407" s="946"/>
      <c r="K407" s="946"/>
      <c r="L407" s="947"/>
      <c r="M407" s="947"/>
      <c r="N407" s="946"/>
      <c r="O407" s="946"/>
      <c r="P407" s="947"/>
      <c r="Q407" s="947"/>
      <c r="R407" s="946"/>
      <c r="S407" s="947"/>
      <c r="T407" s="947"/>
      <c r="U407" s="946"/>
      <c r="V407" s="947"/>
      <c r="W407" s="947"/>
    </row>
    <row r="408" spans="1:23" ht="15" customHeight="1">
      <c r="A408" s="950">
        <v>14</v>
      </c>
      <c r="B408" s="951" t="s">
        <v>765</v>
      </c>
      <c r="C408" s="952" t="s">
        <v>766</v>
      </c>
      <c r="D408" s="953" t="s">
        <v>767</v>
      </c>
      <c r="E408" s="960" t="s">
        <v>664</v>
      </c>
      <c r="F408" s="960" t="s">
        <v>682</v>
      </c>
      <c r="G408" s="949" t="s">
        <v>730</v>
      </c>
      <c r="H408" s="488" t="s">
        <v>731</v>
      </c>
      <c r="I408" s="488" t="s">
        <v>731</v>
      </c>
      <c r="J408" s="946">
        <f>K408+N408</f>
        <v>70000</v>
      </c>
      <c r="K408" s="946">
        <f>L408+M408</f>
        <v>0</v>
      </c>
      <c r="L408" s="947">
        <v>0</v>
      </c>
      <c r="M408" s="947">
        <v>0</v>
      </c>
      <c r="N408" s="946">
        <f>O408+R408+U408</f>
        <v>70000</v>
      </c>
      <c r="O408" s="946">
        <f>P408+Q408</f>
        <v>70000</v>
      </c>
      <c r="P408" s="947">
        <v>70000</v>
      </c>
      <c r="Q408" s="947"/>
      <c r="R408" s="946">
        <f>S408+T408</f>
        <v>0</v>
      </c>
      <c r="S408" s="947">
        <v>0</v>
      </c>
      <c r="T408" s="947">
        <v>0</v>
      </c>
      <c r="U408" s="946">
        <f>V408+W408</f>
        <v>0</v>
      </c>
      <c r="V408" s="947">
        <v>0</v>
      </c>
      <c r="W408" s="947">
        <v>0</v>
      </c>
    </row>
    <row r="409" spans="1:23" ht="15" customHeight="1">
      <c r="A409" s="950"/>
      <c r="B409" s="951"/>
      <c r="C409" s="952"/>
      <c r="D409" s="953"/>
      <c r="E409" s="961"/>
      <c r="F409" s="961"/>
      <c r="G409" s="949"/>
      <c r="H409" s="488" t="s">
        <v>731</v>
      </c>
      <c r="I409" s="488" t="s">
        <v>731</v>
      </c>
      <c r="J409" s="946"/>
      <c r="K409" s="946"/>
      <c r="L409" s="947"/>
      <c r="M409" s="947"/>
      <c r="N409" s="946"/>
      <c r="O409" s="946"/>
      <c r="P409" s="947"/>
      <c r="Q409" s="947"/>
      <c r="R409" s="946"/>
      <c r="S409" s="947"/>
      <c r="T409" s="947"/>
      <c r="U409" s="946"/>
      <c r="V409" s="947"/>
      <c r="W409" s="947"/>
    </row>
    <row r="410" spans="1:23" ht="15" customHeight="1">
      <c r="A410" s="950"/>
      <c r="B410" s="951"/>
      <c r="C410" s="952"/>
      <c r="D410" s="953"/>
      <c r="E410" s="961"/>
      <c r="F410" s="961"/>
      <c r="G410" s="949"/>
      <c r="H410" s="488" t="s">
        <v>731</v>
      </c>
      <c r="I410" s="488" t="s">
        <v>731</v>
      </c>
      <c r="J410" s="946"/>
      <c r="K410" s="946"/>
      <c r="L410" s="947"/>
      <c r="M410" s="947"/>
      <c r="N410" s="946"/>
      <c r="O410" s="946"/>
      <c r="P410" s="947"/>
      <c r="Q410" s="947"/>
      <c r="R410" s="946"/>
      <c r="S410" s="947"/>
      <c r="T410" s="947"/>
      <c r="U410" s="946"/>
      <c r="V410" s="947"/>
      <c r="W410" s="947"/>
    </row>
    <row r="411" spans="1:23" ht="15" customHeight="1">
      <c r="A411" s="950"/>
      <c r="B411" s="951"/>
      <c r="C411" s="952"/>
      <c r="D411" s="953"/>
      <c r="E411" s="961"/>
      <c r="F411" s="961"/>
      <c r="G411" s="949"/>
      <c r="H411" s="488" t="s">
        <v>731</v>
      </c>
      <c r="I411" s="488" t="s">
        <v>731</v>
      </c>
      <c r="J411" s="946"/>
      <c r="K411" s="946"/>
      <c r="L411" s="947"/>
      <c r="M411" s="947"/>
      <c r="N411" s="946"/>
      <c r="O411" s="946"/>
      <c r="P411" s="947"/>
      <c r="Q411" s="947"/>
      <c r="R411" s="946"/>
      <c r="S411" s="947"/>
      <c r="T411" s="947"/>
      <c r="U411" s="946"/>
      <c r="V411" s="947"/>
      <c r="W411" s="947"/>
    </row>
    <row r="412" spans="1:23" ht="15" customHeight="1">
      <c r="A412" s="950"/>
      <c r="B412" s="951"/>
      <c r="C412" s="952"/>
      <c r="D412" s="953"/>
      <c r="E412" s="962"/>
      <c r="F412" s="962"/>
      <c r="G412" s="949"/>
      <c r="H412" s="488" t="s">
        <v>731</v>
      </c>
      <c r="I412" s="488" t="s">
        <v>731</v>
      </c>
      <c r="J412" s="946"/>
      <c r="K412" s="946"/>
      <c r="L412" s="947"/>
      <c r="M412" s="947"/>
      <c r="N412" s="946"/>
      <c r="O412" s="946"/>
      <c r="P412" s="947"/>
      <c r="Q412" s="947"/>
      <c r="R412" s="946"/>
      <c r="S412" s="947"/>
      <c r="T412" s="947"/>
      <c r="U412" s="946"/>
      <c r="V412" s="947"/>
      <c r="W412" s="947"/>
    </row>
    <row r="413" spans="1:23" ht="15.6" customHeight="1">
      <c r="A413" s="950">
        <v>15</v>
      </c>
      <c r="B413" s="951" t="s">
        <v>768</v>
      </c>
      <c r="C413" s="952" t="s">
        <v>769</v>
      </c>
      <c r="D413" s="953" t="s">
        <v>770</v>
      </c>
      <c r="E413" s="949" t="s">
        <v>771</v>
      </c>
      <c r="F413" s="960" t="s">
        <v>713</v>
      </c>
      <c r="G413" s="949" t="s">
        <v>730</v>
      </c>
      <c r="H413" s="488" t="s">
        <v>731</v>
      </c>
      <c r="I413" s="488" t="s">
        <v>731</v>
      </c>
      <c r="J413" s="946">
        <f>K413+N413</f>
        <v>400000</v>
      </c>
      <c r="K413" s="946">
        <f>L413+M413</f>
        <v>0</v>
      </c>
      <c r="L413" s="947">
        <v>0</v>
      </c>
      <c r="M413" s="947">
        <v>0</v>
      </c>
      <c r="N413" s="946">
        <f>O413+R413+U413</f>
        <v>400000</v>
      </c>
      <c r="O413" s="946">
        <f>P413+Q413</f>
        <v>400000</v>
      </c>
      <c r="P413" s="947">
        <v>400000</v>
      </c>
      <c r="Q413" s="947"/>
      <c r="R413" s="946">
        <f>S413+T413</f>
        <v>0</v>
      </c>
      <c r="S413" s="947">
        <v>0</v>
      </c>
      <c r="T413" s="947">
        <v>0</v>
      </c>
      <c r="U413" s="946">
        <f>V413+W413</f>
        <v>0</v>
      </c>
      <c r="V413" s="947">
        <v>0</v>
      </c>
      <c r="W413" s="947">
        <v>0</v>
      </c>
    </row>
    <row r="414" spans="1:23" ht="15.6" customHeight="1">
      <c r="A414" s="950"/>
      <c r="B414" s="951"/>
      <c r="C414" s="952"/>
      <c r="D414" s="953"/>
      <c r="E414" s="949"/>
      <c r="F414" s="961"/>
      <c r="G414" s="949"/>
      <c r="H414" s="488" t="s">
        <v>731</v>
      </c>
      <c r="I414" s="488" t="s">
        <v>731</v>
      </c>
      <c r="J414" s="946"/>
      <c r="K414" s="946"/>
      <c r="L414" s="947"/>
      <c r="M414" s="947"/>
      <c r="N414" s="946"/>
      <c r="O414" s="946"/>
      <c r="P414" s="947"/>
      <c r="Q414" s="947"/>
      <c r="R414" s="946"/>
      <c r="S414" s="947"/>
      <c r="T414" s="947"/>
      <c r="U414" s="946"/>
      <c r="V414" s="947"/>
      <c r="W414" s="947"/>
    </row>
    <row r="415" spans="1:23" ht="15.6" customHeight="1">
      <c r="A415" s="950"/>
      <c r="B415" s="951"/>
      <c r="C415" s="952"/>
      <c r="D415" s="953"/>
      <c r="E415" s="949"/>
      <c r="F415" s="961"/>
      <c r="G415" s="949"/>
      <c r="H415" s="488" t="s">
        <v>731</v>
      </c>
      <c r="I415" s="488" t="s">
        <v>731</v>
      </c>
      <c r="J415" s="946"/>
      <c r="K415" s="946"/>
      <c r="L415" s="947"/>
      <c r="M415" s="947"/>
      <c r="N415" s="946"/>
      <c r="O415" s="946"/>
      <c r="P415" s="947"/>
      <c r="Q415" s="947"/>
      <c r="R415" s="946"/>
      <c r="S415" s="947"/>
      <c r="T415" s="947"/>
      <c r="U415" s="946"/>
      <c r="V415" s="947"/>
      <c r="W415" s="947"/>
    </row>
    <row r="416" spans="1:23" ht="15.6" customHeight="1">
      <c r="A416" s="950"/>
      <c r="B416" s="951"/>
      <c r="C416" s="952"/>
      <c r="D416" s="953"/>
      <c r="E416" s="949"/>
      <c r="F416" s="961"/>
      <c r="G416" s="949"/>
      <c r="H416" s="488" t="s">
        <v>731</v>
      </c>
      <c r="I416" s="488" t="s">
        <v>731</v>
      </c>
      <c r="J416" s="946"/>
      <c r="K416" s="946"/>
      <c r="L416" s="947"/>
      <c r="M416" s="947"/>
      <c r="N416" s="946"/>
      <c r="O416" s="946"/>
      <c r="P416" s="947"/>
      <c r="Q416" s="947"/>
      <c r="R416" s="946"/>
      <c r="S416" s="947"/>
      <c r="T416" s="947"/>
      <c r="U416" s="946"/>
      <c r="V416" s="947"/>
      <c r="W416" s="947"/>
    </row>
    <row r="417" spans="1:23" ht="15.6" customHeight="1">
      <c r="A417" s="950"/>
      <c r="B417" s="951"/>
      <c r="C417" s="952"/>
      <c r="D417" s="953"/>
      <c r="E417" s="949"/>
      <c r="F417" s="962"/>
      <c r="G417" s="949"/>
      <c r="H417" s="488" t="s">
        <v>731</v>
      </c>
      <c r="I417" s="488" t="s">
        <v>731</v>
      </c>
      <c r="J417" s="946"/>
      <c r="K417" s="946"/>
      <c r="L417" s="947"/>
      <c r="M417" s="947"/>
      <c r="N417" s="946"/>
      <c r="O417" s="946"/>
      <c r="P417" s="947"/>
      <c r="Q417" s="947"/>
      <c r="R417" s="946"/>
      <c r="S417" s="947"/>
      <c r="T417" s="947"/>
      <c r="U417" s="946"/>
      <c r="V417" s="947"/>
      <c r="W417" s="947"/>
    </row>
    <row r="418" spans="1:23" ht="15.6" customHeight="1">
      <c r="A418" s="950">
        <v>16</v>
      </c>
      <c r="B418" s="951" t="s">
        <v>772</v>
      </c>
      <c r="C418" s="952" t="s">
        <v>773</v>
      </c>
      <c r="D418" s="953" t="s">
        <v>774</v>
      </c>
      <c r="E418" s="960" t="s">
        <v>664</v>
      </c>
      <c r="F418" s="960" t="s">
        <v>682</v>
      </c>
      <c r="G418" s="949" t="s">
        <v>730</v>
      </c>
      <c r="H418" s="488" t="s">
        <v>731</v>
      </c>
      <c r="I418" s="488" t="s">
        <v>731</v>
      </c>
      <c r="J418" s="946">
        <f>K418+N418</f>
        <v>525000</v>
      </c>
      <c r="K418" s="946">
        <f>L418+M418</f>
        <v>0</v>
      </c>
      <c r="L418" s="947">
        <v>0</v>
      </c>
      <c r="M418" s="947">
        <v>0</v>
      </c>
      <c r="N418" s="946">
        <f>O418+R418+U418</f>
        <v>525000</v>
      </c>
      <c r="O418" s="946">
        <f>P418+Q418</f>
        <v>525000</v>
      </c>
      <c r="P418" s="947">
        <v>525000</v>
      </c>
      <c r="Q418" s="947">
        <v>0</v>
      </c>
      <c r="R418" s="946">
        <f>S418+T418</f>
        <v>0</v>
      </c>
      <c r="S418" s="947">
        <v>0</v>
      </c>
      <c r="T418" s="947">
        <v>0</v>
      </c>
      <c r="U418" s="946">
        <f>V418+W418</f>
        <v>0</v>
      </c>
      <c r="V418" s="947">
        <v>0</v>
      </c>
      <c r="W418" s="947">
        <v>0</v>
      </c>
    </row>
    <row r="419" spans="1:23" ht="15.6" customHeight="1">
      <c r="A419" s="950"/>
      <c r="B419" s="951"/>
      <c r="C419" s="952"/>
      <c r="D419" s="953"/>
      <c r="E419" s="961"/>
      <c r="F419" s="961"/>
      <c r="G419" s="949"/>
      <c r="H419" s="488" t="s">
        <v>731</v>
      </c>
      <c r="I419" s="488" t="s">
        <v>731</v>
      </c>
      <c r="J419" s="946"/>
      <c r="K419" s="946"/>
      <c r="L419" s="947"/>
      <c r="M419" s="947"/>
      <c r="N419" s="946"/>
      <c r="O419" s="946"/>
      <c r="P419" s="947"/>
      <c r="Q419" s="947"/>
      <c r="R419" s="946"/>
      <c r="S419" s="947"/>
      <c r="T419" s="947"/>
      <c r="U419" s="946"/>
      <c r="V419" s="947"/>
      <c r="W419" s="947"/>
    </row>
    <row r="420" spans="1:23" ht="15.6" customHeight="1">
      <c r="A420" s="950"/>
      <c r="B420" s="951"/>
      <c r="C420" s="952"/>
      <c r="D420" s="953"/>
      <c r="E420" s="961"/>
      <c r="F420" s="961"/>
      <c r="G420" s="949"/>
      <c r="H420" s="488" t="s">
        <v>731</v>
      </c>
      <c r="I420" s="488" t="s">
        <v>731</v>
      </c>
      <c r="J420" s="946"/>
      <c r="K420" s="946"/>
      <c r="L420" s="947"/>
      <c r="M420" s="947"/>
      <c r="N420" s="946"/>
      <c r="O420" s="946"/>
      <c r="P420" s="947"/>
      <c r="Q420" s="947"/>
      <c r="R420" s="946"/>
      <c r="S420" s="947"/>
      <c r="T420" s="947"/>
      <c r="U420" s="946"/>
      <c r="V420" s="947"/>
      <c r="W420" s="947"/>
    </row>
    <row r="421" spans="1:23" ht="15.6" customHeight="1">
      <c r="A421" s="950"/>
      <c r="B421" s="951"/>
      <c r="C421" s="952"/>
      <c r="D421" s="953"/>
      <c r="E421" s="961"/>
      <c r="F421" s="961"/>
      <c r="G421" s="949"/>
      <c r="H421" s="488" t="s">
        <v>731</v>
      </c>
      <c r="I421" s="488" t="s">
        <v>731</v>
      </c>
      <c r="J421" s="946"/>
      <c r="K421" s="946"/>
      <c r="L421" s="947"/>
      <c r="M421" s="947"/>
      <c r="N421" s="946"/>
      <c r="O421" s="946"/>
      <c r="P421" s="947"/>
      <c r="Q421" s="947"/>
      <c r="R421" s="946"/>
      <c r="S421" s="947"/>
      <c r="T421" s="947"/>
      <c r="U421" s="946"/>
      <c r="V421" s="947"/>
      <c r="W421" s="947"/>
    </row>
    <row r="422" spans="1:23" ht="15.6" customHeight="1">
      <c r="A422" s="950"/>
      <c r="B422" s="951"/>
      <c r="C422" s="952"/>
      <c r="D422" s="953"/>
      <c r="E422" s="962"/>
      <c r="F422" s="962"/>
      <c r="G422" s="949"/>
      <c r="H422" s="488" t="s">
        <v>731</v>
      </c>
      <c r="I422" s="488" t="s">
        <v>731</v>
      </c>
      <c r="J422" s="946"/>
      <c r="K422" s="946"/>
      <c r="L422" s="947"/>
      <c r="M422" s="947"/>
      <c r="N422" s="946"/>
      <c r="O422" s="946"/>
      <c r="P422" s="947"/>
      <c r="Q422" s="947"/>
      <c r="R422" s="946"/>
      <c r="S422" s="947"/>
      <c r="T422" s="947"/>
      <c r="U422" s="946"/>
      <c r="V422" s="947"/>
      <c r="W422" s="947"/>
    </row>
    <row r="423" spans="1:23" ht="15.6" customHeight="1">
      <c r="A423" s="950">
        <v>17</v>
      </c>
      <c r="B423" s="951" t="s">
        <v>660</v>
      </c>
      <c r="C423" s="952" t="s">
        <v>661</v>
      </c>
      <c r="D423" s="953" t="s">
        <v>775</v>
      </c>
      <c r="E423" s="949" t="s">
        <v>771</v>
      </c>
      <c r="F423" s="949" t="s">
        <v>776</v>
      </c>
      <c r="G423" s="949" t="s">
        <v>730</v>
      </c>
      <c r="H423" s="488" t="s">
        <v>731</v>
      </c>
      <c r="I423" s="488" t="s">
        <v>731</v>
      </c>
      <c r="J423" s="946">
        <f>K423+N423</f>
        <v>364000</v>
      </c>
      <c r="K423" s="946">
        <f>L423+M423</f>
        <v>0</v>
      </c>
      <c r="L423" s="947">
        <v>0</v>
      </c>
      <c r="M423" s="947">
        <v>0</v>
      </c>
      <c r="N423" s="946">
        <f>O423+R423+U423</f>
        <v>364000</v>
      </c>
      <c r="O423" s="946">
        <f>P423+Q423</f>
        <v>364000</v>
      </c>
      <c r="P423" s="947">
        <v>364000</v>
      </c>
      <c r="Q423" s="947">
        <v>0</v>
      </c>
      <c r="R423" s="946">
        <f>S423+T423</f>
        <v>0</v>
      </c>
      <c r="S423" s="947">
        <v>0</v>
      </c>
      <c r="T423" s="947">
        <v>0</v>
      </c>
      <c r="U423" s="946">
        <f>V423+W423</f>
        <v>0</v>
      </c>
      <c r="V423" s="947">
        <v>0</v>
      </c>
      <c r="W423" s="947">
        <v>0</v>
      </c>
    </row>
    <row r="424" spans="1:23" ht="15.6" customHeight="1">
      <c r="A424" s="950"/>
      <c r="B424" s="951"/>
      <c r="C424" s="952"/>
      <c r="D424" s="953"/>
      <c r="E424" s="949"/>
      <c r="F424" s="949"/>
      <c r="G424" s="949"/>
      <c r="H424" s="488" t="s">
        <v>731</v>
      </c>
      <c r="I424" s="488" t="s">
        <v>731</v>
      </c>
      <c r="J424" s="946"/>
      <c r="K424" s="946"/>
      <c r="L424" s="947"/>
      <c r="M424" s="947"/>
      <c r="N424" s="946"/>
      <c r="O424" s="946"/>
      <c r="P424" s="947"/>
      <c r="Q424" s="947"/>
      <c r="R424" s="946"/>
      <c r="S424" s="947"/>
      <c r="T424" s="947"/>
      <c r="U424" s="946"/>
      <c r="V424" s="947"/>
      <c r="W424" s="947"/>
    </row>
    <row r="425" spans="1:23" ht="15.6" customHeight="1">
      <c r="A425" s="950"/>
      <c r="B425" s="951"/>
      <c r="C425" s="952"/>
      <c r="D425" s="953"/>
      <c r="E425" s="949"/>
      <c r="F425" s="949"/>
      <c r="G425" s="949"/>
      <c r="H425" s="488" t="s">
        <v>731</v>
      </c>
      <c r="I425" s="488" t="s">
        <v>731</v>
      </c>
      <c r="J425" s="946"/>
      <c r="K425" s="946"/>
      <c r="L425" s="947"/>
      <c r="M425" s="947"/>
      <c r="N425" s="946"/>
      <c r="O425" s="946"/>
      <c r="P425" s="947"/>
      <c r="Q425" s="947"/>
      <c r="R425" s="946"/>
      <c r="S425" s="947"/>
      <c r="T425" s="947"/>
      <c r="U425" s="946"/>
      <c r="V425" s="947"/>
      <c r="W425" s="947"/>
    </row>
    <row r="426" spans="1:23" ht="15.6" customHeight="1">
      <c r="A426" s="950"/>
      <c r="B426" s="951"/>
      <c r="C426" s="952"/>
      <c r="D426" s="953"/>
      <c r="E426" s="949"/>
      <c r="F426" s="949"/>
      <c r="G426" s="949"/>
      <c r="H426" s="488" t="s">
        <v>731</v>
      </c>
      <c r="I426" s="488" t="s">
        <v>731</v>
      </c>
      <c r="J426" s="946"/>
      <c r="K426" s="946"/>
      <c r="L426" s="947"/>
      <c r="M426" s="947"/>
      <c r="N426" s="946"/>
      <c r="O426" s="946"/>
      <c r="P426" s="947"/>
      <c r="Q426" s="947"/>
      <c r="R426" s="946"/>
      <c r="S426" s="947"/>
      <c r="T426" s="947"/>
      <c r="U426" s="946"/>
      <c r="V426" s="947"/>
      <c r="W426" s="947"/>
    </row>
    <row r="427" spans="1:23" ht="15.6" customHeight="1">
      <c r="A427" s="950"/>
      <c r="B427" s="951"/>
      <c r="C427" s="952"/>
      <c r="D427" s="953"/>
      <c r="E427" s="949"/>
      <c r="F427" s="949"/>
      <c r="G427" s="949"/>
      <c r="H427" s="488" t="s">
        <v>731</v>
      </c>
      <c r="I427" s="488" t="s">
        <v>731</v>
      </c>
      <c r="J427" s="946"/>
      <c r="K427" s="946"/>
      <c r="L427" s="947"/>
      <c r="M427" s="947"/>
      <c r="N427" s="946"/>
      <c r="O427" s="946"/>
      <c r="P427" s="947"/>
      <c r="Q427" s="947"/>
      <c r="R427" s="946"/>
      <c r="S427" s="947"/>
      <c r="T427" s="947"/>
      <c r="U427" s="946"/>
      <c r="V427" s="947"/>
      <c r="W427" s="947"/>
    </row>
    <row r="428" spans="1:23" ht="15.6" customHeight="1">
      <c r="A428" s="950">
        <v>18</v>
      </c>
      <c r="B428" s="951" t="s">
        <v>777</v>
      </c>
      <c r="C428" s="952" t="s">
        <v>661</v>
      </c>
      <c r="D428" s="953" t="s">
        <v>778</v>
      </c>
      <c r="E428" s="949" t="s">
        <v>771</v>
      </c>
      <c r="F428" s="949" t="s">
        <v>779</v>
      </c>
      <c r="G428" s="949" t="s">
        <v>730</v>
      </c>
      <c r="H428" s="488" t="s">
        <v>731</v>
      </c>
      <c r="I428" s="488" t="s">
        <v>731</v>
      </c>
      <c r="J428" s="946">
        <f>K428+N428</f>
        <v>1050000</v>
      </c>
      <c r="K428" s="946">
        <f>L428+M428</f>
        <v>0</v>
      </c>
      <c r="L428" s="947">
        <v>0</v>
      </c>
      <c r="M428" s="947">
        <v>0</v>
      </c>
      <c r="N428" s="946">
        <f>O428+R428+U428</f>
        <v>1050000</v>
      </c>
      <c r="O428" s="946">
        <f>P428+Q428</f>
        <v>1050000</v>
      </c>
      <c r="P428" s="947">
        <v>1050000</v>
      </c>
      <c r="Q428" s="947">
        <v>0</v>
      </c>
      <c r="R428" s="946">
        <f>S428+T428</f>
        <v>0</v>
      </c>
      <c r="S428" s="947">
        <v>0</v>
      </c>
      <c r="T428" s="947">
        <v>0</v>
      </c>
      <c r="U428" s="946">
        <f>V428+W428</f>
        <v>0</v>
      </c>
      <c r="V428" s="947">
        <v>0</v>
      </c>
      <c r="W428" s="947">
        <v>0</v>
      </c>
    </row>
    <row r="429" spans="1:23" ht="15.6" customHeight="1">
      <c r="A429" s="950"/>
      <c r="B429" s="951"/>
      <c r="C429" s="952"/>
      <c r="D429" s="953"/>
      <c r="E429" s="949"/>
      <c r="F429" s="949"/>
      <c r="G429" s="949"/>
      <c r="H429" s="488" t="s">
        <v>731</v>
      </c>
      <c r="I429" s="488" t="s">
        <v>731</v>
      </c>
      <c r="J429" s="946"/>
      <c r="K429" s="946"/>
      <c r="L429" s="947"/>
      <c r="M429" s="947"/>
      <c r="N429" s="946"/>
      <c r="O429" s="946"/>
      <c r="P429" s="947"/>
      <c r="Q429" s="947"/>
      <c r="R429" s="946"/>
      <c r="S429" s="947"/>
      <c r="T429" s="947"/>
      <c r="U429" s="946"/>
      <c r="V429" s="947"/>
      <c r="W429" s="947"/>
    </row>
    <row r="430" spans="1:23" ht="15.6" customHeight="1">
      <c r="A430" s="950"/>
      <c r="B430" s="951"/>
      <c r="C430" s="952"/>
      <c r="D430" s="953"/>
      <c r="E430" s="949"/>
      <c r="F430" s="949"/>
      <c r="G430" s="949"/>
      <c r="H430" s="488" t="s">
        <v>731</v>
      </c>
      <c r="I430" s="488" t="s">
        <v>731</v>
      </c>
      <c r="J430" s="946"/>
      <c r="K430" s="946"/>
      <c r="L430" s="947"/>
      <c r="M430" s="947"/>
      <c r="N430" s="946"/>
      <c r="O430" s="946"/>
      <c r="P430" s="947"/>
      <c r="Q430" s="947"/>
      <c r="R430" s="946"/>
      <c r="S430" s="947"/>
      <c r="T430" s="947"/>
      <c r="U430" s="946"/>
      <c r="V430" s="947"/>
      <c r="W430" s="947"/>
    </row>
    <row r="431" spans="1:23" ht="15.6" customHeight="1">
      <c r="A431" s="950"/>
      <c r="B431" s="951"/>
      <c r="C431" s="952"/>
      <c r="D431" s="953"/>
      <c r="E431" s="949"/>
      <c r="F431" s="949"/>
      <c r="G431" s="949"/>
      <c r="H431" s="488" t="s">
        <v>731</v>
      </c>
      <c r="I431" s="488" t="s">
        <v>731</v>
      </c>
      <c r="J431" s="946"/>
      <c r="K431" s="946"/>
      <c r="L431" s="947"/>
      <c r="M431" s="947"/>
      <c r="N431" s="946"/>
      <c r="O431" s="946"/>
      <c r="P431" s="947"/>
      <c r="Q431" s="947"/>
      <c r="R431" s="946"/>
      <c r="S431" s="947"/>
      <c r="T431" s="947"/>
      <c r="U431" s="946"/>
      <c r="V431" s="947"/>
      <c r="W431" s="947"/>
    </row>
    <row r="432" spans="1:23" ht="15.6" customHeight="1">
      <c r="A432" s="950"/>
      <c r="B432" s="951"/>
      <c r="C432" s="952"/>
      <c r="D432" s="953"/>
      <c r="E432" s="949"/>
      <c r="F432" s="949"/>
      <c r="G432" s="949"/>
      <c r="H432" s="488" t="s">
        <v>731</v>
      </c>
      <c r="I432" s="488" t="s">
        <v>731</v>
      </c>
      <c r="J432" s="946"/>
      <c r="K432" s="946"/>
      <c r="L432" s="947"/>
      <c r="M432" s="947"/>
      <c r="N432" s="946"/>
      <c r="O432" s="946"/>
      <c r="P432" s="947"/>
      <c r="Q432" s="947"/>
      <c r="R432" s="946"/>
      <c r="S432" s="947"/>
      <c r="T432" s="947"/>
      <c r="U432" s="946"/>
      <c r="V432" s="947"/>
      <c r="W432" s="947"/>
    </row>
    <row r="433" spans="1:23" ht="15.6" customHeight="1">
      <c r="A433" s="950">
        <v>19</v>
      </c>
      <c r="B433" s="951" t="s">
        <v>513</v>
      </c>
      <c r="C433" s="952" t="s">
        <v>672</v>
      </c>
      <c r="D433" s="953" t="s">
        <v>780</v>
      </c>
      <c r="E433" s="949" t="s">
        <v>771</v>
      </c>
      <c r="F433" s="949" t="s">
        <v>781</v>
      </c>
      <c r="G433" s="949" t="s">
        <v>730</v>
      </c>
      <c r="H433" s="488" t="s">
        <v>731</v>
      </c>
      <c r="I433" s="488" t="s">
        <v>731</v>
      </c>
      <c r="J433" s="946">
        <f>K433+N433</f>
        <v>80000</v>
      </c>
      <c r="K433" s="946">
        <f>L433+M433</f>
        <v>0</v>
      </c>
      <c r="L433" s="947">
        <v>0</v>
      </c>
      <c r="M433" s="947">
        <v>0</v>
      </c>
      <c r="N433" s="946">
        <f>O433+R433+U433</f>
        <v>80000</v>
      </c>
      <c r="O433" s="946">
        <f>P433+Q433</f>
        <v>80000</v>
      </c>
      <c r="P433" s="947">
        <v>80000</v>
      </c>
      <c r="Q433" s="947">
        <v>0</v>
      </c>
      <c r="R433" s="946">
        <f>S433+T433</f>
        <v>0</v>
      </c>
      <c r="S433" s="947">
        <v>0</v>
      </c>
      <c r="T433" s="947">
        <v>0</v>
      </c>
      <c r="U433" s="946">
        <f>V433+W433</f>
        <v>0</v>
      </c>
      <c r="V433" s="947">
        <v>0</v>
      </c>
      <c r="W433" s="947">
        <v>0</v>
      </c>
    </row>
    <row r="434" spans="1:23" ht="15.6" customHeight="1">
      <c r="A434" s="950"/>
      <c r="B434" s="951"/>
      <c r="C434" s="952"/>
      <c r="D434" s="953"/>
      <c r="E434" s="949"/>
      <c r="F434" s="949"/>
      <c r="G434" s="949"/>
      <c r="H434" s="488" t="s">
        <v>731</v>
      </c>
      <c r="I434" s="488" t="s">
        <v>731</v>
      </c>
      <c r="J434" s="946"/>
      <c r="K434" s="946"/>
      <c r="L434" s="947"/>
      <c r="M434" s="947"/>
      <c r="N434" s="946"/>
      <c r="O434" s="946"/>
      <c r="P434" s="947"/>
      <c r="Q434" s="947"/>
      <c r="R434" s="946"/>
      <c r="S434" s="947"/>
      <c r="T434" s="947"/>
      <c r="U434" s="946"/>
      <c r="V434" s="947"/>
      <c r="W434" s="947"/>
    </row>
    <row r="435" spans="1:23" ht="15.6" customHeight="1">
      <c r="A435" s="950"/>
      <c r="B435" s="951"/>
      <c r="C435" s="952"/>
      <c r="D435" s="953"/>
      <c r="E435" s="949"/>
      <c r="F435" s="949"/>
      <c r="G435" s="949"/>
      <c r="H435" s="488" t="s">
        <v>731</v>
      </c>
      <c r="I435" s="488" t="s">
        <v>731</v>
      </c>
      <c r="J435" s="946"/>
      <c r="K435" s="946"/>
      <c r="L435" s="947"/>
      <c r="M435" s="947"/>
      <c r="N435" s="946"/>
      <c r="O435" s="946"/>
      <c r="P435" s="947"/>
      <c r="Q435" s="947"/>
      <c r="R435" s="946"/>
      <c r="S435" s="947"/>
      <c r="T435" s="947"/>
      <c r="U435" s="946"/>
      <c r="V435" s="947"/>
      <c r="W435" s="947"/>
    </row>
    <row r="436" spans="1:23" ht="15.6" customHeight="1">
      <c r="A436" s="950"/>
      <c r="B436" s="951"/>
      <c r="C436" s="952"/>
      <c r="D436" s="953"/>
      <c r="E436" s="949"/>
      <c r="F436" s="949"/>
      <c r="G436" s="949"/>
      <c r="H436" s="488" t="s">
        <v>731</v>
      </c>
      <c r="I436" s="488" t="s">
        <v>731</v>
      </c>
      <c r="J436" s="946"/>
      <c r="K436" s="946"/>
      <c r="L436" s="947"/>
      <c r="M436" s="947"/>
      <c r="N436" s="946"/>
      <c r="O436" s="946"/>
      <c r="P436" s="947"/>
      <c r="Q436" s="947"/>
      <c r="R436" s="946"/>
      <c r="S436" s="947"/>
      <c r="T436" s="947"/>
      <c r="U436" s="946"/>
      <c r="V436" s="947"/>
      <c r="W436" s="947"/>
    </row>
    <row r="437" spans="1:23" ht="15.6" customHeight="1">
      <c r="A437" s="950"/>
      <c r="B437" s="951"/>
      <c r="C437" s="952"/>
      <c r="D437" s="953"/>
      <c r="E437" s="949"/>
      <c r="F437" s="949"/>
      <c r="G437" s="949"/>
      <c r="H437" s="488" t="s">
        <v>731</v>
      </c>
      <c r="I437" s="488" t="s">
        <v>731</v>
      </c>
      <c r="J437" s="946"/>
      <c r="K437" s="946"/>
      <c r="L437" s="947"/>
      <c r="M437" s="947"/>
      <c r="N437" s="946"/>
      <c r="O437" s="946"/>
      <c r="P437" s="947"/>
      <c r="Q437" s="947"/>
      <c r="R437" s="946"/>
      <c r="S437" s="947"/>
      <c r="T437" s="947"/>
      <c r="U437" s="946"/>
      <c r="V437" s="947"/>
      <c r="W437" s="947"/>
    </row>
    <row r="438" spans="1:23" ht="15.2" customHeight="1">
      <c r="A438" s="950">
        <v>20</v>
      </c>
      <c r="B438" s="975" t="s">
        <v>782</v>
      </c>
      <c r="C438" s="976" t="s">
        <v>667</v>
      </c>
      <c r="D438" s="977" t="s">
        <v>783</v>
      </c>
      <c r="E438" s="978" t="s">
        <v>771</v>
      </c>
      <c r="F438" s="949" t="s">
        <v>784</v>
      </c>
      <c r="G438" s="949" t="s">
        <v>730</v>
      </c>
      <c r="H438" s="488" t="s">
        <v>731</v>
      </c>
      <c r="I438" s="488" t="s">
        <v>731</v>
      </c>
      <c r="J438" s="946">
        <f>K438+N438</f>
        <v>895000</v>
      </c>
      <c r="K438" s="946">
        <f>L438+M438</f>
        <v>0</v>
      </c>
      <c r="L438" s="947">
        <v>0</v>
      </c>
      <c r="M438" s="947">
        <v>0</v>
      </c>
      <c r="N438" s="946">
        <f>O438+R438+U438</f>
        <v>895000</v>
      </c>
      <c r="O438" s="946">
        <f>P438+Q438</f>
        <v>895000</v>
      </c>
      <c r="P438" s="947">
        <v>875000</v>
      </c>
      <c r="Q438" s="947">
        <v>20000</v>
      </c>
      <c r="R438" s="946">
        <f>S438+T438</f>
        <v>0</v>
      </c>
      <c r="S438" s="947">
        <v>0</v>
      </c>
      <c r="T438" s="947">
        <v>0</v>
      </c>
      <c r="U438" s="946">
        <f>V438+W438</f>
        <v>0</v>
      </c>
      <c r="V438" s="947">
        <v>0</v>
      </c>
      <c r="W438" s="947">
        <v>0</v>
      </c>
    </row>
    <row r="439" spans="1:23" ht="15.2" customHeight="1">
      <c r="A439" s="950"/>
      <c r="B439" s="975"/>
      <c r="C439" s="976"/>
      <c r="D439" s="977"/>
      <c r="E439" s="978"/>
      <c r="F439" s="949"/>
      <c r="G439" s="949"/>
      <c r="H439" s="488" t="s">
        <v>731</v>
      </c>
      <c r="I439" s="488" t="s">
        <v>731</v>
      </c>
      <c r="J439" s="946"/>
      <c r="K439" s="946"/>
      <c r="L439" s="947"/>
      <c r="M439" s="947"/>
      <c r="N439" s="946"/>
      <c r="O439" s="946"/>
      <c r="P439" s="947"/>
      <c r="Q439" s="947"/>
      <c r="R439" s="946"/>
      <c r="S439" s="947"/>
      <c r="T439" s="947"/>
      <c r="U439" s="946"/>
      <c r="V439" s="947"/>
      <c r="W439" s="947"/>
    </row>
    <row r="440" spans="1:23" ht="15.2" customHeight="1">
      <c r="A440" s="950"/>
      <c r="B440" s="975"/>
      <c r="C440" s="976"/>
      <c r="D440" s="977"/>
      <c r="E440" s="978"/>
      <c r="F440" s="949"/>
      <c r="G440" s="949"/>
      <c r="H440" s="488" t="s">
        <v>731</v>
      </c>
      <c r="I440" s="488" t="s">
        <v>731</v>
      </c>
      <c r="J440" s="946"/>
      <c r="K440" s="946"/>
      <c r="L440" s="947"/>
      <c r="M440" s="947"/>
      <c r="N440" s="946"/>
      <c r="O440" s="946"/>
      <c r="P440" s="947"/>
      <c r="Q440" s="947"/>
      <c r="R440" s="946"/>
      <c r="S440" s="947"/>
      <c r="T440" s="947"/>
      <c r="U440" s="946"/>
      <c r="V440" s="947"/>
      <c r="W440" s="947"/>
    </row>
    <row r="441" spans="1:23" ht="15.2" customHeight="1">
      <c r="A441" s="950"/>
      <c r="B441" s="975"/>
      <c r="C441" s="976"/>
      <c r="D441" s="977"/>
      <c r="E441" s="978"/>
      <c r="F441" s="949"/>
      <c r="G441" s="949"/>
      <c r="H441" s="488" t="s">
        <v>731</v>
      </c>
      <c r="I441" s="488" t="s">
        <v>731</v>
      </c>
      <c r="J441" s="946"/>
      <c r="K441" s="946"/>
      <c r="L441" s="947"/>
      <c r="M441" s="947"/>
      <c r="N441" s="946"/>
      <c r="O441" s="946"/>
      <c r="P441" s="947"/>
      <c r="Q441" s="947"/>
      <c r="R441" s="946"/>
      <c r="S441" s="947"/>
      <c r="T441" s="947"/>
      <c r="U441" s="946"/>
      <c r="V441" s="947"/>
      <c r="W441" s="947"/>
    </row>
    <row r="442" spans="1:23" ht="15.2" customHeight="1">
      <c r="A442" s="950"/>
      <c r="B442" s="975"/>
      <c r="C442" s="976"/>
      <c r="D442" s="977"/>
      <c r="E442" s="978"/>
      <c r="F442" s="949"/>
      <c r="G442" s="949"/>
      <c r="H442" s="488" t="s">
        <v>731</v>
      </c>
      <c r="I442" s="488" t="s">
        <v>731</v>
      </c>
      <c r="J442" s="946"/>
      <c r="K442" s="946"/>
      <c r="L442" s="947"/>
      <c r="M442" s="947"/>
      <c r="N442" s="946"/>
      <c r="O442" s="946"/>
      <c r="P442" s="947"/>
      <c r="Q442" s="947"/>
      <c r="R442" s="946"/>
      <c r="S442" s="947"/>
      <c r="T442" s="947"/>
      <c r="U442" s="946"/>
      <c r="V442" s="947"/>
      <c r="W442" s="947"/>
    </row>
    <row r="443" spans="1:23" ht="14.25" customHeight="1">
      <c r="A443" s="963">
        <v>21</v>
      </c>
      <c r="B443" s="966" t="s">
        <v>671</v>
      </c>
      <c r="C443" s="969" t="s">
        <v>672</v>
      </c>
      <c r="D443" s="972" t="s">
        <v>785</v>
      </c>
      <c r="E443" s="960" t="s">
        <v>771</v>
      </c>
      <c r="F443" s="960" t="s">
        <v>776</v>
      </c>
      <c r="G443" s="960" t="s">
        <v>730</v>
      </c>
      <c r="H443" s="488" t="s">
        <v>731</v>
      </c>
      <c r="I443" s="488" t="s">
        <v>731</v>
      </c>
      <c r="J443" s="954">
        <f>K443+N443</f>
        <v>400000</v>
      </c>
      <c r="K443" s="954">
        <f>L443+M443</f>
        <v>0</v>
      </c>
      <c r="L443" s="957">
        <v>0</v>
      </c>
      <c r="M443" s="957">
        <v>0</v>
      </c>
      <c r="N443" s="954">
        <f>O443+R443+U443</f>
        <v>400000</v>
      </c>
      <c r="O443" s="954">
        <f>P443+Q443</f>
        <v>400000</v>
      </c>
      <c r="P443" s="957">
        <v>400000</v>
      </c>
      <c r="Q443" s="957">
        <v>0</v>
      </c>
      <c r="R443" s="954">
        <f>S443+T443</f>
        <v>0</v>
      </c>
      <c r="S443" s="957">
        <v>0</v>
      </c>
      <c r="T443" s="957">
        <v>0</v>
      </c>
      <c r="U443" s="954">
        <f>V443+W443</f>
        <v>0</v>
      </c>
      <c r="V443" s="957">
        <v>0</v>
      </c>
      <c r="W443" s="957">
        <v>0</v>
      </c>
    </row>
    <row r="444" spans="1:23" ht="14.25" customHeight="1">
      <c r="A444" s="964"/>
      <c r="B444" s="967"/>
      <c r="C444" s="970"/>
      <c r="D444" s="973"/>
      <c r="E444" s="961"/>
      <c r="F444" s="961"/>
      <c r="G444" s="961"/>
      <c r="H444" s="488" t="s">
        <v>731</v>
      </c>
      <c r="I444" s="488" t="s">
        <v>731</v>
      </c>
      <c r="J444" s="955"/>
      <c r="K444" s="955"/>
      <c r="L444" s="958"/>
      <c r="M444" s="958"/>
      <c r="N444" s="955"/>
      <c r="O444" s="955"/>
      <c r="P444" s="958"/>
      <c r="Q444" s="958"/>
      <c r="R444" s="955"/>
      <c r="S444" s="958"/>
      <c r="T444" s="958"/>
      <c r="U444" s="955"/>
      <c r="V444" s="958"/>
      <c r="W444" s="958"/>
    </row>
    <row r="445" spans="1:23" ht="14.25" customHeight="1">
      <c r="A445" s="964"/>
      <c r="B445" s="967"/>
      <c r="C445" s="970"/>
      <c r="D445" s="973"/>
      <c r="E445" s="961"/>
      <c r="F445" s="961"/>
      <c r="G445" s="961"/>
      <c r="H445" s="488" t="s">
        <v>731</v>
      </c>
      <c r="I445" s="488" t="s">
        <v>731</v>
      </c>
      <c r="J445" s="955"/>
      <c r="K445" s="955"/>
      <c r="L445" s="958"/>
      <c r="M445" s="958"/>
      <c r="N445" s="955"/>
      <c r="O445" s="955"/>
      <c r="P445" s="958"/>
      <c r="Q445" s="958"/>
      <c r="R445" s="955"/>
      <c r="S445" s="958"/>
      <c r="T445" s="958"/>
      <c r="U445" s="955"/>
      <c r="V445" s="958"/>
      <c r="W445" s="958"/>
    </row>
    <row r="446" spans="1:23" ht="14.25" customHeight="1">
      <c r="A446" s="964"/>
      <c r="B446" s="967"/>
      <c r="C446" s="970"/>
      <c r="D446" s="973"/>
      <c r="E446" s="961"/>
      <c r="F446" s="961"/>
      <c r="G446" s="961"/>
      <c r="H446" s="488" t="s">
        <v>731</v>
      </c>
      <c r="I446" s="488" t="s">
        <v>731</v>
      </c>
      <c r="J446" s="955"/>
      <c r="K446" s="955"/>
      <c r="L446" s="958"/>
      <c r="M446" s="958"/>
      <c r="N446" s="955"/>
      <c r="O446" s="955"/>
      <c r="P446" s="958"/>
      <c r="Q446" s="958"/>
      <c r="R446" s="955"/>
      <c r="S446" s="958"/>
      <c r="T446" s="958"/>
      <c r="U446" s="955"/>
      <c r="V446" s="958"/>
      <c r="W446" s="958"/>
    </row>
    <row r="447" spans="1:23" ht="14.25" customHeight="1">
      <c r="A447" s="965"/>
      <c r="B447" s="968"/>
      <c r="C447" s="971"/>
      <c r="D447" s="974"/>
      <c r="E447" s="962"/>
      <c r="F447" s="962"/>
      <c r="G447" s="962"/>
      <c r="H447" s="488" t="s">
        <v>731</v>
      </c>
      <c r="I447" s="488" t="s">
        <v>731</v>
      </c>
      <c r="J447" s="956"/>
      <c r="K447" s="956"/>
      <c r="L447" s="959"/>
      <c r="M447" s="959"/>
      <c r="N447" s="956"/>
      <c r="O447" s="956"/>
      <c r="P447" s="959"/>
      <c r="Q447" s="959"/>
      <c r="R447" s="956"/>
      <c r="S447" s="959"/>
      <c r="T447" s="959"/>
      <c r="U447" s="956"/>
      <c r="V447" s="959"/>
      <c r="W447" s="959"/>
    </row>
    <row r="448" spans="1:23" ht="14.25" customHeight="1">
      <c r="A448" s="950">
        <v>22</v>
      </c>
      <c r="B448" s="951" t="s">
        <v>676</v>
      </c>
      <c r="C448" s="952" t="s">
        <v>672</v>
      </c>
      <c r="D448" s="953" t="s">
        <v>786</v>
      </c>
      <c r="E448" s="949" t="s">
        <v>771</v>
      </c>
      <c r="F448" s="949" t="s">
        <v>784</v>
      </c>
      <c r="G448" s="949" t="s">
        <v>730</v>
      </c>
      <c r="H448" s="488" t="s">
        <v>731</v>
      </c>
      <c r="I448" s="488" t="s">
        <v>731</v>
      </c>
      <c r="J448" s="946">
        <f>K448+N448</f>
        <v>3590461</v>
      </c>
      <c r="K448" s="946">
        <f>L448+M448</f>
        <v>0</v>
      </c>
      <c r="L448" s="947">
        <v>0</v>
      </c>
      <c r="M448" s="947">
        <v>0</v>
      </c>
      <c r="N448" s="946">
        <f>O448+R448+U448</f>
        <v>3590461</v>
      </c>
      <c r="O448" s="946">
        <f>P448+Q448</f>
        <v>3590461</v>
      </c>
      <c r="P448" s="947">
        <v>3473952</v>
      </c>
      <c r="Q448" s="947">
        <v>116509</v>
      </c>
      <c r="R448" s="946">
        <f>S448+T448</f>
        <v>0</v>
      </c>
      <c r="S448" s="947">
        <v>0</v>
      </c>
      <c r="T448" s="947">
        <v>0</v>
      </c>
      <c r="U448" s="946">
        <f>V448+W448</f>
        <v>0</v>
      </c>
      <c r="V448" s="947">
        <v>0</v>
      </c>
      <c r="W448" s="947">
        <v>0</v>
      </c>
    </row>
    <row r="449" spans="1:23" ht="14.25" customHeight="1">
      <c r="A449" s="950"/>
      <c r="B449" s="951"/>
      <c r="C449" s="952"/>
      <c r="D449" s="953"/>
      <c r="E449" s="949"/>
      <c r="F449" s="949"/>
      <c r="G449" s="949"/>
      <c r="H449" s="488" t="s">
        <v>731</v>
      </c>
      <c r="I449" s="488" t="s">
        <v>731</v>
      </c>
      <c r="J449" s="946"/>
      <c r="K449" s="946"/>
      <c r="L449" s="947"/>
      <c r="M449" s="947"/>
      <c r="N449" s="946"/>
      <c r="O449" s="946"/>
      <c r="P449" s="947"/>
      <c r="Q449" s="947"/>
      <c r="R449" s="946"/>
      <c r="S449" s="947"/>
      <c r="T449" s="947"/>
      <c r="U449" s="946"/>
      <c r="V449" s="947"/>
      <c r="W449" s="947"/>
    </row>
    <row r="450" spans="1:23" ht="14.25" customHeight="1">
      <c r="A450" s="950"/>
      <c r="B450" s="951"/>
      <c r="C450" s="952"/>
      <c r="D450" s="953"/>
      <c r="E450" s="949"/>
      <c r="F450" s="949"/>
      <c r="G450" s="949"/>
      <c r="H450" s="488" t="s">
        <v>731</v>
      </c>
      <c r="I450" s="488" t="s">
        <v>731</v>
      </c>
      <c r="J450" s="946"/>
      <c r="K450" s="946"/>
      <c r="L450" s="947"/>
      <c r="M450" s="947"/>
      <c r="N450" s="946"/>
      <c r="O450" s="946"/>
      <c r="P450" s="947"/>
      <c r="Q450" s="947"/>
      <c r="R450" s="946"/>
      <c r="S450" s="947"/>
      <c r="T450" s="947"/>
      <c r="U450" s="946"/>
      <c r="V450" s="947"/>
      <c r="W450" s="947"/>
    </row>
    <row r="451" spans="1:23" ht="14.25" customHeight="1">
      <c r="A451" s="950"/>
      <c r="B451" s="951"/>
      <c r="C451" s="952"/>
      <c r="D451" s="953"/>
      <c r="E451" s="949"/>
      <c r="F451" s="949"/>
      <c r="G451" s="949"/>
      <c r="H451" s="488" t="s">
        <v>731</v>
      </c>
      <c r="I451" s="488" t="s">
        <v>731</v>
      </c>
      <c r="J451" s="946"/>
      <c r="K451" s="946"/>
      <c r="L451" s="947"/>
      <c r="M451" s="947"/>
      <c r="N451" s="946"/>
      <c r="O451" s="946"/>
      <c r="P451" s="947"/>
      <c r="Q451" s="947"/>
      <c r="R451" s="946"/>
      <c r="S451" s="947"/>
      <c r="T451" s="947"/>
      <c r="U451" s="946"/>
      <c r="V451" s="947"/>
      <c r="W451" s="947"/>
    </row>
    <row r="452" spans="1:23" ht="14.25" customHeight="1">
      <c r="A452" s="950"/>
      <c r="B452" s="951"/>
      <c r="C452" s="952"/>
      <c r="D452" s="953"/>
      <c r="E452" s="949"/>
      <c r="F452" s="949"/>
      <c r="G452" s="949"/>
      <c r="H452" s="488" t="s">
        <v>731</v>
      </c>
      <c r="I452" s="488" t="s">
        <v>731</v>
      </c>
      <c r="J452" s="946"/>
      <c r="K452" s="946"/>
      <c r="L452" s="947"/>
      <c r="M452" s="947"/>
      <c r="N452" s="946"/>
      <c r="O452" s="946"/>
      <c r="P452" s="947"/>
      <c r="Q452" s="947"/>
      <c r="R452" s="946"/>
      <c r="S452" s="947"/>
      <c r="T452" s="947"/>
      <c r="U452" s="946"/>
      <c r="V452" s="947"/>
      <c r="W452" s="947"/>
    </row>
    <row r="453" spans="1:23" ht="14.25" customHeight="1">
      <c r="A453" s="950">
        <v>23</v>
      </c>
      <c r="B453" s="951" t="s">
        <v>787</v>
      </c>
      <c r="C453" s="952" t="s">
        <v>685</v>
      </c>
      <c r="D453" s="953" t="s">
        <v>788</v>
      </c>
      <c r="E453" s="949" t="s">
        <v>771</v>
      </c>
      <c r="F453" s="949" t="s">
        <v>789</v>
      </c>
      <c r="G453" s="949" t="s">
        <v>730</v>
      </c>
      <c r="H453" s="488" t="s">
        <v>731</v>
      </c>
      <c r="I453" s="488" t="s">
        <v>731</v>
      </c>
      <c r="J453" s="946">
        <f>K453+N453</f>
        <v>1000000</v>
      </c>
      <c r="K453" s="946">
        <f>L453+M453</f>
        <v>0</v>
      </c>
      <c r="L453" s="947">
        <v>0</v>
      </c>
      <c r="M453" s="947">
        <v>0</v>
      </c>
      <c r="N453" s="946">
        <f>O453+R453+U453</f>
        <v>1000000</v>
      </c>
      <c r="O453" s="946">
        <f>P453+Q453</f>
        <v>1000000</v>
      </c>
      <c r="P453" s="947">
        <v>1000000</v>
      </c>
      <c r="Q453" s="947">
        <v>0</v>
      </c>
      <c r="R453" s="946">
        <f>S453+T453</f>
        <v>0</v>
      </c>
      <c r="S453" s="947">
        <v>0</v>
      </c>
      <c r="T453" s="947">
        <v>0</v>
      </c>
      <c r="U453" s="946">
        <f>V453+W453</f>
        <v>0</v>
      </c>
      <c r="V453" s="947">
        <v>0</v>
      </c>
      <c r="W453" s="947">
        <v>0</v>
      </c>
    </row>
    <row r="454" spans="1:23" ht="14.25" customHeight="1">
      <c r="A454" s="950"/>
      <c r="B454" s="951"/>
      <c r="C454" s="952"/>
      <c r="D454" s="953"/>
      <c r="E454" s="949"/>
      <c r="F454" s="949"/>
      <c r="G454" s="949"/>
      <c r="H454" s="488" t="s">
        <v>731</v>
      </c>
      <c r="I454" s="488" t="s">
        <v>731</v>
      </c>
      <c r="J454" s="946"/>
      <c r="K454" s="946"/>
      <c r="L454" s="947"/>
      <c r="M454" s="947"/>
      <c r="N454" s="946"/>
      <c r="O454" s="946"/>
      <c r="P454" s="947"/>
      <c r="Q454" s="947"/>
      <c r="R454" s="946"/>
      <c r="S454" s="947"/>
      <c r="T454" s="947"/>
      <c r="U454" s="946"/>
      <c r="V454" s="947"/>
      <c r="W454" s="947"/>
    </row>
    <row r="455" spans="1:23" ht="14.25" customHeight="1">
      <c r="A455" s="950"/>
      <c r="B455" s="951"/>
      <c r="C455" s="952"/>
      <c r="D455" s="953"/>
      <c r="E455" s="949"/>
      <c r="F455" s="949"/>
      <c r="G455" s="949"/>
      <c r="H455" s="488" t="s">
        <v>731</v>
      </c>
      <c r="I455" s="488" t="s">
        <v>731</v>
      </c>
      <c r="J455" s="946"/>
      <c r="K455" s="946"/>
      <c r="L455" s="947"/>
      <c r="M455" s="947"/>
      <c r="N455" s="946"/>
      <c r="O455" s="946"/>
      <c r="P455" s="947"/>
      <c r="Q455" s="947"/>
      <c r="R455" s="946"/>
      <c r="S455" s="947"/>
      <c r="T455" s="947"/>
      <c r="U455" s="946"/>
      <c r="V455" s="947"/>
      <c r="W455" s="947"/>
    </row>
    <row r="456" spans="1:23" ht="14.25" customHeight="1">
      <c r="A456" s="950"/>
      <c r="B456" s="951"/>
      <c r="C456" s="952"/>
      <c r="D456" s="953"/>
      <c r="E456" s="949"/>
      <c r="F456" s="949"/>
      <c r="G456" s="949"/>
      <c r="H456" s="488" t="s">
        <v>731</v>
      </c>
      <c r="I456" s="488" t="s">
        <v>731</v>
      </c>
      <c r="J456" s="946"/>
      <c r="K456" s="946"/>
      <c r="L456" s="947"/>
      <c r="M456" s="947"/>
      <c r="N456" s="946"/>
      <c r="O456" s="946"/>
      <c r="P456" s="947"/>
      <c r="Q456" s="947"/>
      <c r="R456" s="946"/>
      <c r="S456" s="947"/>
      <c r="T456" s="947"/>
      <c r="U456" s="946"/>
      <c r="V456" s="947"/>
      <c r="W456" s="947"/>
    </row>
    <row r="457" spans="1:23" ht="14.25" customHeight="1">
      <c r="A457" s="950"/>
      <c r="B457" s="951"/>
      <c r="C457" s="952"/>
      <c r="D457" s="953"/>
      <c r="E457" s="949"/>
      <c r="F457" s="949"/>
      <c r="G457" s="949"/>
      <c r="H457" s="488" t="s">
        <v>731</v>
      </c>
      <c r="I457" s="488" t="s">
        <v>731</v>
      </c>
      <c r="J457" s="946"/>
      <c r="K457" s="946"/>
      <c r="L457" s="947"/>
      <c r="M457" s="947"/>
      <c r="N457" s="946"/>
      <c r="O457" s="946"/>
      <c r="P457" s="947"/>
      <c r="Q457" s="947"/>
      <c r="R457" s="946"/>
      <c r="S457" s="947"/>
      <c r="T457" s="947"/>
      <c r="U457" s="946"/>
      <c r="V457" s="947"/>
      <c r="W457" s="947"/>
    </row>
    <row r="458" spans="1:23" ht="14.25" customHeight="1">
      <c r="A458" s="950">
        <v>24</v>
      </c>
      <c r="B458" s="951" t="s">
        <v>790</v>
      </c>
      <c r="C458" s="952" t="s">
        <v>688</v>
      </c>
      <c r="D458" s="953" t="s">
        <v>791</v>
      </c>
      <c r="E458" s="949" t="s">
        <v>771</v>
      </c>
      <c r="F458" s="949" t="s">
        <v>792</v>
      </c>
      <c r="G458" s="949" t="s">
        <v>730</v>
      </c>
      <c r="H458" s="488" t="s">
        <v>731</v>
      </c>
      <c r="I458" s="488" t="s">
        <v>731</v>
      </c>
      <c r="J458" s="946">
        <f>K458+N458</f>
        <v>575000</v>
      </c>
      <c r="K458" s="946">
        <f>L458+M458</f>
        <v>0</v>
      </c>
      <c r="L458" s="947">
        <v>0</v>
      </c>
      <c r="M458" s="947">
        <v>0</v>
      </c>
      <c r="N458" s="946">
        <f>O458+R458+U458</f>
        <v>575000</v>
      </c>
      <c r="O458" s="946">
        <f>P458+Q458</f>
        <v>575000</v>
      </c>
      <c r="P458" s="947">
        <v>550000</v>
      </c>
      <c r="Q458" s="947">
        <v>25000</v>
      </c>
      <c r="R458" s="946">
        <f>S458+T458</f>
        <v>0</v>
      </c>
      <c r="S458" s="947">
        <v>0</v>
      </c>
      <c r="T458" s="947">
        <v>0</v>
      </c>
      <c r="U458" s="946">
        <f>V458+W458</f>
        <v>0</v>
      </c>
      <c r="V458" s="947">
        <v>0</v>
      </c>
      <c r="W458" s="947">
        <v>0</v>
      </c>
    </row>
    <row r="459" spans="1:23" ht="14.25" customHeight="1">
      <c r="A459" s="950"/>
      <c r="B459" s="951"/>
      <c r="C459" s="952"/>
      <c r="D459" s="953"/>
      <c r="E459" s="949"/>
      <c r="F459" s="949"/>
      <c r="G459" s="949"/>
      <c r="H459" s="488" t="s">
        <v>731</v>
      </c>
      <c r="I459" s="488" t="s">
        <v>731</v>
      </c>
      <c r="J459" s="946"/>
      <c r="K459" s="946"/>
      <c r="L459" s="947"/>
      <c r="M459" s="947"/>
      <c r="N459" s="946"/>
      <c r="O459" s="946"/>
      <c r="P459" s="947"/>
      <c r="Q459" s="947"/>
      <c r="R459" s="946"/>
      <c r="S459" s="947"/>
      <c r="T459" s="947"/>
      <c r="U459" s="946"/>
      <c r="V459" s="947"/>
      <c r="W459" s="947"/>
    </row>
    <row r="460" spans="1:23" ht="14.25" customHeight="1">
      <c r="A460" s="950"/>
      <c r="B460" s="951"/>
      <c r="C460" s="952"/>
      <c r="D460" s="953"/>
      <c r="E460" s="949"/>
      <c r="F460" s="949"/>
      <c r="G460" s="949"/>
      <c r="H460" s="488" t="s">
        <v>731</v>
      </c>
      <c r="I460" s="488" t="s">
        <v>731</v>
      </c>
      <c r="J460" s="946"/>
      <c r="K460" s="946"/>
      <c r="L460" s="947"/>
      <c r="M460" s="947"/>
      <c r="N460" s="946"/>
      <c r="O460" s="946"/>
      <c r="P460" s="947"/>
      <c r="Q460" s="947"/>
      <c r="R460" s="946"/>
      <c r="S460" s="947"/>
      <c r="T460" s="947"/>
      <c r="U460" s="946"/>
      <c r="V460" s="947"/>
      <c r="W460" s="947"/>
    </row>
    <row r="461" spans="1:23" ht="14.25" customHeight="1">
      <c r="A461" s="950"/>
      <c r="B461" s="951"/>
      <c r="C461" s="952"/>
      <c r="D461" s="953"/>
      <c r="E461" s="949"/>
      <c r="F461" s="949"/>
      <c r="G461" s="949"/>
      <c r="H461" s="488" t="s">
        <v>731</v>
      </c>
      <c r="I461" s="488" t="s">
        <v>731</v>
      </c>
      <c r="J461" s="946"/>
      <c r="K461" s="946"/>
      <c r="L461" s="947"/>
      <c r="M461" s="947"/>
      <c r="N461" s="946"/>
      <c r="O461" s="946"/>
      <c r="P461" s="947"/>
      <c r="Q461" s="947"/>
      <c r="R461" s="946"/>
      <c r="S461" s="947"/>
      <c r="T461" s="947"/>
      <c r="U461" s="946"/>
      <c r="V461" s="947"/>
      <c r="W461" s="947"/>
    </row>
    <row r="462" spans="1:23" ht="14.25" customHeight="1">
      <c r="A462" s="950"/>
      <c r="B462" s="951"/>
      <c r="C462" s="952"/>
      <c r="D462" s="953"/>
      <c r="E462" s="949"/>
      <c r="F462" s="949"/>
      <c r="G462" s="949"/>
      <c r="H462" s="488" t="s">
        <v>731</v>
      </c>
      <c r="I462" s="488" t="s">
        <v>731</v>
      </c>
      <c r="J462" s="946"/>
      <c r="K462" s="946"/>
      <c r="L462" s="947"/>
      <c r="M462" s="947"/>
      <c r="N462" s="946"/>
      <c r="O462" s="946"/>
      <c r="P462" s="947"/>
      <c r="Q462" s="947"/>
      <c r="R462" s="946"/>
      <c r="S462" s="947"/>
      <c r="T462" s="947"/>
      <c r="U462" s="946"/>
      <c r="V462" s="947"/>
      <c r="W462" s="947"/>
    </row>
    <row r="463" spans="1:23" ht="14.25" customHeight="1">
      <c r="A463" s="950">
        <v>25</v>
      </c>
      <c r="B463" s="951" t="s">
        <v>793</v>
      </c>
      <c r="C463" s="952" t="s">
        <v>696</v>
      </c>
      <c r="D463" s="953" t="s">
        <v>794</v>
      </c>
      <c r="E463" s="949" t="s">
        <v>771</v>
      </c>
      <c r="F463" s="949" t="s">
        <v>792</v>
      </c>
      <c r="G463" s="949" t="s">
        <v>730</v>
      </c>
      <c r="H463" s="488" t="s">
        <v>731</v>
      </c>
      <c r="I463" s="488" t="s">
        <v>731</v>
      </c>
      <c r="J463" s="946">
        <f>K463+N463</f>
        <v>398491</v>
      </c>
      <c r="K463" s="946">
        <f>L463+M463</f>
        <v>0</v>
      </c>
      <c r="L463" s="947">
        <v>0</v>
      </c>
      <c r="M463" s="947">
        <v>0</v>
      </c>
      <c r="N463" s="946">
        <f>O463+R463+U463</f>
        <v>398491</v>
      </c>
      <c r="O463" s="946">
        <f>P463+Q463</f>
        <v>398491</v>
      </c>
      <c r="P463" s="947">
        <v>350000</v>
      </c>
      <c r="Q463" s="947">
        <v>48491</v>
      </c>
      <c r="R463" s="946">
        <f>S463+T463</f>
        <v>0</v>
      </c>
      <c r="S463" s="947">
        <v>0</v>
      </c>
      <c r="T463" s="947">
        <v>0</v>
      </c>
      <c r="U463" s="946">
        <f>V463+W463</f>
        <v>0</v>
      </c>
      <c r="V463" s="947">
        <v>0</v>
      </c>
      <c r="W463" s="947">
        <v>0</v>
      </c>
    </row>
    <row r="464" spans="1:23" ht="14.25" customHeight="1">
      <c r="A464" s="950"/>
      <c r="B464" s="951"/>
      <c r="C464" s="952"/>
      <c r="D464" s="953"/>
      <c r="E464" s="949"/>
      <c r="F464" s="949"/>
      <c r="G464" s="949"/>
      <c r="H464" s="488" t="s">
        <v>731</v>
      </c>
      <c r="I464" s="488" t="s">
        <v>731</v>
      </c>
      <c r="J464" s="946"/>
      <c r="K464" s="946"/>
      <c r="L464" s="947"/>
      <c r="M464" s="947"/>
      <c r="N464" s="946"/>
      <c r="O464" s="946"/>
      <c r="P464" s="947"/>
      <c r="Q464" s="947"/>
      <c r="R464" s="946"/>
      <c r="S464" s="947"/>
      <c r="T464" s="947"/>
      <c r="U464" s="946"/>
      <c r="V464" s="947"/>
      <c r="W464" s="947"/>
    </row>
    <row r="465" spans="1:23" ht="14.25" customHeight="1">
      <c r="A465" s="950"/>
      <c r="B465" s="951"/>
      <c r="C465" s="952"/>
      <c r="D465" s="953"/>
      <c r="E465" s="949"/>
      <c r="F465" s="949"/>
      <c r="G465" s="949"/>
      <c r="H465" s="488" t="s">
        <v>731</v>
      </c>
      <c r="I465" s="488" t="s">
        <v>731</v>
      </c>
      <c r="J465" s="946"/>
      <c r="K465" s="946"/>
      <c r="L465" s="947"/>
      <c r="M465" s="947"/>
      <c r="N465" s="946"/>
      <c r="O465" s="946"/>
      <c r="P465" s="947"/>
      <c r="Q465" s="947"/>
      <c r="R465" s="946"/>
      <c r="S465" s="947"/>
      <c r="T465" s="947"/>
      <c r="U465" s="946"/>
      <c r="V465" s="947"/>
      <c r="W465" s="947"/>
    </row>
    <row r="466" spans="1:23" ht="14.25" customHeight="1">
      <c r="A466" s="950"/>
      <c r="B466" s="951"/>
      <c r="C466" s="952"/>
      <c r="D466" s="953"/>
      <c r="E466" s="949"/>
      <c r="F466" s="949"/>
      <c r="G466" s="949"/>
      <c r="H466" s="488" t="s">
        <v>731</v>
      </c>
      <c r="I466" s="488" t="s">
        <v>731</v>
      </c>
      <c r="J466" s="946"/>
      <c r="K466" s="946"/>
      <c r="L466" s="947"/>
      <c r="M466" s="947"/>
      <c r="N466" s="946"/>
      <c r="O466" s="946"/>
      <c r="P466" s="947"/>
      <c r="Q466" s="947"/>
      <c r="R466" s="946"/>
      <c r="S466" s="947"/>
      <c r="T466" s="947"/>
      <c r="U466" s="946"/>
      <c r="V466" s="947"/>
      <c r="W466" s="947"/>
    </row>
    <row r="467" spans="1:23" ht="14.25" customHeight="1">
      <c r="A467" s="950"/>
      <c r="B467" s="951"/>
      <c r="C467" s="952"/>
      <c r="D467" s="953"/>
      <c r="E467" s="949"/>
      <c r="F467" s="949"/>
      <c r="G467" s="949"/>
      <c r="H467" s="488" t="s">
        <v>731</v>
      </c>
      <c r="I467" s="488" t="s">
        <v>731</v>
      </c>
      <c r="J467" s="946"/>
      <c r="K467" s="946"/>
      <c r="L467" s="947"/>
      <c r="M467" s="947"/>
      <c r="N467" s="946"/>
      <c r="O467" s="946"/>
      <c r="P467" s="947"/>
      <c r="Q467" s="947"/>
      <c r="R467" s="946"/>
      <c r="S467" s="947"/>
      <c r="T467" s="947"/>
      <c r="U467" s="946"/>
      <c r="V467" s="947"/>
      <c r="W467" s="947"/>
    </row>
    <row r="468" spans="1:23" ht="14.25" customHeight="1">
      <c r="A468" s="950">
        <v>26</v>
      </c>
      <c r="B468" s="951" t="s">
        <v>691</v>
      </c>
      <c r="C468" s="952" t="s">
        <v>688</v>
      </c>
      <c r="D468" s="953" t="s">
        <v>795</v>
      </c>
      <c r="E468" s="949" t="s">
        <v>771</v>
      </c>
      <c r="F468" s="949" t="s">
        <v>792</v>
      </c>
      <c r="G468" s="949" t="s">
        <v>730</v>
      </c>
      <c r="H468" s="488" t="s">
        <v>731</v>
      </c>
      <c r="I468" s="488" t="s">
        <v>731</v>
      </c>
      <c r="J468" s="946">
        <f>K468+N468</f>
        <v>775000</v>
      </c>
      <c r="K468" s="946">
        <f>L468+M468</f>
        <v>0</v>
      </c>
      <c r="L468" s="947">
        <v>0</v>
      </c>
      <c r="M468" s="947">
        <v>0</v>
      </c>
      <c r="N468" s="946">
        <f>O468+R468+U468</f>
        <v>775000</v>
      </c>
      <c r="O468" s="946">
        <f>P468+Q468</f>
        <v>775000</v>
      </c>
      <c r="P468" s="947">
        <v>725000</v>
      </c>
      <c r="Q468" s="947">
        <v>50000</v>
      </c>
      <c r="R468" s="946">
        <f>S468+T468</f>
        <v>0</v>
      </c>
      <c r="S468" s="947">
        <v>0</v>
      </c>
      <c r="T468" s="947">
        <v>0</v>
      </c>
      <c r="U468" s="946">
        <f>V468+W468</f>
        <v>0</v>
      </c>
      <c r="V468" s="947">
        <v>0</v>
      </c>
      <c r="W468" s="947">
        <v>0</v>
      </c>
    </row>
    <row r="469" spans="1:23" ht="14.25" customHeight="1">
      <c r="A469" s="950"/>
      <c r="B469" s="951"/>
      <c r="C469" s="952"/>
      <c r="D469" s="953"/>
      <c r="E469" s="949"/>
      <c r="F469" s="949"/>
      <c r="G469" s="949"/>
      <c r="H469" s="488" t="s">
        <v>731</v>
      </c>
      <c r="I469" s="488" t="s">
        <v>731</v>
      </c>
      <c r="J469" s="946"/>
      <c r="K469" s="946"/>
      <c r="L469" s="947"/>
      <c r="M469" s="947"/>
      <c r="N469" s="946"/>
      <c r="O469" s="946"/>
      <c r="P469" s="947"/>
      <c r="Q469" s="947"/>
      <c r="R469" s="946"/>
      <c r="S469" s="947"/>
      <c r="T469" s="947"/>
      <c r="U469" s="946"/>
      <c r="V469" s="947"/>
      <c r="W469" s="947"/>
    </row>
    <row r="470" spans="1:23" ht="14.25" customHeight="1">
      <c r="A470" s="950"/>
      <c r="B470" s="951"/>
      <c r="C470" s="952"/>
      <c r="D470" s="953"/>
      <c r="E470" s="949"/>
      <c r="F470" s="949"/>
      <c r="G470" s="949"/>
      <c r="H470" s="488" t="s">
        <v>731</v>
      </c>
      <c r="I470" s="488" t="s">
        <v>731</v>
      </c>
      <c r="J470" s="946"/>
      <c r="K470" s="946"/>
      <c r="L470" s="947"/>
      <c r="M470" s="947"/>
      <c r="N470" s="946"/>
      <c r="O470" s="946"/>
      <c r="P470" s="947"/>
      <c r="Q470" s="947"/>
      <c r="R470" s="946"/>
      <c r="S470" s="947"/>
      <c r="T470" s="947"/>
      <c r="U470" s="946"/>
      <c r="V470" s="947"/>
      <c r="W470" s="947"/>
    </row>
    <row r="471" spans="1:23" ht="14.25" customHeight="1">
      <c r="A471" s="950"/>
      <c r="B471" s="951"/>
      <c r="C471" s="952"/>
      <c r="D471" s="953"/>
      <c r="E471" s="949"/>
      <c r="F471" s="949"/>
      <c r="G471" s="949"/>
      <c r="H471" s="488" t="s">
        <v>731</v>
      </c>
      <c r="I471" s="488" t="s">
        <v>731</v>
      </c>
      <c r="J471" s="946"/>
      <c r="K471" s="946"/>
      <c r="L471" s="947"/>
      <c r="M471" s="947"/>
      <c r="N471" s="946"/>
      <c r="O471" s="946"/>
      <c r="P471" s="947"/>
      <c r="Q471" s="947"/>
      <c r="R471" s="946"/>
      <c r="S471" s="947"/>
      <c r="T471" s="947"/>
      <c r="U471" s="946"/>
      <c r="V471" s="947"/>
      <c r="W471" s="947"/>
    </row>
    <row r="472" spans="1:23" ht="14.25" customHeight="1">
      <c r="A472" s="950"/>
      <c r="B472" s="951"/>
      <c r="C472" s="952"/>
      <c r="D472" s="953"/>
      <c r="E472" s="949"/>
      <c r="F472" s="949"/>
      <c r="G472" s="949"/>
      <c r="H472" s="488" t="s">
        <v>731</v>
      </c>
      <c r="I472" s="488" t="s">
        <v>731</v>
      </c>
      <c r="J472" s="946"/>
      <c r="K472" s="946"/>
      <c r="L472" s="947"/>
      <c r="M472" s="947"/>
      <c r="N472" s="946"/>
      <c r="O472" s="946"/>
      <c r="P472" s="947"/>
      <c r="Q472" s="947"/>
      <c r="R472" s="946"/>
      <c r="S472" s="947"/>
      <c r="T472" s="947"/>
      <c r="U472" s="946"/>
      <c r="V472" s="947"/>
      <c r="W472" s="947"/>
    </row>
    <row r="473" spans="1:23" ht="15.75" customHeight="1">
      <c r="A473" s="950">
        <v>27</v>
      </c>
      <c r="B473" s="951" t="s">
        <v>695</v>
      </c>
      <c r="C473" s="952" t="s">
        <v>696</v>
      </c>
      <c r="D473" s="953" t="s">
        <v>796</v>
      </c>
      <c r="E473" s="949" t="s">
        <v>771</v>
      </c>
      <c r="F473" s="949" t="s">
        <v>792</v>
      </c>
      <c r="G473" s="949" t="s">
        <v>730</v>
      </c>
      <c r="H473" s="488" t="s">
        <v>731</v>
      </c>
      <c r="I473" s="488" t="s">
        <v>731</v>
      </c>
      <c r="J473" s="946">
        <f>K473+N473</f>
        <v>2370000</v>
      </c>
      <c r="K473" s="946">
        <f>L473+M473</f>
        <v>0</v>
      </c>
      <c r="L473" s="947">
        <v>0</v>
      </c>
      <c r="M473" s="947">
        <v>0</v>
      </c>
      <c r="N473" s="946">
        <f>O473+R473+U473</f>
        <v>2370000</v>
      </c>
      <c r="O473" s="946">
        <f>P473+Q473</f>
        <v>2370000</v>
      </c>
      <c r="P473" s="947">
        <v>2300000</v>
      </c>
      <c r="Q473" s="947">
        <v>70000</v>
      </c>
      <c r="R473" s="946">
        <f>S473+T473</f>
        <v>0</v>
      </c>
      <c r="S473" s="947">
        <v>0</v>
      </c>
      <c r="T473" s="947">
        <v>0</v>
      </c>
      <c r="U473" s="946">
        <f>V473+W473</f>
        <v>0</v>
      </c>
      <c r="V473" s="947">
        <v>0</v>
      </c>
      <c r="W473" s="947">
        <v>0</v>
      </c>
    </row>
    <row r="474" spans="1:23" ht="15.75" customHeight="1">
      <c r="A474" s="950"/>
      <c r="B474" s="951"/>
      <c r="C474" s="952"/>
      <c r="D474" s="953"/>
      <c r="E474" s="949"/>
      <c r="F474" s="949"/>
      <c r="G474" s="949"/>
      <c r="H474" s="488" t="s">
        <v>731</v>
      </c>
      <c r="I474" s="488" t="s">
        <v>731</v>
      </c>
      <c r="J474" s="946"/>
      <c r="K474" s="946"/>
      <c r="L474" s="947"/>
      <c r="M474" s="947"/>
      <c r="N474" s="946"/>
      <c r="O474" s="946"/>
      <c r="P474" s="947"/>
      <c r="Q474" s="947"/>
      <c r="R474" s="946"/>
      <c r="S474" s="947"/>
      <c r="T474" s="947"/>
      <c r="U474" s="946"/>
      <c r="V474" s="947"/>
      <c r="W474" s="947"/>
    </row>
    <row r="475" spans="1:23" ht="15.75" customHeight="1">
      <c r="A475" s="950"/>
      <c r="B475" s="951"/>
      <c r="C475" s="952"/>
      <c r="D475" s="953"/>
      <c r="E475" s="949"/>
      <c r="F475" s="949"/>
      <c r="G475" s="949"/>
      <c r="H475" s="488" t="s">
        <v>731</v>
      </c>
      <c r="I475" s="488" t="s">
        <v>731</v>
      </c>
      <c r="J475" s="946"/>
      <c r="K475" s="946"/>
      <c r="L475" s="947"/>
      <c r="M475" s="947"/>
      <c r="N475" s="946"/>
      <c r="O475" s="946"/>
      <c r="P475" s="947"/>
      <c r="Q475" s="947"/>
      <c r="R475" s="946"/>
      <c r="S475" s="947"/>
      <c r="T475" s="947"/>
      <c r="U475" s="946"/>
      <c r="V475" s="947"/>
      <c r="W475" s="947"/>
    </row>
    <row r="476" spans="1:23" ht="15.75" customHeight="1">
      <c r="A476" s="950"/>
      <c r="B476" s="951"/>
      <c r="C476" s="952"/>
      <c r="D476" s="953"/>
      <c r="E476" s="949"/>
      <c r="F476" s="949"/>
      <c r="G476" s="949"/>
      <c r="H476" s="488" t="s">
        <v>731</v>
      </c>
      <c r="I476" s="488" t="s">
        <v>731</v>
      </c>
      <c r="J476" s="946"/>
      <c r="K476" s="946"/>
      <c r="L476" s="947"/>
      <c r="M476" s="947"/>
      <c r="N476" s="946"/>
      <c r="O476" s="946"/>
      <c r="P476" s="947"/>
      <c r="Q476" s="947"/>
      <c r="R476" s="946"/>
      <c r="S476" s="947"/>
      <c r="T476" s="947"/>
      <c r="U476" s="946"/>
      <c r="V476" s="947"/>
      <c r="W476" s="947"/>
    </row>
    <row r="477" spans="1:23" ht="15.75" customHeight="1">
      <c r="A477" s="950"/>
      <c r="B477" s="951"/>
      <c r="C477" s="952"/>
      <c r="D477" s="953"/>
      <c r="E477" s="949"/>
      <c r="F477" s="949"/>
      <c r="G477" s="949"/>
      <c r="H477" s="488" t="s">
        <v>731</v>
      </c>
      <c r="I477" s="488" t="s">
        <v>731</v>
      </c>
      <c r="J477" s="946"/>
      <c r="K477" s="946"/>
      <c r="L477" s="947"/>
      <c r="M477" s="947"/>
      <c r="N477" s="946"/>
      <c r="O477" s="946"/>
      <c r="P477" s="947"/>
      <c r="Q477" s="947"/>
      <c r="R477" s="946"/>
      <c r="S477" s="947"/>
      <c r="T477" s="947"/>
      <c r="U477" s="946"/>
      <c r="V477" s="947"/>
      <c r="W477" s="947"/>
    </row>
    <row r="478" spans="1:23" ht="15.75" customHeight="1">
      <c r="A478" s="950">
        <v>28</v>
      </c>
      <c r="B478" s="951" t="s">
        <v>710</v>
      </c>
      <c r="C478" s="952" t="s">
        <v>711</v>
      </c>
      <c r="D478" s="953" t="s">
        <v>797</v>
      </c>
      <c r="E478" s="949" t="s">
        <v>771</v>
      </c>
      <c r="F478" s="949" t="s">
        <v>798</v>
      </c>
      <c r="G478" s="949" t="s">
        <v>730</v>
      </c>
      <c r="H478" s="488" t="s">
        <v>731</v>
      </c>
      <c r="I478" s="488" t="s">
        <v>731</v>
      </c>
      <c r="J478" s="946">
        <f>K478+N478</f>
        <v>450000</v>
      </c>
      <c r="K478" s="946">
        <f>L478+M478</f>
        <v>0</v>
      </c>
      <c r="L478" s="947">
        <v>0</v>
      </c>
      <c r="M478" s="947">
        <v>0</v>
      </c>
      <c r="N478" s="946">
        <f>O478+R478+U478</f>
        <v>450000</v>
      </c>
      <c r="O478" s="946">
        <f>P478+Q478</f>
        <v>450000</v>
      </c>
      <c r="P478" s="947">
        <v>450000</v>
      </c>
      <c r="Q478" s="947">
        <v>0</v>
      </c>
      <c r="R478" s="946">
        <f>S478+T478</f>
        <v>0</v>
      </c>
      <c r="S478" s="947">
        <v>0</v>
      </c>
      <c r="T478" s="947">
        <v>0</v>
      </c>
      <c r="U478" s="946">
        <f>V478+W478</f>
        <v>0</v>
      </c>
      <c r="V478" s="947">
        <v>0</v>
      </c>
      <c r="W478" s="947">
        <v>0</v>
      </c>
    </row>
    <row r="479" spans="1:23" ht="15.75" customHeight="1">
      <c r="A479" s="950"/>
      <c r="B479" s="951"/>
      <c r="C479" s="952"/>
      <c r="D479" s="953"/>
      <c r="E479" s="949"/>
      <c r="F479" s="949"/>
      <c r="G479" s="949"/>
      <c r="H479" s="488" t="s">
        <v>731</v>
      </c>
      <c r="I479" s="488" t="s">
        <v>731</v>
      </c>
      <c r="J479" s="946"/>
      <c r="K479" s="946"/>
      <c r="L479" s="947"/>
      <c r="M479" s="947"/>
      <c r="N479" s="946"/>
      <c r="O479" s="946"/>
      <c r="P479" s="947"/>
      <c r="Q479" s="947"/>
      <c r="R479" s="946"/>
      <c r="S479" s="947"/>
      <c r="T479" s="947"/>
      <c r="U479" s="946"/>
      <c r="V479" s="947"/>
      <c r="W479" s="947"/>
    </row>
    <row r="480" spans="1:23" ht="15.75" customHeight="1">
      <c r="A480" s="950"/>
      <c r="B480" s="951"/>
      <c r="C480" s="952"/>
      <c r="D480" s="953"/>
      <c r="E480" s="949"/>
      <c r="F480" s="949"/>
      <c r="G480" s="949"/>
      <c r="H480" s="488" t="s">
        <v>731</v>
      </c>
      <c r="I480" s="488" t="s">
        <v>731</v>
      </c>
      <c r="J480" s="946"/>
      <c r="K480" s="946"/>
      <c r="L480" s="947"/>
      <c r="M480" s="947"/>
      <c r="N480" s="946"/>
      <c r="O480" s="946"/>
      <c r="P480" s="947"/>
      <c r="Q480" s="947"/>
      <c r="R480" s="946"/>
      <c r="S480" s="947"/>
      <c r="T480" s="947"/>
      <c r="U480" s="946"/>
      <c r="V480" s="947"/>
      <c r="W480" s="947"/>
    </row>
    <row r="481" spans="1:23" ht="15.75" customHeight="1">
      <c r="A481" s="950"/>
      <c r="B481" s="951"/>
      <c r="C481" s="952"/>
      <c r="D481" s="953"/>
      <c r="E481" s="949"/>
      <c r="F481" s="949"/>
      <c r="G481" s="949"/>
      <c r="H481" s="488" t="s">
        <v>731</v>
      </c>
      <c r="I481" s="488" t="s">
        <v>731</v>
      </c>
      <c r="J481" s="946"/>
      <c r="K481" s="946"/>
      <c r="L481" s="947"/>
      <c r="M481" s="947"/>
      <c r="N481" s="946"/>
      <c r="O481" s="946"/>
      <c r="P481" s="947"/>
      <c r="Q481" s="947"/>
      <c r="R481" s="946"/>
      <c r="S481" s="947"/>
      <c r="T481" s="947"/>
      <c r="U481" s="946"/>
      <c r="V481" s="947"/>
      <c r="W481" s="947"/>
    </row>
    <row r="482" spans="1:23" ht="15.75" customHeight="1">
      <c r="A482" s="950"/>
      <c r="B482" s="951"/>
      <c r="C482" s="952"/>
      <c r="D482" s="953"/>
      <c r="E482" s="949"/>
      <c r="F482" s="949"/>
      <c r="G482" s="949"/>
      <c r="H482" s="488" t="s">
        <v>731</v>
      </c>
      <c r="I482" s="488" t="s">
        <v>731</v>
      </c>
      <c r="J482" s="946"/>
      <c r="K482" s="946"/>
      <c r="L482" s="947"/>
      <c r="M482" s="947"/>
      <c r="N482" s="946"/>
      <c r="O482" s="946"/>
      <c r="P482" s="947"/>
      <c r="Q482" s="947"/>
      <c r="R482" s="946"/>
      <c r="S482" s="947"/>
      <c r="T482" s="947"/>
      <c r="U482" s="946"/>
      <c r="V482" s="947"/>
      <c r="W482" s="947"/>
    </row>
    <row r="483" spans="1:23" ht="15.75" customHeight="1">
      <c r="A483" s="950">
        <v>29</v>
      </c>
      <c r="B483" s="951" t="s">
        <v>799</v>
      </c>
      <c r="C483" s="952" t="s">
        <v>696</v>
      </c>
      <c r="D483" s="953" t="s">
        <v>800</v>
      </c>
      <c r="E483" s="949" t="s">
        <v>771</v>
      </c>
      <c r="F483" s="949" t="s">
        <v>798</v>
      </c>
      <c r="G483" s="949" t="s">
        <v>730</v>
      </c>
      <c r="H483" s="488" t="s">
        <v>731</v>
      </c>
      <c r="I483" s="488" t="s">
        <v>731</v>
      </c>
      <c r="J483" s="946">
        <f>K483+N483</f>
        <v>1750000</v>
      </c>
      <c r="K483" s="946">
        <f>L483+M483</f>
        <v>0</v>
      </c>
      <c r="L483" s="947">
        <v>0</v>
      </c>
      <c r="M483" s="947">
        <v>0</v>
      </c>
      <c r="N483" s="946">
        <f>O483+R483+U483</f>
        <v>1750000</v>
      </c>
      <c r="O483" s="946">
        <f>P483+Q483</f>
        <v>1750000</v>
      </c>
      <c r="P483" s="947">
        <v>1750000</v>
      </c>
      <c r="Q483" s="947">
        <v>0</v>
      </c>
      <c r="R483" s="946">
        <f>S483+T483</f>
        <v>0</v>
      </c>
      <c r="S483" s="947">
        <v>0</v>
      </c>
      <c r="T483" s="947">
        <v>0</v>
      </c>
      <c r="U483" s="946">
        <f>V483+W483</f>
        <v>0</v>
      </c>
      <c r="V483" s="947">
        <v>0</v>
      </c>
      <c r="W483" s="947">
        <v>0</v>
      </c>
    </row>
    <row r="484" spans="1:23" ht="15.75" customHeight="1">
      <c r="A484" s="950"/>
      <c r="B484" s="951"/>
      <c r="C484" s="952"/>
      <c r="D484" s="953"/>
      <c r="E484" s="949"/>
      <c r="F484" s="949"/>
      <c r="G484" s="949"/>
      <c r="H484" s="488" t="s">
        <v>731</v>
      </c>
      <c r="I484" s="488" t="s">
        <v>731</v>
      </c>
      <c r="J484" s="946"/>
      <c r="K484" s="946"/>
      <c r="L484" s="947"/>
      <c r="M484" s="947"/>
      <c r="N484" s="946"/>
      <c r="O484" s="946"/>
      <c r="P484" s="947"/>
      <c r="Q484" s="947"/>
      <c r="R484" s="946"/>
      <c r="S484" s="947"/>
      <c r="T484" s="947"/>
      <c r="U484" s="946"/>
      <c r="V484" s="947"/>
      <c r="W484" s="947"/>
    </row>
    <row r="485" spans="1:23" ht="15.75" customHeight="1">
      <c r="A485" s="950"/>
      <c r="B485" s="951"/>
      <c r="C485" s="952"/>
      <c r="D485" s="953"/>
      <c r="E485" s="949"/>
      <c r="F485" s="949"/>
      <c r="G485" s="949"/>
      <c r="H485" s="488" t="s">
        <v>731</v>
      </c>
      <c r="I485" s="488" t="s">
        <v>731</v>
      </c>
      <c r="J485" s="946"/>
      <c r="K485" s="946"/>
      <c r="L485" s="947"/>
      <c r="M485" s="947"/>
      <c r="N485" s="946"/>
      <c r="O485" s="946"/>
      <c r="P485" s="947"/>
      <c r="Q485" s="947"/>
      <c r="R485" s="946"/>
      <c r="S485" s="947"/>
      <c r="T485" s="947"/>
      <c r="U485" s="946"/>
      <c r="V485" s="947"/>
      <c r="W485" s="947"/>
    </row>
    <row r="486" spans="1:23" ht="15.75" customHeight="1">
      <c r="A486" s="950"/>
      <c r="B486" s="951"/>
      <c r="C486" s="952"/>
      <c r="D486" s="953"/>
      <c r="E486" s="949"/>
      <c r="F486" s="949"/>
      <c r="G486" s="949"/>
      <c r="H486" s="488" t="s">
        <v>731</v>
      </c>
      <c r="I486" s="488" t="s">
        <v>731</v>
      </c>
      <c r="J486" s="946"/>
      <c r="K486" s="946"/>
      <c r="L486" s="947"/>
      <c r="M486" s="947"/>
      <c r="N486" s="946"/>
      <c r="O486" s="946"/>
      <c r="P486" s="947"/>
      <c r="Q486" s="947"/>
      <c r="R486" s="946"/>
      <c r="S486" s="947"/>
      <c r="T486" s="947"/>
      <c r="U486" s="946"/>
      <c r="V486" s="947"/>
      <c r="W486" s="947"/>
    </row>
    <row r="487" spans="1:23" ht="15.75" customHeight="1">
      <c r="A487" s="950"/>
      <c r="B487" s="951"/>
      <c r="C487" s="952"/>
      <c r="D487" s="953"/>
      <c r="E487" s="949"/>
      <c r="F487" s="949"/>
      <c r="G487" s="949"/>
      <c r="H487" s="488" t="s">
        <v>731</v>
      </c>
      <c r="I487" s="488" t="s">
        <v>731</v>
      </c>
      <c r="J487" s="946"/>
      <c r="K487" s="946"/>
      <c r="L487" s="947"/>
      <c r="M487" s="947"/>
      <c r="N487" s="946"/>
      <c r="O487" s="946"/>
      <c r="P487" s="947"/>
      <c r="Q487" s="947"/>
      <c r="R487" s="946"/>
      <c r="S487" s="947"/>
      <c r="T487" s="947"/>
      <c r="U487" s="946"/>
      <c r="V487" s="947"/>
      <c r="W487" s="947"/>
    </row>
    <row r="488" spans="1:23" s="500" customFormat="1" ht="14.25" customHeight="1">
      <c r="A488" s="948" t="s">
        <v>801</v>
      </c>
      <c r="B488" s="948"/>
      <c r="C488" s="948"/>
      <c r="D488" s="948"/>
      <c r="E488" s="948"/>
      <c r="F488" s="948"/>
      <c r="G488" s="948"/>
      <c r="H488" s="488" t="s">
        <v>731</v>
      </c>
      <c r="I488" s="488" t="s">
        <v>731</v>
      </c>
      <c r="J488" s="944">
        <f>SUM(J343:J487)</f>
        <v>53844129</v>
      </c>
      <c r="K488" s="944">
        <f t="shared" ref="K488:W488" si="4">SUM(K343:K487)</f>
        <v>0</v>
      </c>
      <c r="L488" s="944">
        <f t="shared" si="4"/>
        <v>0</v>
      </c>
      <c r="M488" s="944">
        <f t="shared" si="4"/>
        <v>0</v>
      </c>
      <c r="N488" s="944">
        <f t="shared" si="4"/>
        <v>53844129</v>
      </c>
      <c r="O488" s="944">
        <f t="shared" si="4"/>
        <v>53844129</v>
      </c>
      <c r="P488" s="944">
        <f t="shared" si="4"/>
        <v>14661002</v>
      </c>
      <c r="Q488" s="944">
        <f t="shared" si="4"/>
        <v>39183127</v>
      </c>
      <c r="R488" s="944">
        <f t="shared" si="4"/>
        <v>0</v>
      </c>
      <c r="S488" s="944">
        <f t="shared" si="4"/>
        <v>0</v>
      </c>
      <c r="T488" s="944">
        <f t="shared" si="4"/>
        <v>0</v>
      </c>
      <c r="U488" s="944">
        <f t="shared" si="4"/>
        <v>0</v>
      </c>
      <c r="V488" s="944">
        <f t="shared" si="4"/>
        <v>0</v>
      </c>
      <c r="W488" s="944">
        <f t="shared" si="4"/>
        <v>0</v>
      </c>
    </row>
    <row r="489" spans="1:23" s="501" customFormat="1" ht="14.25" customHeight="1">
      <c r="A489" s="948"/>
      <c r="B489" s="948"/>
      <c r="C489" s="948"/>
      <c r="D489" s="948"/>
      <c r="E489" s="948"/>
      <c r="F489" s="948"/>
      <c r="G489" s="948"/>
      <c r="H489" s="488" t="s">
        <v>731</v>
      </c>
      <c r="I489" s="488" t="s">
        <v>731</v>
      </c>
      <c r="J489" s="944"/>
      <c r="K489" s="944"/>
      <c r="L489" s="944"/>
      <c r="M489" s="944"/>
      <c r="N489" s="944"/>
      <c r="O489" s="944"/>
      <c r="P489" s="944"/>
      <c r="Q489" s="944"/>
      <c r="R489" s="944"/>
      <c r="S489" s="944"/>
      <c r="T489" s="944"/>
      <c r="U489" s="944"/>
      <c r="V489" s="944"/>
      <c r="W489" s="944"/>
    </row>
    <row r="490" spans="1:23" s="501" customFormat="1" ht="14.25" customHeight="1">
      <c r="A490" s="948"/>
      <c r="B490" s="948"/>
      <c r="C490" s="948"/>
      <c r="D490" s="948"/>
      <c r="E490" s="948"/>
      <c r="F490" s="948"/>
      <c r="G490" s="948"/>
      <c r="H490" s="488" t="s">
        <v>731</v>
      </c>
      <c r="I490" s="488" t="s">
        <v>731</v>
      </c>
      <c r="J490" s="944"/>
      <c r="K490" s="944"/>
      <c r="L490" s="944"/>
      <c r="M490" s="944"/>
      <c r="N490" s="944"/>
      <c r="O490" s="944"/>
      <c r="P490" s="944"/>
      <c r="Q490" s="944"/>
      <c r="R490" s="944"/>
      <c r="S490" s="944"/>
      <c r="T490" s="944"/>
      <c r="U490" s="944"/>
      <c r="V490" s="944"/>
      <c r="W490" s="944"/>
    </row>
    <row r="491" spans="1:23" s="501" customFormat="1" ht="14.25" customHeight="1">
      <c r="A491" s="948"/>
      <c r="B491" s="948"/>
      <c r="C491" s="948"/>
      <c r="D491" s="948"/>
      <c r="E491" s="948"/>
      <c r="F491" s="948"/>
      <c r="G491" s="948"/>
      <c r="H491" s="488" t="s">
        <v>731</v>
      </c>
      <c r="I491" s="488" t="s">
        <v>731</v>
      </c>
      <c r="J491" s="944"/>
      <c r="K491" s="944"/>
      <c r="L491" s="944"/>
      <c r="M491" s="944"/>
      <c r="N491" s="944"/>
      <c r="O491" s="944"/>
      <c r="P491" s="944"/>
      <c r="Q491" s="944"/>
      <c r="R491" s="944"/>
      <c r="S491" s="944"/>
      <c r="T491" s="944"/>
      <c r="U491" s="944"/>
      <c r="V491" s="944"/>
      <c r="W491" s="944"/>
    </row>
    <row r="492" spans="1:23" s="501" customFormat="1" ht="14.25" customHeight="1">
      <c r="A492" s="948"/>
      <c r="B492" s="948"/>
      <c r="C492" s="948"/>
      <c r="D492" s="948"/>
      <c r="E492" s="948"/>
      <c r="F492" s="948"/>
      <c r="G492" s="948"/>
      <c r="H492" s="488" t="s">
        <v>731</v>
      </c>
      <c r="I492" s="488" t="s">
        <v>731</v>
      </c>
      <c r="J492" s="944"/>
      <c r="K492" s="944"/>
      <c r="L492" s="944"/>
      <c r="M492" s="944"/>
      <c r="N492" s="944"/>
      <c r="O492" s="944"/>
      <c r="P492" s="944"/>
      <c r="Q492" s="944"/>
      <c r="R492" s="944"/>
      <c r="S492" s="944"/>
      <c r="T492" s="944"/>
      <c r="U492" s="944"/>
      <c r="V492" s="944"/>
      <c r="W492" s="944"/>
    </row>
    <row r="493" spans="1:23" s="503" customFormat="1" ht="19.5" customHeight="1">
      <c r="A493" s="945" t="s">
        <v>550</v>
      </c>
      <c r="B493" s="945"/>
      <c r="C493" s="945"/>
      <c r="D493" s="945"/>
      <c r="E493" s="945"/>
      <c r="F493" s="945"/>
      <c r="G493" s="945"/>
      <c r="H493" s="502">
        <f t="shared" ref="H493:I497" si="5">H335+H297</f>
        <v>1521937476</v>
      </c>
      <c r="I493" s="502">
        <f t="shared" si="5"/>
        <v>847976138</v>
      </c>
      <c r="J493" s="943">
        <f t="shared" ref="J493:W493" si="6">J488+J335+J297</f>
        <v>557029740</v>
      </c>
      <c r="K493" s="943">
        <f t="shared" si="6"/>
        <v>423290499</v>
      </c>
      <c r="L493" s="943">
        <f t="shared" si="6"/>
        <v>122969092</v>
      </c>
      <c r="M493" s="943">
        <f t="shared" si="6"/>
        <v>300321407</v>
      </c>
      <c r="N493" s="943">
        <f t="shared" si="6"/>
        <v>133739241</v>
      </c>
      <c r="O493" s="943">
        <f t="shared" si="6"/>
        <v>71747403</v>
      </c>
      <c r="P493" s="943">
        <f t="shared" si="6"/>
        <v>20051308</v>
      </c>
      <c r="Q493" s="943">
        <f t="shared" si="6"/>
        <v>51696095</v>
      </c>
      <c r="R493" s="943">
        <f t="shared" si="6"/>
        <v>55764385</v>
      </c>
      <c r="S493" s="943">
        <f t="shared" si="6"/>
        <v>10943515</v>
      </c>
      <c r="T493" s="943">
        <f t="shared" si="6"/>
        <v>44820870</v>
      </c>
      <c r="U493" s="943">
        <f t="shared" si="6"/>
        <v>6227453</v>
      </c>
      <c r="V493" s="943">
        <f t="shared" si="6"/>
        <v>959431</v>
      </c>
      <c r="W493" s="943">
        <f t="shared" si="6"/>
        <v>5268022</v>
      </c>
    </row>
    <row r="494" spans="1:23" s="504" customFormat="1" ht="19.5" customHeight="1">
      <c r="A494" s="945"/>
      <c r="B494" s="945"/>
      <c r="C494" s="945"/>
      <c r="D494" s="945"/>
      <c r="E494" s="945"/>
      <c r="F494" s="945"/>
      <c r="G494" s="945"/>
      <c r="H494" s="502">
        <f t="shared" si="5"/>
        <v>1276382977</v>
      </c>
      <c r="I494" s="502">
        <f t="shared" si="5"/>
        <v>711176355</v>
      </c>
      <c r="J494" s="943"/>
      <c r="K494" s="943"/>
      <c r="L494" s="943"/>
      <c r="M494" s="943"/>
      <c r="N494" s="943"/>
      <c r="O494" s="943"/>
      <c r="P494" s="943"/>
      <c r="Q494" s="943"/>
      <c r="R494" s="943"/>
      <c r="S494" s="943"/>
      <c r="T494" s="943"/>
      <c r="U494" s="943"/>
      <c r="V494" s="943"/>
      <c r="W494" s="943"/>
    </row>
    <row r="495" spans="1:23" s="504" customFormat="1" ht="19.5" customHeight="1">
      <c r="A495" s="945"/>
      <c r="B495" s="945"/>
      <c r="C495" s="945"/>
      <c r="D495" s="945"/>
      <c r="E495" s="945"/>
      <c r="F495" s="945"/>
      <c r="G495" s="945"/>
      <c r="H495" s="502">
        <f t="shared" si="5"/>
        <v>54695501</v>
      </c>
      <c r="I495" s="502">
        <f t="shared" si="5"/>
        <v>25179679</v>
      </c>
      <c r="J495" s="943"/>
      <c r="K495" s="943"/>
      <c r="L495" s="943"/>
      <c r="M495" s="943"/>
      <c r="N495" s="943"/>
      <c r="O495" s="943"/>
      <c r="P495" s="943"/>
      <c r="Q495" s="943"/>
      <c r="R495" s="943"/>
      <c r="S495" s="943"/>
      <c r="T495" s="943"/>
      <c r="U495" s="943"/>
      <c r="V495" s="943"/>
      <c r="W495" s="943"/>
    </row>
    <row r="496" spans="1:23" s="504" customFormat="1" ht="19.5" customHeight="1">
      <c r="A496" s="945"/>
      <c r="B496" s="945"/>
      <c r="C496" s="945"/>
      <c r="D496" s="945"/>
      <c r="E496" s="945"/>
      <c r="F496" s="945"/>
      <c r="G496" s="945"/>
      <c r="H496" s="502">
        <f t="shared" si="5"/>
        <v>170360842</v>
      </c>
      <c r="I496" s="502">
        <f t="shared" si="5"/>
        <v>97575461</v>
      </c>
      <c r="J496" s="943"/>
      <c r="K496" s="943"/>
      <c r="L496" s="943"/>
      <c r="M496" s="943"/>
      <c r="N496" s="943"/>
      <c r="O496" s="943"/>
      <c r="P496" s="943"/>
      <c r="Q496" s="943"/>
      <c r="R496" s="943"/>
      <c r="S496" s="943"/>
      <c r="T496" s="943"/>
      <c r="U496" s="943"/>
      <c r="V496" s="943"/>
      <c r="W496" s="943"/>
    </row>
    <row r="497" spans="1:23" s="504" customFormat="1" ht="19.5" customHeight="1">
      <c r="A497" s="945"/>
      <c r="B497" s="945"/>
      <c r="C497" s="945"/>
      <c r="D497" s="945"/>
      <c r="E497" s="945"/>
      <c r="F497" s="945"/>
      <c r="G497" s="945"/>
      <c r="H497" s="502">
        <f t="shared" si="5"/>
        <v>20498156</v>
      </c>
      <c r="I497" s="502">
        <f t="shared" si="5"/>
        <v>14044643</v>
      </c>
      <c r="J497" s="943"/>
      <c r="K497" s="943"/>
      <c r="L497" s="943"/>
      <c r="M497" s="943"/>
      <c r="N497" s="943"/>
      <c r="O497" s="943"/>
      <c r="P497" s="943"/>
      <c r="Q497" s="943"/>
      <c r="R497" s="943"/>
      <c r="S497" s="943"/>
      <c r="T497" s="943"/>
      <c r="U497" s="943"/>
      <c r="V497" s="943"/>
      <c r="W497" s="943"/>
    </row>
  </sheetData>
  <sheetProtection algorithmName="SHA-512" hashValue="jSz4ZaMQZ+s53Gl1zUDh+jEPMCvOzoPDq7HRptbXgY9RJ7YOMJwpf0hXO2RZRPMtI5R/kTkkAburwcKA85+ZRw==" saltValue="45JVzRaqRKc81Izhpho0ow==" spinCount="100000" sheet="1" objects="1" scenarios="1"/>
  <mergeCells count="2009">
    <mergeCell ref="A5:W5"/>
    <mergeCell ref="A7:A12"/>
    <mergeCell ref="B7:B12"/>
    <mergeCell ref="C7:C12"/>
    <mergeCell ref="D7:D12"/>
    <mergeCell ref="E7:E12"/>
    <mergeCell ref="F7:F12"/>
    <mergeCell ref="G7:G12"/>
    <mergeCell ref="H7:H8"/>
    <mergeCell ref="I7:I8"/>
    <mergeCell ref="T11:T12"/>
    <mergeCell ref="U11:U12"/>
    <mergeCell ref="V11:V12"/>
    <mergeCell ref="W11:W12"/>
    <mergeCell ref="A14:W14"/>
    <mergeCell ref="A15:W15"/>
    <mergeCell ref="M11:M12"/>
    <mergeCell ref="O11:O12"/>
    <mergeCell ref="P11:P12"/>
    <mergeCell ref="Q11:Q12"/>
    <mergeCell ref="R11:R12"/>
    <mergeCell ref="S11:S12"/>
    <mergeCell ref="J7:W8"/>
    <mergeCell ref="J9:J12"/>
    <mergeCell ref="K9:M10"/>
    <mergeCell ref="N9:N12"/>
    <mergeCell ref="O9:W9"/>
    <mergeCell ref="O10:Q10"/>
    <mergeCell ref="R10:T10"/>
    <mergeCell ref="U10:W10"/>
    <mergeCell ref="K11:K12"/>
    <mergeCell ref="L11:L12"/>
    <mergeCell ref="R17:R21"/>
    <mergeCell ref="S17:S21"/>
    <mergeCell ref="T17:T21"/>
    <mergeCell ref="U17:U21"/>
    <mergeCell ref="V17:V21"/>
    <mergeCell ref="W17:W21"/>
    <mergeCell ref="L17:L21"/>
    <mergeCell ref="M17:M21"/>
    <mergeCell ref="N17:N21"/>
    <mergeCell ref="O17:O21"/>
    <mergeCell ref="P17:P21"/>
    <mergeCell ref="Q17:Q21"/>
    <mergeCell ref="A16:W16"/>
    <mergeCell ref="A17:A21"/>
    <mergeCell ref="B17:B21"/>
    <mergeCell ref="C17:C21"/>
    <mergeCell ref="D17:D21"/>
    <mergeCell ref="E17:E21"/>
    <mergeCell ref="F17:F21"/>
    <mergeCell ref="G17:G21"/>
    <mergeCell ref="J17:J21"/>
    <mergeCell ref="K17:K21"/>
    <mergeCell ref="U22:U26"/>
    <mergeCell ref="V22:V26"/>
    <mergeCell ref="W22:W26"/>
    <mergeCell ref="A27:A31"/>
    <mergeCell ref="B27:B31"/>
    <mergeCell ref="C27:C31"/>
    <mergeCell ref="D27:D31"/>
    <mergeCell ref="E27:E31"/>
    <mergeCell ref="F27:F31"/>
    <mergeCell ref="G27:G31"/>
    <mergeCell ref="O22:O26"/>
    <mergeCell ref="P22:P26"/>
    <mergeCell ref="Q22:Q26"/>
    <mergeCell ref="R22:R26"/>
    <mergeCell ref="S22:S26"/>
    <mergeCell ref="T22:T26"/>
    <mergeCell ref="G22:G26"/>
    <mergeCell ref="J22:J26"/>
    <mergeCell ref="K22:K26"/>
    <mergeCell ref="L22:L26"/>
    <mergeCell ref="M22:M26"/>
    <mergeCell ref="N22:N26"/>
    <mergeCell ref="A22:A26"/>
    <mergeCell ref="B22:B26"/>
    <mergeCell ref="C22:C26"/>
    <mergeCell ref="D22:D26"/>
    <mergeCell ref="E22:E26"/>
    <mergeCell ref="F22:F26"/>
    <mergeCell ref="O32:O36"/>
    <mergeCell ref="P32:P36"/>
    <mergeCell ref="V27:V31"/>
    <mergeCell ref="W27:W31"/>
    <mergeCell ref="A32:A36"/>
    <mergeCell ref="B32:B36"/>
    <mergeCell ref="C32:C36"/>
    <mergeCell ref="D32:D36"/>
    <mergeCell ref="E32:E36"/>
    <mergeCell ref="F32:F36"/>
    <mergeCell ref="G32:G36"/>
    <mergeCell ref="J32:J36"/>
    <mergeCell ref="P27:P31"/>
    <mergeCell ref="Q27:Q31"/>
    <mergeCell ref="R27:R31"/>
    <mergeCell ref="S27:S31"/>
    <mergeCell ref="T27:T31"/>
    <mergeCell ref="U27:U31"/>
    <mergeCell ref="J27:J31"/>
    <mergeCell ref="K27:K31"/>
    <mergeCell ref="L27:L31"/>
    <mergeCell ref="M27:M31"/>
    <mergeCell ref="N27:N31"/>
    <mergeCell ref="O27:O31"/>
    <mergeCell ref="R37:R41"/>
    <mergeCell ref="S37:S41"/>
    <mergeCell ref="T37:T41"/>
    <mergeCell ref="U37:U41"/>
    <mergeCell ref="V37:V41"/>
    <mergeCell ref="W37:W41"/>
    <mergeCell ref="L37:L41"/>
    <mergeCell ref="M37:M41"/>
    <mergeCell ref="N37:N41"/>
    <mergeCell ref="O37:O41"/>
    <mergeCell ref="P37:P41"/>
    <mergeCell ref="Q37:Q41"/>
    <mergeCell ref="W32:W36"/>
    <mergeCell ref="A37:A41"/>
    <mergeCell ref="B37:B41"/>
    <mergeCell ref="C37:C41"/>
    <mergeCell ref="D37:D41"/>
    <mergeCell ref="E37:E41"/>
    <mergeCell ref="F37:F41"/>
    <mergeCell ref="G37:G41"/>
    <mergeCell ref="J37:J41"/>
    <mergeCell ref="K37:K41"/>
    <mergeCell ref="Q32:Q36"/>
    <mergeCell ref="R32:R36"/>
    <mergeCell ref="S32:S36"/>
    <mergeCell ref="T32:T36"/>
    <mergeCell ref="U32:U36"/>
    <mergeCell ref="V32:V36"/>
    <mergeCell ref="K32:K36"/>
    <mergeCell ref="L32:L36"/>
    <mergeCell ref="M32:M36"/>
    <mergeCell ref="N32:N36"/>
    <mergeCell ref="U42:U46"/>
    <mergeCell ref="V42:V46"/>
    <mergeCell ref="W42:W46"/>
    <mergeCell ref="A47:A51"/>
    <mergeCell ref="B47:B51"/>
    <mergeCell ref="C47:C51"/>
    <mergeCell ref="D47:D51"/>
    <mergeCell ref="E47:E51"/>
    <mergeCell ref="F47:F51"/>
    <mergeCell ref="G47:G51"/>
    <mergeCell ref="O42:O46"/>
    <mergeCell ref="P42:P46"/>
    <mergeCell ref="Q42:Q46"/>
    <mergeCell ref="R42:R46"/>
    <mergeCell ref="S42:S46"/>
    <mergeCell ref="T42:T46"/>
    <mergeCell ref="G42:G46"/>
    <mergeCell ref="J42:J46"/>
    <mergeCell ref="K42:K46"/>
    <mergeCell ref="L42:L46"/>
    <mergeCell ref="M42:M46"/>
    <mergeCell ref="N42:N46"/>
    <mergeCell ref="A42:A46"/>
    <mergeCell ref="B42:B46"/>
    <mergeCell ref="C42:C46"/>
    <mergeCell ref="D42:D46"/>
    <mergeCell ref="E42:E46"/>
    <mergeCell ref="F42:F46"/>
    <mergeCell ref="O52:O56"/>
    <mergeCell ref="P52:P56"/>
    <mergeCell ref="V47:V51"/>
    <mergeCell ref="W47:W51"/>
    <mergeCell ref="A52:A56"/>
    <mergeCell ref="B52:B56"/>
    <mergeCell ref="C52:C56"/>
    <mergeCell ref="D52:D56"/>
    <mergeCell ref="E52:E56"/>
    <mergeCell ref="F52:F56"/>
    <mergeCell ref="G52:G56"/>
    <mergeCell ref="J52:J56"/>
    <mergeCell ref="P47:P51"/>
    <mergeCell ref="Q47:Q51"/>
    <mergeCell ref="R47:R51"/>
    <mergeCell ref="S47:S51"/>
    <mergeCell ref="T47:T51"/>
    <mergeCell ref="U47:U51"/>
    <mergeCell ref="J47:J51"/>
    <mergeCell ref="K47:K51"/>
    <mergeCell ref="L47:L51"/>
    <mergeCell ref="M47:M51"/>
    <mergeCell ref="N47:N51"/>
    <mergeCell ref="O47:O51"/>
    <mergeCell ref="R57:R61"/>
    <mergeCell ref="S57:S61"/>
    <mergeCell ref="T57:T61"/>
    <mergeCell ref="U57:U61"/>
    <mergeCell ref="V57:V61"/>
    <mergeCell ref="W57:W61"/>
    <mergeCell ref="L57:L61"/>
    <mergeCell ref="M57:M61"/>
    <mergeCell ref="N57:N61"/>
    <mergeCell ref="O57:O61"/>
    <mergeCell ref="P57:P61"/>
    <mergeCell ref="Q57:Q61"/>
    <mergeCell ref="W52:W56"/>
    <mergeCell ref="A57:A61"/>
    <mergeCell ref="B57:B61"/>
    <mergeCell ref="C57:C61"/>
    <mergeCell ref="D57:D61"/>
    <mergeCell ref="E57:E61"/>
    <mergeCell ref="F57:F61"/>
    <mergeCell ref="G57:G61"/>
    <mergeCell ref="J57:J61"/>
    <mergeCell ref="K57:K61"/>
    <mergeCell ref="Q52:Q56"/>
    <mergeCell ref="R52:R56"/>
    <mergeCell ref="S52:S56"/>
    <mergeCell ref="T52:T56"/>
    <mergeCell ref="U52:U56"/>
    <mergeCell ref="V52:V56"/>
    <mergeCell ref="K52:K56"/>
    <mergeCell ref="L52:L56"/>
    <mergeCell ref="M52:M56"/>
    <mergeCell ref="N52:N56"/>
    <mergeCell ref="U62:U66"/>
    <mergeCell ref="V62:V66"/>
    <mergeCell ref="W62:W66"/>
    <mergeCell ref="A67:A71"/>
    <mergeCell ref="B67:B71"/>
    <mergeCell ref="C67:C71"/>
    <mergeCell ref="D67:D71"/>
    <mergeCell ref="E67:E71"/>
    <mergeCell ref="F67:F71"/>
    <mergeCell ref="G67:G71"/>
    <mergeCell ref="O62:O66"/>
    <mergeCell ref="P62:P66"/>
    <mergeCell ref="Q62:Q66"/>
    <mergeCell ref="R62:R66"/>
    <mergeCell ref="S62:S66"/>
    <mergeCell ref="T62:T66"/>
    <mergeCell ref="G62:G66"/>
    <mergeCell ref="J62:J66"/>
    <mergeCell ref="K62:K66"/>
    <mergeCell ref="L62:L66"/>
    <mergeCell ref="M62:M66"/>
    <mergeCell ref="N62:N66"/>
    <mergeCell ref="A62:A66"/>
    <mergeCell ref="B62:B66"/>
    <mergeCell ref="C62:C66"/>
    <mergeCell ref="D62:D66"/>
    <mergeCell ref="E62:E66"/>
    <mergeCell ref="F62:F66"/>
    <mergeCell ref="O72:O76"/>
    <mergeCell ref="P72:P76"/>
    <mergeCell ref="V67:V71"/>
    <mergeCell ref="W67:W71"/>
    <mergeCell ref="A72:A76"/>
    <mergeCell ref="B72:B76"/>
    <mergeCell ref="C72:C76"/>
    <mergeCell ref="D72:D76"/>
    <mergeCell ref="E72:E76"/>
    <mergeCell ref="F72:F76"/>
    <mergeCell ref="G72:G76"/>
    <mergeCell ref="J72:J76"/>
    <mergeCell ref="P67:P71"/>
    <mergeCell ref="Q67:Q71"/>
    <mergeCell ref="R67:R71"/>
    <mergeCell ref="S67:S71"/>
    <mergeCell ref="T67:T71"/>
    <mergeCell ref="U67:U71"/>
    <mergeCell ref="J67:J71"/>
    <mergeCell ref="K67:K71"/>
    <mergeCell ref="L67:L71"/>
    <mergeCell ref="M67:M71"/>
    <mergeCell ref="N67:N71"/>
    <mergeCell ref="O67:O71"/>
    <mergeCell ref="R77:R81"/>
    <mergeCell ref="S77:S81"/>
    <mergeCell ref="T77:T81"/>
    <mergeCell ref="U77:U81"/>
    <mergeCell ref="V77:V81"/>
    <mergeCell ref="W77:W81"/>
    <mergeCell ref="L77:L81"/>
    <mergeCell ref="M77:M81"/>
    <mergeCell ref="N77:N81"/>
    <mergeCell ref="O77:O81"/>
    <mergeCell ref="P77:P81"/>
    <mergeCell ref="Q77:Q81"/>
    <mergeCell ref="W72:W76"/>
    <mergeCell ref="A77:A81"/>
    <mergeCell ref="B77:B81"/>
    <mergeCell ref="C77:C81"/>
    <mergeCell ref="D77:D81"/>
    <mergeCell ref="E77:E81"/>
    <mergeCell ref="F77:F81"/>
    <mergeCell ref="G77:G81"/>
    <mergeCell ref="J77:J81"/>
    <mergeCell ref="K77:K81"/>
    <mergeCell ref="Q72:Q76"/>
    <mergeCell ref="R72:R76"/>
    <mergeCell ref="S72:S76"/>
    <mergeCell ref="T72:T76"/>
    <mergeCell ref="U72:U76"/>
    <mergeCell ref="V72:V76"/>
    <mergeCell ref="K72:K76"/>
    <mergeCell ref="L72:L76"/>
    <mergeCell ref="M72:M76"/>
    <mergeCell ref="N72:N76"/>
    <mergeCell ref="U82:U86"/>
    <mergeCell ref="V82:V86"/>
    <mergeCell ref="W82:W86"/>
    <mergeCell ref="A87:A91"/>
    <mergeCell ref="B87:B91"/>
    <mergeCell ref="C87:C91"/>
    <mergeCell ref="D87:D91"/>
    <mergeCell ref="E87:E91"/>
    <mergeCell ref="F87:F91"/>
    <mergeCell ref="G87:G91"/>
    <mergeCell ref="O82:O86"/>
    <mergeCell ref="P82:P86"/>
    <mergeCell ref="Q82:Q86"/>
    <mergeCell ref="R82:R86"/>
    <mergeCell ref="S82:S86"/>
    <mergeCell ref="T82:T86"/>
    <mergeCell ref="G82:G86"/>
    <mergeCell ref="J82:J86"/>
    <mergeCell ref="K82:K86"/>
    <mergeCell ref="L82:L86"/>
    <mergeCell ref="M82:M86"/>
    <mergeCell ref="N82:N86"/>
    <mergeCell ref="A82:A86"/>
    <mergeCell ref="B82:B86"/>
    <mergeCell ref="C82:C86"/>
    <mergeCell ref="D82:D86"/>
    <mergeCell ref="E82:E86"/>
    <mergeCell ref="F82:F86"/>
    <mergeCell ref="O92:O96"/>
    <mergeCell ref="P92:P96"/>
    <mergeCell ref="V87:V91"/>
    <mergeCell ref="W87:W91"/>
    <mergeCell ref="A92:A96"/>
    <mergeCell ref="B92:B96"/>
    <mergeCell ref="C92:C96"/>
    <mergeCell ref="D92:D96"/>
    <mergeCell ref="E92:E96"/>
    <mergeCell ref="F92:F96"/>
    <mergeCell ref="G92:G96"/>
    <mergeCell ref="J92:J96"/>
    <mergeCell ref="P87:P91"/>
    <mergeCell ref="Q87:Q91"/>
    <mergeCell ref="R87:R91"/>
    <mergeCell ref="S87:S91"/>
    <mergeCell ref="T87:T91"/>
    <mergeCell ref="U87:U91"/>
    <mergeCell ref="J87:J91"/>
    <mergeCell ref="K87:K91"/>
    <mergeCell ref="L87:L91"/>
    <mergeCell ref="M87:M91"/>
    <mergeCell ref="N87:N91"/>
    <mergeCell ref="O87:O91"/>
    <mergeCell ref="R97:R101"/>
    <mergeCell ref="S97:S101"/>
    <mergeCell ref="T97:T101"/>
    <mergeCell ref="U97:U101"/>
    <mergeCell ref="V97:V101"/>
    <mergeCell ref="W97:W101"/>
    <mergeCell ref="L97:L101"/>
    <mergeCell ref="M97:M101"/>
    <mergeCell ref="N97:N101"/>
    <mergeCell ref="O97:O101"/>
    <mergeCell ref="P97:P101"/>
    <mergeCell ref="Q97:Q101"/>
    <mergeCell ref="W92:W96"/>
    <mergeCell ref="A97:A101"/>
    <mergeCell ref="B97:B101"/>
    <mergeCell ref="C97:C101"/>
    <mergeCell ref="D97:D101"/>
    <mergeCell ref="E97:E101"/>
    <mergeCell ref="F97:F101"/>
    <mergeCell ref="G97:G101"/>
    <mergeCell ref="J97:J101"/>
    <mergeCell ref="K97:K101"/>
    <mergeCell ref="Q92:Q96"/>
    <mergeCell ref="R92:R96"/>
    <mergeCell ref="S92:S96"/>
    <mergeCell ref="T92:T96"/>
    <mergeCell ref="U92:U96"/>
    <mergeCell ref="V92:V96"/>
    <mergeCell ref="K92:K96"/>
    <mergeCell ref="L92:L96"/>
    <mergeCell ref="M92:M96"/>
    <mergeCell ref="N92:N96"/>
    <mergeCell ref="U102:U106"/>
    <mergeCell ref="V102:V106"/>
    <mergeCell ref="W102:W106"/>
    <mergeCell ref="A107:A111"/>
    <mergeCell ref="B107:B111"/>
    <mergeCell ref="C107:C111"/>
    <mergeCell ref="D107:D111"/>
    <mergeCell ref="E107:E111"/>
    <mergeCell ref="F107:F111"/>
    <mergeCell ref="G107:G111"/>
    <mergeCell ref="O102:O106"/>
    <mergeCell ref="P102:P106"/>
    <mergeCell ref="Q102:Q106"/>
    <mergeCell ref="R102:R106"/>
    <mergeCell ref="S102:S106"/>
    <mergeCell ref="T102:T106"/>
    <mergeCell ref="G102:G106"/>
    <mergeCell ref="J102:J106"/>
    <mergeCell ref="K102:K106"/>
    <mergeCell ref="L102:L106"/>
    <mergeCell ref="M102:M106"/>
    <mergeCell ref="N102:N106"/>
    <mergeCell ref="A102:A106"/>
    <mergeCell ref="B102:B106"/>
    <mergeCell ref="C102:C106"/>
    <mergeCell ref="D102:D106"/>
    <mergeCell ref="E102:E106"/>
    <mergeCell ref="F102:F106"/>
    <mergeCell ref="O112:O116"/>
    <mergeCell ref="P112:P116"/>
    <mergeCell ref="V107:V111"/>
    <mergeCell ref="W107:W111"/>
    <mergeCell ref="A112:A116"/>
    <mergeCell ref="B112:B116"/>
    <mergeCell ref="C112:C116"/>
    <mergeCell ref="D112:D116"/>
    <mergeCell ref="E112:E116"/>
    <mergeCell ref="F112:F116"/>
    <mergeCell ref="G112:G116"/>
    <mergeCell ref="J112:J116"/>
    <mergeCell ref="P107:P111"/>
    <mergeCell ref="Q107:Q111"/>
    <mergeCell ref="R107:R111"/>
    <mergeCell ref="S107:S111"/>
    <mergeCell ref="T107:T111"/>
    <mergeCell ref="U107:U111"/>
    <mergeCell ref="J107:J111"/>
    <mergeCell ref="K107:K111"/>
    <mergeCell ref="L107:L111"/>
    <mergeCell ref="M107:M111"/>
    <mergeCell ref="N107:N111"/>
    <mergeCell ref="O107:O111"/>
    <mergeCell ref="R117:R121"/>
    <mergeCell ref="S117:S121"/>
    <mergeCell ref="T117:T121"/>
    <mergeCell ref="U117:U121"/>
    <mergeCell ref="V117:V121"/>
    <mergeCell ref="W117:W121"/>
    <mergeCell ref="L117:L121"/>
    <mergeCell ref="M117:M121"/>
    <mergeCell ref="N117:N121"/>
    <mergeCell ref="O117:O121"/>
    <mergeCell ref="P117:P121"/>
    <mergeCell ref="Q117:Q121"/>
    <mergeCell ref="W112:W116"/>
    <mergeCell ref="A117:A121"/>
    <mergeCell ref="B117:B121"/>
    <mergeCell ref="C117:C121"/>
    <mergeCell ref="D117:D121"/>
    <mergeCell ref="E117:E121"/>
    <mergeCell ref="F117:F121"/>
    <mergeCell ref="G117:G121"/>
    <mergeCell ref="J117:J121"/>
    <mergeCell ref="K117:K121"/>
    <mergeCell ref="Q112:Q116"/>
    <mergeCell ref="R112:R116"/>
    <mergeCell ref="S112:S116"/>
    <mergeCell ref="T112:T116"/>
    <mergeCell ref="U112:U116"/>
    <mergeCell ref="V112:V116"/>
    <mergeCell ref="K112:K116"/>
    <mergeCell ref="L112:L116"/>
    <mergeCell ref="M112:M116"/>
    <mergeCell ref="N112:N116"/>
    <mergeCell ref="U122:U126"/>
    <mergeCell ref="V122:V126"/>
    <mergeCell ref="W122:W126"/>
    <mergeCell ref="A127:A131"/>
    <mergeCell ref="B127:B131"/>
    <mergeCell ref="C127:C131"/>
    <mergeCell ref="D127:D131"/>
    <mergeCell ref="E127:E131"/>
    <mergeCell ref="F127:F131"/>
    <mergeCell ref="G127:G131"/>
    <mergeCell ref="O122:O126"/>
    <mergeCell ref="P122:P126"/>
    <mergeCell ref="Q122:Q126"/>
    <mergeCell ref="R122:R126"/>
    <mergeCell ref="S122:S126"/>
    <mergeCell ref="T122:T126"/>
    <mergeCell ref="G122:G126"/>
    <mergeCell ref="J122:J126"/>
    <mergeCell ref="K122:K126"/>
    <mergeCell ref="L122:L126"/>
    <mergeCell ref="M122:M126"/>
    <mergeCell ref="N122:N126"/>
    <mergeCell ref="A122:A126"/>
    <mergeCell ref="B122:B126"/>
    <mergeCell ref="C122:C126"/>
    <mergeCell ref="D122:D126"/>
    <mergeCell ref="E122:E126"/>
    <mergeCell ref="F122:F126"/>
    <mergeCell ref="O132:O136"/>
    <mergeCell ref="P132:P136"/>
    <mergeCell ref="V127:V131"/>
    <mergeCell ref="W127:W131"/>
    <mergeCell ref="A132:A136"/>
    <mergeCell ref="B132:B136"/>
    <mergeCell ref="C132:C136"/>
    <mergeCell ref="D132:D136"/>
    <mergeCell ref="E132:E136"/>
    <mergeCell ref="F132:F136"/>
    <mergeCell ref="G132:G136"/>
    <mergeCell ref="J132:J136"/>
    <mergeCell ref="P127:P131"/>
    <mergeCell ref="Q127:Q131"/>
    <mergeCell ref="R127:R131"/>
    <mergeCell ref="S127:S131"/>
    <mergeCell ref="T127:T131"/>
    <mergeCell ref="U127:U131"/>
    <mergeCell ref="J127:J131"/>
    <mergeCell ref="K127:K131"/>
    <mergeCell ref="L127:L131"/>
    <mergeCell ref="M127:M131"/>
    <mergeCell ref="N127:N131"/>
    <mergeCell ref="O127:O131"/>
    <mergeCell ref="R137:R141"/>
    <mergeCell ref="S137:S141"/>
    <mergeCell ref="T137:T141"/>
    <mergeCell ref="U137:U141"/>
    <mergeCell ref="V137:V141"/>
    <mergeCell ref="W137:W141"/>
    <mergeCell ref="L137:L141"/>
    <mergeCell ref="M137:M141"/>
    <mergeCell ref="N137:N141"/>
    <mergeCell ref="O137:O141"/>
    <mergeCell ref="P137:P141"/>
    <mergeCell ref="Q137:Q141"/>
    <mergeCell ref="W132:W136"/>
    <mergeCell ref="A137:A141"/>
    <mergeCell ref="B137:B141"/>
    <mergeCell ref="C137:C141"/>
    <mergeCell ref="D137:D141"/>
    <mergeCell ref="E137:E141"/>
    <mergeCell ref="F137:F141"/>
    <mergeCell ref="G137:G141"/>
    <mergeCell ref="J137:J141"/>
    <mergeCell ref="K137:K141"/>
    <mergeCell ref="Q132:Q136"/>
    <mergeCell ref="R132:R136"/>
    <mergeCell ref="S132:S136"/>
    <mergeCell ref="T132:T136"/>
    <mergeCell ref="U132:U136"/>
    <mergeCell ref="V132:V136"/>
    <mergeCell ref="K132:K136"/>
    <mergeCell ref="L132:L136"/>
    <mergeCell ref="M132:M136"/>
    <mergeCell ref="N132:N136"/>
    <mergeCell ref="U142:U146"/>
    <mergeCell ref="V142:V146"/>
    <mergeCell ref="W142:W146"/>
    <mergeCell ref="A147:A151"/>
    <mergeCell ref="B147:B151"/>
    <mergeCell ref="C147:C151"/>
    <mergeCell ref="D147:D151"/>
    <mergeCell ref="E147:E151"/>
    <mergeCell ref="F147:F151"/>
    <mergeCell ref="G147:G151"/>
    <mergeCell ref="O142:O146"/>
    <mergeCell ref="P142:P146"/>
    <mergeCell ref="Q142:Q146"/>
    <mergeCell ref="R142:R146"/>
    <mergeCell ref="S142:S146"/>
    <mergeCell ref="T142:T146"/>
    <mergeCell ref="G142:G146"/>
    <mergeCell ref="J142:J146"/>
    <mergeCell ref="K142:K146"/>
    <mergeCell ref="L142:L146"/>
    <mergeCell ref="M142:M146"/>
    <mergeCell ref="N142:N146"/>
    <mergeCell ref="A142:A146"/>
    <mergeCell ref="B142:B146"/>
    <mergeCell ref="C142:C146"/>
    <mergeCell ref="D142:D146"/>
    <mergeCell ref="E142:E146"/>
    <mergeCell ref="F142:F146"/>
    <mergeCell ref="O152:O156"/>
    <mergeCell ref="P152:P156"/>
    <mergeCell ref="V147:V151"/>
    <mergeCell ref="W147:W151"/>
    <mergeCell ref="A152:A156"/>
    <mergeCell ref="B152:B156"/>
    <mergeCell ref="C152:C156"/>
    <mergeCell ref="D152:D156"/>
    <mergeCell ref="E152:E156"/>
    <mergeCell ref="F152:F156"/>
    <mergeCell ref="G152:G156"/>
    <mergeCell ref="J152:J156"/>
    <mergeCell ref="P147:P151"/>
    <mergeCell ref="Q147:Q151"/>
    <mergeCell ref="R147:R151"/>
    <mergeCell ref="S147:S151"/>
    <mergeCell ref="T147:T151"/>
    <mergeCell ref="U147:U151"/>
    <mergeCell ref="J147:J151"/>
    <mergeCell ref="K147:K151"/>
    <mergeCell ref="L147:L151"/>
    <mergeCell ref="M147:M151"/>
    <mergeCell ref="N147:N151"/>
    <mergeCell ref="O147:O151"/>
    <mergeCell ref="R157:R161"/>
    <mergeCell ref="S157:S161"/>
    <mergeCell ref="T157:T161"/>
    <mergeCell ref="U157:U161"/>
    <mergeCell ref="V157:V161"/>
    <mergeCell ref="W157:W161"/>
    <mergeCell ref="L157:L161"/>
    <mergeCell ref="M157:M161"/>
    <mergeCell ref="N157:N161"/>
    <mergeCell ref="O157:O161"/>
    <mergeCell ref="P157:P161"/>
    <mergeCell ref="Q157:Q161"/>
    <mergeCell ref="W152:W156"/>
    <mergeCell ref="A157:A161"/>
    <mergeCell ref="B157:B161"/>
    <mergeCell ref="C157:C161"/>
    <mergeCell ref="D157:D161"/>
    <mergeCell ref="E157:E161"/>
    <mergeCell ref="F157:F161"/>
    <mergeCell ref="G157:G161"/>
    <mergeCell ref="J157:J161"/>
    <mergeCell ref="K157:K161"/>
    <mergeCell ref="Q152:Q156"/>
    <mergeCell ref="R152:R156"/>
    <mergeCell ref="S152:S156"/>
    <mergeCell ref="T152:T156"/>
    <mergeCell ref="U152:U156"/>
    <mergeCell ref="V152:V156"/>
    <mergeCell ref="K152:K156"/>
    <mergeCell ref="L152:L156"/>
    <mergeCell ref="M152:M156"/>
    <mergeCell ref="N152:N156"/>
    <mergeCell ref="U162:U166"/>
    <mergeCell ref="V162:V166"/>
    <mergeCell ref="W162:W166"/>
    <mergeCell ref="A167:A171"/>
    <mergeCell ref="B167:B171"/>
    <mergeCell ref="C167:C171"/>
    <mergeCell ref="D167:D171"/>
    <mergeCell ref="E167:E171"/>
    <mergeCell ref="F167:F171"/>
    <mergeCell ref="G167:G171"/>
    <mergeCell ref="O162:O166"/>
    <mergeCell ref="P162:P166"/>
    <mergeCell ref="Q162:Q166"/>
    <mergeCell ref="R162:R166"/>
    <mergeCell ref="S162:S166"/>
    <mergeCell ref="T162:T166"/>
    <mergeCell ref="G162:G166"/>
    <mergeCell ref="J162:J166"/>
    <mergeCell ref="K162:K166"/>
    <mergeCell ref="L162:L166"/>
    <mergeCell ref="M162:M166"/>
    <mergeCell ref="N162:N166"/>
    <mergeCell ref="A162:A166"/>
    <mergeCell ref="B162:B166"/>
    <mergeCell ref="C162:C166"/>
    <mergeCell ref="D162:D166"/>
    <mergeCell ref="E162:E166"/>
    <mergeCell ref="F162:F166"/>
    <mergeCell ref="O172:O176"/>
    <mergeCell ref="P172:P176"/>
    <mergeCell ref="V167:V171"/>
    <mergeCell ref="W167:W171"/>
    <mergeCell ref="A172:A176"/>
    <mergeCell ref="B172:B176"/>
    <mergeCell ref="C172:C176"/>
    <mergeCell ref="D172:D176"/>
    <mergeCell ref="E172:E176"/>
    <mergeCell ref="F172:F176"/>
    <mergeCell ref="G172:G176"/>
    <mergeCell ref="J172:J176"/>
    <mergeCell ref="P167:P171"/>
    <mergeCell ref="Q167:Q171"/>
    <mergeCell ref="R167:R171"/>
    <mergeCell ref="S167:S171"/>
    <mergeCell ref="T167:T171"/>
    <mergeCell ref="U167:U171"/>
    <mergeCell ref="J167:J171"/>
    <mergeCell ref="K167:K171"/>
    <mergeCell ref="L167:L171"/>
    <mergeCell ref="M167:M171"/>
    <mergeCell ref="N167:N171"/>
    <mergeCell ref="O167:O171"/>
    <mergeCell ref="R177:R181"/>
    <mergeCell ref="S177:S181"/>
    <mergeCell ref="T177:T181"/>
    <mergeCell ref="U177:U181"/>
    <mergeCell ref="V177:V181"/>
    <mergeCell ref="W177:W181"/>
    <mergeCell ref="L177:L181"/>
    <mergeCell ref="M177:M181"/>
    <mergeCell ref="N177:N181"/>
    <mergeCell ref="O177:O181"/>
    <mergeCell ref="P177:P181"/>
    <mergeCell ref="Q177:Q181"/>
    <mergeCell ref="W172:W176"/>
    <mergeCell ref="A177:A181"/>
    <mergeCell ref="B177:B181"/>
    <mergeCell ref="C177:C181"/>
    <mergeCell ref="D177:D181"/>
    <mergeCell ref="E177:E181"/>
    <mergeCell ref="F177:F181"/>
    <mergeCell ref="G177:G181"/>
    <mergeCell ref="J177:J181"/>
    <mergeCell ref="K177:K181"/>
    <mergeCell ref="Q172:Q176"/>
    <mergeCell ref="R172:R176"/>
    <mergeCell ref="S172:S176"/>
    <mergeCell ref="T172:T176"/>
    <mergeCell ref="U172:U176"/>
    <mergeCell ref="V172:V176"/>
    <mergeCell ref="K172:K176"/>
    <mergeCell ref="L172:L176"/>
    <mergeCell ref="M172:M176"/>
    <mergeCell ref="N172:N176"/>
    <mergeCell ref="U182:U186"/>
    <mergeCell ref="V182:V186"/>
    <mergeCell ref="W182:W186"/>
    <mergeCell ref="A187:A191"/>
    <mergeCell ref="B187:B191"/>
    <mergeCell ref="C187:C191"/>
    <mergeCell ref="D187:D191"/>
    <mergeCell ref="E187:E191"/>
    <mergeCell ref="F187:F191"/>
    <mergeCell ref="G187:G191"/>
    <mergeCell ref="O182:O186"/>
    <mergeCell ref="P182:P186"/>
    <mergeCell ref="Q182:Q186"/>
    <mergeCell ref="R182:R186"/>
    <mergeCell ref="S182:S186"/>
    <mergeCell ref="T182:T186"/>
    <mergeCell ref="G182:G186"/>
    <mergeCell ref="J182:J186"/>
    <mergeCell ref="K182:K186"/>
    <mergeCell ref="L182:L186"/>
    <mergeCell ref="M182:M186"/>
    <mergeCell ref="N182:N186"/>
    <mergeCell ref="A182:A186"/>
    <mergeCell ref="B182:B186"/>
    <mergeCell ref="C182:C186"/>
    <mergeCell ref="D182:D186"/>
    <mergeCell ref="E182:E186"/>
    <mergeCell ref="F182:F186"/>
    <mergeCell ref="O192:O196"/>
    <mergeCell ref="P192:P196"/>
    <mergeCell ref="V187:V191"/>
    <mergeCell ref="W187:W191"/>
    <mergeCell ref="A192:A196"/>
    <mergeCell ref="B192:B196"/>
    <mergeCell ref="C192:C196"/>
    <mergeCell ref="D192:D196"/>
    <mergeCell ref="E192:E196"/>
    <mergeCell ref="F192:F196"/>
    <mergeCell ref="G192:G196"/>
    <mergeCell ref="J192:J196"/>
    <mergeCell ref="P187:P191"/>
    <mergeCell ref="Q187:Q191"/>
    <mergeCell ref="R187:R191"/>
    <mergeCell ref="S187:S191"/>
    <mergeCell ref="T187:T191"/>
    <mergeCell ref="U187:U191"/>
    <mergeCell ref="J187:J191"/>
    <mergeCell ref="K187:K191"/>
    <mergeCell ref="L187:L191"/>
    <mergeCell ref="M187:M191"/>
    <mergeCell ref="N187:N191"/>
    <mergeCell ref="O187:O191"/>
    <mergeCell ref="R197:R201"/>
    <mergeCell ref="S197:S201"/>
    <mergeCell ref="T197:T201"/>
    <mergeCell ref="U197:U201"/>
    <mergeCell ref="V197:V201"/>
    <mergeCell ref="W197:W201"/>
    <mergeCell ref="L197:L201"/>
    <mergeCell ref="M197:M201"/>
    <mergeCell ref="N197:N201"/>
    <mergeCell ref="O197:O201"/>
    <mergeCell ref="P197:P201"/>
    <mergeCell ref="Q197:Q201"/>
    <mergeCell ref="W192:W196"/>
    <mergeCell ref="A197:A201"/>
    <mergeCell ref="B197:B201"/>
    <mergeCell ref="C197:C201"/>
    <mergeCell ref="D197:D201"/>
    <mergeCell ref="E197:E201"/>
    <mergeCell ref="F197:F201"/>
    <mergeCell ref="G197:G201"/>
    <mergeCell ref="J197:J201"/>
    <mergeCell ref="K197:K201"/>
    <mergeCell ref="Q192:Q196"/>
    <mergeCell ref="R192:R196"/>
    <mergeCell ref="S192:S196"/>
    <mergeCell ref="T192:T196"/>
    <mergeCell ref="U192:U196"/>
    <mergeCell ref="V192:V196"/>
    <mergeCell ref="K192:K196"/>
    <mergeCell ref="L192:L196"/>
    <mergeCell ref="M192:M196"/>
    <mergeCell ref="N192:N196"/>
    <mergeCell ref="U202:U206"/>
    <mergeCell ref="V202:V206"/>
    <mergeCell ref="W202:W206"/>
    <mergeCell ref="A207:A211"/>
    <mergeCell ref="B207:B211"/>
    <mergeCell ref="C207:C211"/>
    <mergeCell ref="D207:D211"/>
    <mergeCell ref="E207:E211"/>
    <mergeCell ref="F207:F211"/>
    <mergeCell ref="G207:G211"/>
    <mergeCell ref="O202:O206"/>
    <mergeCell ref="P202:P206"/>
    <mergeCell ref="Q202:Q206"/>
    <mergeCell ref="R202:R206"/>
    <mergeCell ref="S202:S206"/>
    <mergeCell ref="T202:T206"/>
    <mergeCell ref="G202:G206"/>
    <mergeCell ref="J202:J206"/>
    <mergeCell ref="K202:K206"/>
    <mergeCell ref="L202:L206"/>
    <mergeCell ref="M202:M206"/>
    <mergeCell ref="N202:N206"/>
    <mergeCell ref="A202:A206"/>
    <mergeCell ref="B202:B206"/>
    <mergeCell ref="C202:C206"/>
    <mergeCell ref="D202:D206"/>
    <mergeCell ref="E202:E206"/>
    <mergeCell ref="F202:F206"/>
    <mergeCell ref="O212:O216"/>
    <mergeCell ref="P212:P216"/>
    <mergeCell ref="V207:V211"/>
    <mergeCell ref="W207:W211"/>
    <mergeCell ref="A212:A216"/>
    <mergeCell ref="B212:B216"/>
    <mergeCell ref="C212:C216"/>
    <mergeCell ref="D212:D216"/>
    <mergeCell ref="E212:E216"/>
    <mergeCell ref="F212:F216"/>
    <mergeCell ref="G212:G216"/>
    <mergeCell ref="J212:J216"/>
    <mergeCell ref="P207:P211"/>
    <mergeCell ref="Q207:Q211"/>
    <mergeCell ref="R207:R211"/>
    <mergeCell ref="S207:S211"/>
    <mergeCell ref="T207:T211"/>
    <mergeCell ref="U207:U211"/>
    <mergeCell ref="J207:J211"/>
    <mergeCell ref="K207:K211"/>
    <mergeCell ref="L207:L211"/>
    <mergeCell ref="M207:M211"/>
    <mergeCell ref="N207:N211"/>
    <mergeCell ref="O207:O211"/>
    <mergeCell ref="R217:R221"/>
    <mergeCell ref="S217:S221"/>
    <mergeCell ref="T217:T221"/>
    <mergeCell ref="U217:U221"/>
    <mergeCell ref="V217:V221"/>
    <mergeCell ref="W217:W221"/>
    <mergeCell ref="L217:L221"/>
    <mergeCell ref="M217:M221"/>
    <mergeCell ref="N217:N221"/>
    <mergeCell ref="O217:O221"/>
    <mergeCell ref="P217:P221"/>
    <mergeCell ref="Q217:Q221"/>
    <mergeCell ref="W212:W216"/>
    <mergeCell ref="A217:A221"/>
    <mergeCell ref="B217:B221"/>
    <mergeCell ref="C217:C221"/>
    <mergeCell ref="D217:D221"/>
    <mergeCell ref="E217:E221"/>
    <mergeCell ref="F217:F221"/>
    <mergeCell ref="G217:G221"/>
    <mergeCell ref="J217:J221"/>
    <mergeCell ref="K217:K221"/>
    <mergeCell ref="Q212:Q216"/>
    <mergeCell ref="R212:R216"/>
    <mergeCell ref="S212:S216"/>
    <mergeCell ref="T212:T216"/>
    <mergeCell ref="U212:U216"/>
    <mergeCell ref="V212:V216"/>
    <mergeCell ref="K212:K216"/>
    <mergeCell ref="L212:L216"/>
    <mergeCell ref="M212:M216"/>
    <mergeCell ref="N212:N216"/>
    <mergeCell ref="U222:U226"/>
    <mergeCell ref="V222:V226"/>
    <mergeCell ref="W222:W226"/>
    <mergeCell ref="A227:A231"/>
    <mergeCell ref="B227:B231"/>
    <mergeCell ref="C227:C231"/>
    <mergeCell ref="D227:D231"/>
    <mergeCell ref="E227:E231"/>
    <mergeCell ref="F227:F231"/>
    <mergeCell ref="G227:G231"/>
    <mergeCell ref="O222:O226"/>
    <mergeCell ref="P222:P226"/>
    <mergeCell ref="Q222:Q226"/>
    <mergeCell ref="R222:R226"/>
    <mergeCell ref="S222:S226"/>
    <mergeCell ref="T222:T226"/>
    <mergeCell ref="G222:G226"/>
    <mergeCell ref="J222:J226"/>
    <mergeCell ref="K222:K226"/>
    <mergeCell ref="L222:L226"/>
    <mergeCell ref="M222:M226"/>
    <mergeCell ref="N222:N226"/>
    <mergeCell ref="A222:A226"/>
    <mergeCell ref="B222:B226"/>
    <mergeCell ref="C222:C226"/>
    <mergeCell ref="D222:D226"/>
    <mergeCell ref="E222:E226"/>
    <mergeCell ref="F222:F226"/>
    <mergeCell ref="O232:O236"/>
    <mergeCell ref="P232:P236"/>
    <mergeCell ref="V227:V231"/>
    <mergeCell ref="W227:W231"/>
    <mergeCell ref="A232:A236"/>
    <mergeCell ref="B232:B236"/>
    <mergeCell ref="C232:C236"/>
    <mergeCell ref="D232:D236"/>
    <mergeCell ref="E232:E236"/>
    <mergeCell ref="F232:F236"/>
    <mergeCell ref="G232:G236"/>
    <mergeCell ref="J232:J236"/>
    <mergeCell ref="P227:P231"/>
    <mergeCell ref="Q227:Q231"/>
    <mergeCell ref="R227:R231"/>
    <mergeCell ref="S227:S231"/>
    <mergeCell ref="T227:T231"/>
    <mergeCell ref="U227:U231"/>
    <mergeCell ref="J227:J231"/>
    <mergeCell ref="K227:K231"/>
    <mergeCell ref="L227:L231"/>
    <mergeCell ref="M227:M231"/>
    <mergeCell ref="N227:N231"/>
    <mergeCell ref="O227:O231"/>
    <mergeCell ref="R237:R241"/>
    <mergeCell ref="S237:S241"/>
    <mergeCell ref="T237:T241"/>
    <mergeCell ref="U237:U241"/>
    <mergeCell ref="V237:V241"/>
    <mergeCell ref="W237:W241"/>
    <mergeCell ref="L237:L241"/>
    <mergeCell ref="M237:M241"/>
    <mergeCell ref="N237:N241"/>
    <mergeCell ref="O237:O241"/>
    <mergeCell ref="P237:P241"/>
    <mergeCell ref="Q237:Q241"/>
    <mergeCell ref="W232:W236"/>
    <mergeCell ref="A237:A241"/>
    <mergeCell ref="B237:B241"/>
    <mergeCell ref="C237:C241"/>
    <mergeCell ref="D237:D241"/>
    <mergeCell ref="E237:E241"/>
    <mergeCell ref="F237:F241"/>
    <mergeCell ref="G237:G241"/>
    <mergeCell ref="J237:J241"/>
    <mergeCell ref="K237:K241"/>
    <mergeCell ref="Q232:Q236"/>
    <mergeCell ref="R232:R236"/>
    <mergeCell ref="S232:S236"/>
    <mergeCell ref="T232:T236"/>
    <mergeCell ref="U232:U236"/>
    <mergeCell ref="V232:V236"/>
    <mergeCell ref="K232:K236"/>
    <mergeCell ref="L232:L236"/>
    <mergeCell ref="M232:M236"/>
    <mergeCell ref="N232:N236"/>
    <mergeCell ref="U242:U246"/>
    <mergeCell ref="V242:V246"/>
    <mergeCell ref="W242:W246"/>
    <mergeCell ref="A247:A251"/>
    <mergeCell ref="B247:B251"/>
    <mergeCell ref="C247:C251"/>
    <mergeCell ref="D247:D251"/>
    <mergeCell ref="E247:E251"/>
    <mergeCell ref="F247:F251"/>
    <mergeCell ref="G247:G251"/>
    <mergeCell ref="O242:O246"/>
    <mergeCell ref="P242:P246"/>
    <mergeCell ref="Q242:Q246"/>
    <mergeCell ref="R242:R246"/>
    <mergeCell ref="S242:S246"/>
    <mergeCell ref="T242:T246"/>
    <mergeCell ref="G242:G246"/>
    <mergeCell ref="J242:J246"/>
    <mergeCell ref="K242:K246"/>
    <mergeCell ref="L242:L246"/>
    <mergeCell ref="M242:M246"/>
    <mergeCell ref="N242:N246"/>
    <mergeCell ref="A242:A246"/>
    <mergeCell ref="B242:B246"/>
    <mergeCell ref="C242:C246"/>
    <mergeCell ref="D242:D246"/>
    <mergeCell ref="E242:E246"/>
    <mergeCell ref="F242:F246"/>
    <mergeCell ref="O252:O256"/>
    <mergeCell ref="P252:P256"/>
    <mergeCell ref="V247:V251"/>
    <mergeCell ref="W247:W251"/>
    <mergeCell ref="A252:A256"/>
    <mergeCell ref="B252:B256"/>
    <mergeCell ref="C252:C256"/>
    <mergeCell ref="D252:D256"/>
    <mergeCell ref="E252:E256"/>
    <mergeCell ref="F252:F256"/>
    <mergeCell ref="G252:G256"/>
    <mergeCell ref="J252:J256"/>
    <mergeCell ref="P247:P251"/>
    <mergeCell ref="Q247:Q251"/>
    <mergeCell ref="R247:R251"/>
    <mergeCell ref="S247:S251"/>
    <mergeCell ref="T247:T251"/>
    <mergeCell ref="U247:U251"/>
    <mergeCell ref="J247:J251"/>
    <mergeCell ref="K247:K251"/>
    <mergeCell ref="L247:L251"/>
    <mergeCell ref="M247:M251"/>
    <mergeCell ref="N247:N251"/>
    <mergeCell ref="O247:O251"/>
    <mergeCell ref="R257:R261"/>
    <mergeCell ref="S257:S261"/>
    <mergeCell ref="T257:T261"/>
    <mergeCell ref="U257:U261"/>
    <mergeCell ref="V257:V261"/>
    <mergeCell ref="W257:W261"/>
    <mergeCell ref="L257:L261"/>
    <mergeCell ref="M257:M261"/>
    <mergeCell ref="N257:N261"/>
    <mergeCell ref="O257:O261"/>
    <mergeCell ref="P257:P261"/>
    <mergeCell ref="Q257:Q261"/>
    <mergeCell ref="W252:W256"/>
    <mergeCell ref="A257:A261"/>
    <mergeCell ref="B257:B261"/>
    <mergeCell ref="C257:C261"/>
    <mergeCell ref="D257:D261"/>
    <mergeCell ref="E257:E261"/>
    <mergeCell ref="F257:F261"/>
    <mergeCell ref="G257:G261"/>
    <mergeCell ref="J257:J261"/>
    <mergeCell ref="K257:K261"/>
    <mergeCell ref="Q252:Q256"/>
    <mergeCell ref="R252:R256"/>
    <mergeCell ref="S252:S256"/>
    <mergeCell ref="T252:T256"/>
    <mergeCell ref="U252:U256"/>
    <mergeCell ref="V252:V256"/>
    <mergeCell ref="K252:K256"/>
    <mergeCell ref="L252:L256"/>
    <mergeCell ref="M252:M256"/>
    <mergeCell ref="N252:N256"/>
    <mergeCell ref="U262:U266"/>
    <mergeCell ref="V262:V266"/>
    <mergeCell ref="W262:W266"/>
    <mergeCell ref="A267:A271"/>
    <mergeCell ref="B267:B271"/>
    <mergeCell ref="C267:C271"/>
    <mergeCell ref="D267:D271"/>
    <mergeCell ref="E267:E271"/>
    <mergeCell ref="F267:F271"/>
    <mergeCell ref="G267:G271"/>
    <mergeCell ref="O262:O266"/>
    <mergeCell ref="P262:P266"/>
    <mergeCell ref="Q262:Q266"/>
    <mergeCell ref="R262:R266"/>
    <mergeCell ref="S262:S266"/>
    <mergeCell ref="T262:T266"/>
    <mergeCell ref="G262:G266"/>
    <mergeCell ref="J262:J266"/>
    <mergeCell ref="K262:K266"/>
    <mergeCell ref="L262:L266"/>
    <mergeCell ref="M262:M266"/>
    <mergeCell ref="N262:N266"/>
    <mergeCell ref="A262:A266"/>
    <mergeCell ref="B262:B266"/>
    <mergeCell ref="C262:C266"/>
    <mergeCell ref="D262:D266"/>
    <mergeCell ref="E262:E266"/>
    <mergeCell ref="F262:F266"/>
    <mergeCell ref="V267:V271"/>
    <mergeCell ref="W267:W271"/>
    <mergeCell ref="A272:A276"/>
    <mergeCell ref="B272:B276"/>
    <mergeCell ref="C272:C276"/>
    <mergeCell ref="D272:D276"/>
    <mergeCell ref="E272:E276"/>
    <mergeCell ref="F272:F276"/>
    <mergeCell ref="G272:G276"/>
    <mergeCell ref="J272:J276"/>
    <mergeCell ref="P267:P271"/>
    <mergeCell ref="Q267:Q271"/>
    <mergeCell ref="R267:R271"/>
    <mergeCell ref="S267:S271"/>
    <mergeCell ref="T267:T271"/>
    <mergeCell ref="U267:U271"/>
    <mergeCell ref="J267:J271"/>
    <mergeCell ref="K267:K271"/>
    <mergeCell ref="L267:L271"/>
    <mergeCell ref="M267:M271"/>
    <mergeCell ref="N267:N271"/>
    <mergeCell ref="O267:O271"/>
    <mergeCell ref="W272:W276"/>
    <mergeCell ref="A277:A281"/>
    <mergeCell ref="B277:B281"/>
    <mergeCell ref="C277:C281"/>
    <mergeCell ref="D277:D281"/>
    <mergeCell ref="E277:E281"/>
    <mergeCell ref="F277:F281"/>
    <mergeCell ref="G277:G281"/>
    <mergeCell ref="J277:J281"/>
    <mergeCell ref="K277:K281"/>
    <mergeCell ref="Q272:Q276"/>
    <mergeCell ref="R272:R276"/>
    <mergeCell ref="S272:S276"/>
    <mergeCell ref="T272:T276"/>
    <mergeCell ref="U272:U276"/>
    <mergeCell ref="V272:V276"/>
    <mergeCell ref="K272:K276"/>
    <mergeCell ref="L272:L276"/>
    <mergeCell ref="M272:M276"/>
    <mergeCell ref="N272:N276"/>
    <mergeCell ref="O272:O276"/>
    <mergeCell ref="P272:P276"/>
    <mergeCell ref="M282:M286"/>
    <mergeCell ref="N282:N286"/>
    <mergeCell ref="A282:A286"/>
    <mergeCell ref="B282:B286"/>
    <mergeCell ref="C282:C286"/>
    <mergeCell ref="D282:D286"/>
    <mergeCell ref="E282:E286"/>
    <mergeCell ref="F282:F286"/>
    <mergeCell ref="V287:V291"/>
    <mergeCell ref="W287:W291"/>
    <mergeCell ref="R277:R281"/>
    <mergeCell ref="S277:S281"/>
    <mergeCell ref="T277:T281"/>
    <mergeCell ref="U277:U281"/>
    <mergeCell ref="V277:V281"/>
    <mergeCell ref="W277:W281"/>
    <mergeCell ref="L277:L281"/>
    <mergeCell ref="M277:M281"/>
    <mergeCell ref="N277:N281"/>
    <mergeCell ref="O277:O281"/>
    <mergeCell ref="P277:P281"/>
    <mergeCell ref="Q277:Q281"/>
    <mergeCell ref="P287:P291"/>
    <mergeCell ref="Q287:Q291"/>
    <mergeCell ref="R287:R291"/>
    <mergeCell ref="S287:S291"/>
    <mergeCell ref="T287:T291"/>
    <mergeCell ref="U287:U291"/>
    <mergeCell ref="J287:J291"/>
    <mergeCell ref="K287:K291"/>
    <mergeCell ref="L287:L291"/>
    <mergeCell ref="M287:M291"/>
    <mergeCell ref="N287:N291"/>
    <mergeCell ref="O287:O291"/>
    <mergeCell ref="U282:U286"/>
    <mergeCell ref="V282:V286"/>
    <mergeCell ref="W282:W286"/>
    <mergeCell ref="A287:A291"/>
    <mergeCell ref="B287:B291"/>
    <mergeCell ref="C287:C291"/>
    <mergeCell ref="D287:D291"/>
    <mergeCell ref="E287:E291"/>
    <mergeCell ref="F287:F291"/>
    <mergeCell ref="G287:G291"/>
    <mergeCell ref="O282:O286"/>
    <mergeCell ref="P282:P286"/>
    <mergeCell ref="Q282:Q286"/>
    <mergeCell ref="R282:R286"/>
    <mergeCell ref="S282:S286"/>
    <mergeCell ref="T282:T286"/>
    <mergeCell ref="G282:G286"/>
    <mergeCell ref="J282:J286"/>
    <mergeCell ref="K282:K286"/>
    <mergeCell ref="L282:L286"/>
    <mergeCell ref="W292:W296"/>
    <mergeCell ref="A297:G301"/>
    <mergeCell ref="J297:J301"/>
    <mergeCell ref="K297:K301"/>
    <mergeCell ref="L297:L301"/>
    <mergeCell ref="M297:M301"/>
    <mergeCell ref="N297:N301"/>
    <mergeCell ref="O297:O301"/>
    <mergeCell ref="P297:P301"/>
    <mergeCell ref="Q297:Q301"/>
    <mergeCell ref="Q292:Q296"/>
    <mergeCell ref="R292:R296"/>
    <mergeCell ref="S292:S296"/>
    <mergeCell ref="T292:T296"/>
    <mergeCell ref="U292:U296"/>
    <mergeCell ref="V292:V296"/>
    <mergeCell ref="K292:K296"/>
    <mergeCell ref="L292:L296"/>
    <mergeCell ref="M292:M296"/>
    <mergeCell ref="N292:N296"/>
    <mergeCell ref="O292:O296"/>
    <mergeCell ref="P292:P296"/>
    <mergeCell ref="A292:A296"/>
    <mergeCell ref="B292:B296"/>
    <mergeCell ref="C292:C296"/>
    <mergeCell ref="D292:D296"/>
    <mergeCell ref="E292:E296"/>
    <mergeCell ref="F292:F296"/>
    <mergeCell ref="G292:G296"/>
    <mergeCell ref="J292:J296"/>
    <mergeCell ref="O305:O309"/>
    <mergeCell ref="P305:P309"/>
    <mergeCell ref="A303:W303"/>
    <mergeCell ref="A304:W304"/>
    <mergeCell ref="A305:A309"/>
    <mergeCell ref="B305:B309"/>
    <mergeCell ref="C305:C309"/>
    <mergeCell ref="D305:D309"/>
    <mergeCell ref="E305:E309"/>
    <mergeCell ref="F305:F309"/>
    <mergeCell ref="G305:G309"/>
    <mergeCell ref="J305:J309"/>
    <mergeCell ref="R297:R301"/>
    <mergeCell ref="S297:S301"/>
    <mergeCell ref="T297:T301"/>
    <mergeCell ref="U297:U301"/>
    <mergeCell ref="V297:V301"/>
    <mergeCell ref="W297:W301"/>
    <mergeCell ref="R310:R314"/>
    <mergeCell ref="S310:S314"/>
    <mergeCell ref="T310:T314"/>
    <mergeCell ref="U310:U314"/>
    <mergeCell ref="V310:V314"/>
    <mergeCell ref="W310:W314"/>
    <mergeCell ref="L310:L314"/>
    <mergeCell ref="M310:M314"/>
    <mergeCell ref="N310:N314"/>
    <mergeCell ref="O310:O314"/>
    <mergeCell ref="P310:P314"/>
    <mergeCell ref="Q310:Q314"/>
    <mergeCell ref="W305:W309"/>
    <mergeCell ref="A310:A314"/>
    <mergeCell ref="B310:B314"/>
    <mergeCell ref="C310:C314"/>
    <mergeCell ref="D310:D314"/>
    <mergeCell ref="E310:E314"/>
    <mergeCell ref="F310:F314"/>
    <mergeCell ref="G310:G314"/>
    <mergeCell ref="J310:J314"/>
    <mergeCell ref="K310:K314"/>
    <mergeCell ref="Q305:Q309"/>
    <mergeCell ref="R305:R309"/>
    <mergeCell ref="S305:S309"/>
    <mergeCell ref="T305:T309"/>
    <mergeCell ref="U305:U309"/>
    <mergeCell ref="V305:V309"/>
    <mergeCell ref="K305:K309"/>
    <mergeCell ref="L305:L309"/>
    <mergeCell ref="M305:M309"/>
    <mergeCell ref="N305:N309"/>
    <mergeCell ref="U315:U319"/>
    <mergeCell ref="V315:V319"/>
    <mergeCell ref="W315:W319"/>
    <mergeCell ref="A320:A324"/>
    <mergeCell ref="B320:B324"/>
    <mergeCell ref="C320:C324"/>
    <mergeCell ref="D320:D324"/>
    <mergeCell ref="E320:E324"/>
    <mergeCell ref="F320:F324"/>
    <mergeCell ref="G320:G324"/>
    <mergeCell ref="O315:O319"/>
    <mergeCell ref="P315:P319"/>
    <mergeCell ref="Q315:Q319"/>
    <mergeCell ref="R315:R319"/>
    <mergeCell ref="S315:S319"/>
    <mergeCell ref="T315:T319"/>
    <mergeCell ref="G315:G319"/>
    <mergeCell ref="J315:J319"/>
    <mergeCell ref="K315:K319"/>
    <mergeCell ref="L315:L319"/>
    <mergeCell ref="M315:M319"/>
    <mergeCell ref="N315:N319"/>
    <mergeCell ref="A315:A319"/>
    <mergeCell ref="B315:B319"/>
    <mergeCell ref="C315:C319"/>
    <mergeCell ref="D315:D319"/>
    <mergeCell ref="E315:E319"/>
    <mergeCell ref="F315:F319"/>
    <mergeCell ref="O325:O329"/>
    <mergeCell ref="P325:P329"/>
    <mergeCell ref="V320:V324"/>
    <mergeCell ref="W320:W324"/>
    <mergeCell ref="A325:A329"/>
    <mergeCell ref="B325:B329"/>
    <mergeCell ref="C325:C329"/>
    <mergeCell ref="D325:D329"/>
    <mergeCell ref="E325:E329"/>
    <mergeCell ref="F325:F329"/>
    <mergeCell ref="G325:G329"/>
    <mergeCell ref="J325:J329"/>
    <mergeCell ref="P320:P324"/>
    <mergeCell ref="Q320:Q324"/>
    <mergeCell ref="R320:R324"/>
    <mergeCell ref="S320:S324"/>
    <mergeCell ref="T320:T324"/>
    <mergeCell ref="U320:U324"/>
    <mergeCell ref="J320:J324"/>
    <mergeCell ref="K320:K324"/>
    <mergeCell ref="L320:L324"/>
    <mergeCell ref="M320:M324"/>
    <mergeCell ref="N320:N324"/>
    <mergeCell ref="O320:O324"/>
    <mergeCell ref="R330:R334"/>
    <mergeCell ref="S330:S334"/>
    <mergeCell ref="T330:T334"/>
    <mergeCell ref="U330:U334"/>
    <mergeCell ref="V330:V334"/>
    <mergeCell ref="W330:W334"/>
    <mergeCell ref="L330:L334"/>
    <mergeCell ref="M330:M334"/>
    <mergeCell ref="N330:N334"/>
    <mergeCell ref="O330:O334"/>
    <mergeCell ref="P330:P334"/>
    <mergeCell ref="Q330:Q334"/>
    <mergeCell ref="W325:W329"/>
    <mergeCell ref="A330:A334"/>
    <mergeCell ref="B330:B334"/>
    <mergeCell ref="C330:C334"/>
    <mergeCell ref="D330:D334"/>
    <mergeCell ref="E330:E334"/>
    <mergeCell ref="F330:F334"/>
    <mergeCell ref="G330:G334"/>
    <mergeCell ref="J330:J334"/>
    <mergeCell ref="K330:K334"/>
    <mergeCell ref="Q325:Q329"/>
    <mergeCell ref="R325:R329"/>
    <mergeCell ref="S325:S329"/>
    <mergeCell ref="T325:T329"/>
    <mergeCell ref="U325:U329"/>
    <mergeCell ref="V325:V329"/>
    <mergeCell ref="K325:K329"/>
    <mergeCell ref="L325:L329"/>
    <mergeCell ref="M325:M329"/>
    <mergeCell ref="N325:N329"/>
    <mergeCell ref="U335:U339"/>
    <mergeCell ref="V335:V339"/>
    <mergeCell ref="W335:W339"/>
    <mergeCell ref="A340:W340"/>
    <mergeCell ref="A341:W341"/>
    <mergeCell ref="A342:W342"/>
    <mergeCell ref="O335:O339"/>
    <mergeCell ref="P335:P339"/>
    <mergeCell ref="Q335:Q339"/>
    <mergeCell ref="R335:R339"/>
    <mergeCell ref="S335:S339"/>
    <mergeCell ref="T335:T339"/>
    <mergeCell ref="A335:G339"/>
    <mergeCell ref="J335:J339"/>
    <mergeCell ref="K335:K339"/>
    <mergeCell ref="L335:L339"/>
    <mergeCell ref="M335:M339"/>
    <mergeCell ref="N335:N339"/>
    <mergeCell ref="U343:U347"/>
    <mergeCell ref="V343:V347"/>
    <mergeCell ref="W343:W347"/>
    <mergeCell ref="A348:A352"/>
    <mergeCell ref="B348:B352"/>
    <mergeCell ref="C348:C352"/>
    <mergeCell ref="D348:D352"/>
    <mergeCell ref="E348:E352"/>
    <mergeCell ref="F348:F352"/>
    <mergeCell ref="G348:G352"/>
    <mergeCell ref="O343:O347"/>
    <mergeCell ref="P343:P347"/>
    <mergeCell ref="Q343:Q347"/>
    <mergeCell ref="R343:R347"/>
    <mergeCell ref="S343:S347"/>
    <mergeCell ref="T343:T347"/>
    <mergeCell ref="G343:G347"/>
    <mergeCell ref="J343:J347"/>
    <mergeCell ref="K343:K347"/>
    <mergeCell ref="L343:L347"/>
    <mergeCell ref="M343:M347"/>
    <mergeCell ref="N343:N347"/>
    <mergeCell ref="A343:A347"/>
    <mergeCell ref="B343:B347"/>
    <mergeCell ref="C343:C347"/>
    <mergeCell ref="D343:D347"/>
    <mergeCell ref="E343:E347"/>
    <mergeCell ref="F343:F347"/>
    <mergeCell ref="O353:O357"/>
    <mergeCell ref="P353:P357"/>
    <mergeCell ref="V348:V352"/>
    <mergeCell ref="W348:W352"/>
    <mergeCell ref="A353:A357"/>
    <mergeCell ref="B353:B357"/>
    <mergeCell ref="C353:C357"/>
    <mergeCell ref="D353:D357"/>
    <mergeCell ref="E353:E357"/>
    <mergeCell ref="F353:F357"/>
    <mergeCell ref="G353:G357"/>
    <mergeCell ref="J353:J357"/>
    <mergeCell ref="P348:P352"/>
    <mergeCell ref="Q348:Q352"/>
    <mergeCell ref="R348:R352"/>
    <mergeCell ref="S348:S352"/>
    <mergeCell ref="T348:T352"/>
    <mergeCell ref="U348:U352"/>
    <mergeCell ref="J348:J352"/>
    <mergeCell ref="K348:K352"/>
    <mergeCell ref="L348:L352"/>
    <mergeCell ref="M348:M352"/>
    <mergeCell ref="N348:N352"/>
    <mergeCell ref="O348:O352"/>
    <mergeCell ref="R358:R362"/>
    <mergeCell ref="S358:S362"/>
    <mergeCell ref="T358:T362"/>
    <mergeCell ref="U358:U362"/>
    <mergeCell ref="V358:V362"/>
    <mergeCell ref="W358:W362"/>
    <mergeCell ref="L358:L362"/>
    <mergeCell ref="M358:M362"/>
    <mergeCell ref="N358:N362"/>
    <mergeCell ref="O358:O362"/>
    <mergeCell ref="P358:P362"/>
    <mergeCell ref="Q358:Q362"/>
    <mergeCell ref="W353:W357"/>
    <mergeCell ref="A358:A362"/>
    <mergeCell ref="B358:B362"/>
    <mergeCell ref="C358:C362"/>
    <mergeCell ref="D358:D362"/>
    <mergeCell ref="E358:E362"/>
    <mergeCell ref="F358:F362"/>
    <mergeCell ref="G358:G362"/>
    <mergeCell ref="J358:J362"/>
    <mergeCell ref="K358:K362"/>
    <mergeCell ref="Q353:Q357"/>
    <mergeCell ref="R353:R357"/>
    <mergeCell ref="S353:S357"/>
    <mergeCell ref="T353:T357"/>
    <mergeCell ref="U353:U357"/>
    <mergeCell ref="V353:V357"/>
    <mergeCell ref="K353:K357"/>
    <mergeCell ref="L353:L357"/>
    <mergeCell ref="M353:M357"/>
    <mergeCell ref="N353:N357"/>
    <mergeCell ref="U363:U367"/>
    <mergeCell ref="V363:V367"/>
    <mergeCell ref="W363:W367"/>
    <mergeCell ref="A368:A372"/>
    <mergeCell ref="B368:B372"/>
    <mergeCell ref="C368:C372"/>
    <mergeCell ref="D368:D372"/>
    <mergeCell ref="E368:E372"/>
    <mergeCell ref="F368:F372"/>
    <mergeCell ref="G368:G372"/>
    <mergeCell ref="O363:O367"/>
    <mergeCell ref="P363:P367"/>
    <mergeCell ref="Q363:Q367"/>
    <mergeCell ref="R363:R367"/>
    <mergeCell ref="S363:S367"/>
    <mergeCell ref="T363:T367"/>
    <mergeCell ref="G363:G367"/>
    <mergeCell ref="J363:J367"/>
    <mergeCell ref="K363:K367"/>
    <mergeCell ref="L363:L367"/>
    <mergeCell ref="M363:M367"/>
    <mergeCell ref="N363:N367"/>
    <mergeCell ref="A363:A367"/>
    <mergeCell ref="B363:B367"/>
    <mergeCell ref="C363:C367"/>
    <mergeCell ref="D363:D367"/>
    <mergeCell ref="E363:E367"/>
    <mergeCell ref="F363:F367"/>
    <mergeCell ref="O373:O377"/>
    <mergeCell ref="P373:P377"/>
    <mergeCell ref="V368:V372"/>
    <mergeCell ref="W368:W372"/>
    <mergeCell ref="A373:A377"/>
    <mergeCell ref="B373:B377"/>
    <mergeCell ref="C373:C377"/>
    <mergeCell ref="D373:D377"/>
    <mergeCell ref="E373:E377"/>
    <mergeCell ref="F373:F377"/>
    <mergeCell ref="G373:G377"/>
    <mergeCell ref="J373:J377"/>
    <mergeCell ref="P368:P372"/>
    <mergeCell ref="Q368:Q372"/>
    <mergeCell ref="R368:R372"/>
    <mergeCell ref="S368:S372"/>
    <mergeCell ref="T368:T372"/>
    <mergeCell ref="U368:U372"/>
    <mergeCell ref="J368:J372"/>
    <mergeCell ref="K368:K372"/>
    <mergeCell ref="L368:L372"/>
    <mergeCell ref="M368:M372"/>
    <mergeCell ref="N368:N372"/>
    <mergeCell ref="O368:O372"/>
    <mergeCell ref="R378:R382"/>
    <mergeCell ref="S378:S382"/>
    <mergeCell ref="T378:T382"/>
    <mergeCell ref="U378:U382"/>
    <mergeCell ref="V378:V382"/>
    <mergeCell ref="W378:W382"/>
    <mergeCell ref="L378:L382"/>
    <mergeCell ref="M378:M382"/>
    <mergeCell ref="N378:N382"/>
    <mergeCell ref="O378:O382"/>
    <mergeCell ref="P378:P382"/>
    <mergeCell ref="Q378:Q382"/>
    <mergeCell ref="W373:W377"/>
    <mergeCell ref="A378:A382"/>
    <mergeCell ref="B378:B382"/>
    <mergeCell ref="C378:C382"/>
    <mergeCell ref="D378:D382"/>
    <mergeCell ref="E378:E382"/>
    <mergeCell ref="F378:F382"/>
    <mergeCell ref="G378:G382"/>
    <mergeCell ref="J378:J382"/>
    <mergeCell ref="K378:K382"/>
    <mergeCell ref="Q373:Q377"/>
    <mergeCell ref="R373:R377"/>
    <mergeCell ref="S373:S377"/>
    <mergeCell ref="T373:T377"/>
    <mergeCell ref="U373:U377"/>
    <mergeCell ref="V373:V377"/>
    <mergeCell ref="K373:K377"/>
    <mergeCell ref="L373:L377"/>
    <mergeCell ref="M373:M377"/>
    <mergeCell ref="N373:N377"/>
    <mergeCell ref="U383:U387"/>
    <mergeCell ref="V383:V387"/>
    <mergeCell ref="W383:W387"/>
    <mergeCell ref="A388:A392"/>
    <mergeCell ref="B388:B392"/>
    <mergeCell ref="C388:C392"/>
    <mergeCell ref="D388:D392"/>
    <mergeCell ref="E388:E392"/>
    <mergeCell ref="F388:F392"/>
    <mergeCell ref="G388:G392"/>
    <mergeCell ref="O383:O387"/>
    <mergeCell ref="P383:P387"/>
    <mergeCell ref="Q383:Q387"/>
    <mergeCell ref="R383:R387"/>
    <mergeCell ref="S383:S387"/>
    <mergeCell ref="T383:T387"/>
    <mergeCell ref="G383:G387"/>
    <mergeCell ref="J383:J387"/>
    <mergeCell ref="K383:K387"/>
    <mergeCell ref="L383:L387"/>
    <mergeCell ref="M383:M387"/>
    <mergeCell ref="N383:N387"/>
    <mergeCell ref="A383:A387"/>
    <mergeCell ref="B383:B387"/>
    <mergeCell ref="C383:C387"/>
    <mergeCell ref="D383:D387"/>
    <mergeCell ref="E383:E387"/>
    <mergeCell ref="F383:F387"/>
    <mergeCell ref="O393:O397"/>
    <mergeCell ref="P393:P397"/>
    <mergeCell ref="V388:V392"/>
    <mergeCell ref="W388:W392"/>
    <mergeCell ref="A393:A397"/>
    <mergeCell ref="B393:B397"/>
    <mergeCell ref="C393:C397"/>
    <mergeCell ref="D393:D397"/>
    <mergeCell ref="E393:E397"/>
    <mergeCell ref="F393:F397"/>
    <mergeCell ref="G393:G397"/>
    <mergeCell ref="J393:J397"/>
    <mergeCell ref="P388:P392"/>
    <mergeCell ref="Q388:Q392"/>
    <mergeCell ref="R388:R392"/>
    <mergeCell ref="S388:S392"/>
    <mergeCell ref="T388:T392"/>
    <mergeCell ref="U388:U392"/>
    <mergeCell ref="J388:J392"/>
    <mergeCell ref="K388:K392"/>
    <mergeCell ref="L388:L392"/>
    <mergeCell ref="M388:M392"/>
    <mergeCell ref="N388:N392"/>
    <mergeCell ref="O388:O392"/>
    <mergeCell ref="R398:R402"/>
    <mergeCell ref="S398:S402"/>
    <mergeCell ref="T398:T402"/>
    <mergeCell ref="U398:U402"/>
    <mergeCell ref="V398:V402"/>
    <mergeCell ref="W398:W402"/>
    <mergeCell ref="L398:L402"/>
    <mergeCell ref="M398:M402"/>
    <mergeCell ref="N398:N402"/>
    <mergeCell ref="O398:O402"/>
    <mergeCell ref="P398:P402"/>
    <mergeCell ref="Q398:Q402"/>
    <mergeCell ref="W393:W397"/>
    <mergeCell ref="A398:A402"/>
    <mergeCell ref="B398:B402"/>
    <mergeCell ref="C398:C402"/>
    <mergeCell ref="D398:D402"/>
    <mergeCell ref="E398:E402"/>
    <mergeCell ref="F398:F402"/>
    <mergeCell ref="G398:G402"/>
    <mergeCell ref="J398:J402"/>
    <mergeCell ref="K398:K402"/>
    <mergeCell ref="Q393:Q397"/>
    <mergeCell ref="R393:R397"/>
    <mergeCell ref="S393:S397"/>
    <mergeCell ref="T393:T397"/>
    <mergeCell ref="U393:U397"/>
    <mergeCell ref="V393:V397"/>
    <mergeCell ref="K393:K397"/>
    <mergeCell ref="L393:L397"/>
    <mergeCell ref="M393:M397"/>
    <mergeCell ref="N393:N397"/>
    <mergeCell ref="U403:U407"/>
    <mergeCell ref="V403:V407"/>
    <mergeCell ref="W403:W407"/>
    <mergeCell ref="A408:A412"/>
    <mergeCell ref="B408:B412"/>
    <mergeCell ref="C408:C412"/>
    <mergeCell ref="D408:D412"/>
    <mergeCell ref="E408:E412"/>
    <mergeCell ref="F408:F412"/>
    <mergeCell ref="G408:G412"/>
    <mergeCell ref="O403:O407"/>
    <mergeCell ref="P403:P407"/>
    <mergeCell ref="Q403:Q407"/>
    <mergeCell ref="R403:R407"/>
    <mergeCell ref="S403:S407"/>
    <mergeCell ref="T403:T407"/>
    <mergeCell ref="G403:G407"/>
    <mergeCell ref="J403:J407"/>
    <mergeCell ref="K403:K407"/>
    <mergeCell ref="L403:L407"/>
    <mergeCell ref="M403:M407"/>
    <mergeCell ref="N403:N407"/>
    <mergeCell ref="A403:A407"/>
    <mergeCell ref="B403:B407"/>
    <mergeCell ref="C403:C407"/>
    <mergeCell ref="D403:D407"/>
    <mergeCell ref="E403:E407"/>
    <mergeCell ref="F403:F407"/>
    <mergeCell ref="O413:O417"/>
    <mergeCell ref="P413:P417"/>
    <mergeCell ref="V408:V412"/>
    <mergeCell ref="W408:W412"/>
    <mergeCell ref="A413:A417"/>
    <mergeCell ref="B413:B417"/>
    <mergeCell ref="C413:C417"/>
    <mergeCell ref="D413:D417"/>
    <mergeCell ref="E413:E417"/>
    <mergeCell ref="F413:F417"/>
    <mergeCell ref="G413:G417"/>
    <mergeCell ref="J413:J417"/>
    <mergeCell ref="P408:P412"/>
    <mergeCell ref="Q408:Q412"/>
    <mergeCell ref="R408:R412"/>
    <mergeCell ref="S408:S412"/>
    <mergeCell ref="T408:T412"/>
    <mergeCell ref="U408:U412"/>
    <mergeCell ref="J408:J412"/>
    <mergeCell ref="K408:K412"/>
    <mergeCell ref="L408:L412"/>
    <mergeCell ref="M408:M412"/>
    <mergeCell ref="N408:N412"/>
    <mergeCell ref="O408:O412"/>
    <mergeCell ref="R418:R422"/>
    <mergeCell ref="S418:S422"/>
    <mergeCell ref="T418:T422"/>
    <mergeCell ref="U418:U422"/>
    <mergeCell ref="V418:V422"/>
    <mergeCell ref="W418:W422"/>
    <mergeCell ref="L418:L422"/>
    <mergeCell ref="M418:M422"/>
    <mergeCell ref="N418:N422"/>
    <mergeCell ref="O418:O422"/>
    <mergeCell ref="P418:P422"/>
    <mergeCell ref="Q418:Q422"/>
    <mergeCell ref="W413:W417"/>
    <mergeCell ref="A418:A422"/>
    <mergeCell ref="B418:B422"/>
    <mergeCell ref="C418:C422"/>
    <mergeCell ref="D418:D422"/>
    <mergeCell ref="E418:E422"/>
    <mergeCell ref="F418:F422"/>
    <mergeCell ref="G418:G422"/>
    <mergeCell ref="J418:J422"/>
    <mergeCell ref="K418:K422"/>
    <mergeCell ref="Q413:Q417"/>
    <mergeCell ref="R413:R417"/>
    <mergeCell ref="S413:S417"/>
    <mergeCell ref="T413:T417"/>
    <mergeCell ref="U413:U417"/>
    <mergeCell ref="V413:V417"/>
    <mergeCell ref="K413:K417"/>
    <mergeCell ref="L413:L417"/>
    <mergeCell ref="M413:M417"/>
    <mergeCell ref="N413:N417"/>
    <mergeCell ref="U423:U427"/>
    <mergeCell ref="V423:V427"/>
    <mergeCell ref="W423:W427"/>
    <mergeCell ref="A428:A432"/>
    <mergeCell ref="B428:B432"/>
    <mergeCell ref="C428:C432"/>
    <mergeCell ref="D428:D432"/>
    <mergeCell ref="E428:E432"/>
    <mergeCell ref="F428:F432"/>
    <mergeCell ref="G428:G432"/>
    <mergeCell ref="O423:O427"/>
    <mergeCell ref="P423:P427"/>
    <mergeCell ref="Q423:Q427"/>
    <mergeCell ref="R423:R427"/>
    <mergeCell ref="S423:S427"/>
    <mergeCell ref="T423:T427"/>
    <mergeCell ref="G423:G427"/>
    <mergeCell ref="J423:J427"/>
    <mergeCell ref="K423:K427"/>
    <mergeCell ref="L423:L427"/>
    <mergeCell ref="M423:M427"/>
    <mergeCell ref="N423:N427"/>
    <mergeCell ref="A423:A427"/>
    <mergeCell ref="B423:B427"/>
    <mergeCell ref="C423:C427"/>
    <mergeCell ref="D423:D427"/>
    <mergeCell ref="E423:E427"/>
    <mergeCell ref="F423:F427"/>
    <mergeCell ref="O433:O437"/>
    <mergeCell ref="P433:P437"/>
    <mergeCell ref="V428:V432"/>
    <mergeCell ref="W428:W432"/>
    <mergeCell ref="A433:A437"/>
    <mergeCell ref="B433:B437"/>
    <mergeCell ref="C433:C437"/>
    <mergeCell ref="D433:D437"/>
    <mergeCell ref="E433:E437"/>
    <mergeCell ref="F433:F437"/>
    <mergeCell ref="G433:G437"/>
    <mergeCell ref="J433:J437"/>
    <mergeCell ref="P428:P432"/>
    <mergeCell ref="Q428:Q432"/>
    <mergeCell ref="R428:R432"/>
    <mergeCell ref="S428:S432"/>
    <mergeCell ref="T428:T432"/>
    <mergeCell ref="U428:U432"/>
    <mergeCell ref="J428:J432"/>
    <mergeCell ref="K428:K432"/>
    <mergeCell ref="L428:L432"/>
    <mergeCell ref="M428:M432"/>
    <mergeCell ref="N428:N432"/>
    <mergeCell ref="O428:O432"/>
    <mergeCell ref="R438:R442"/>
    <mergeCell ref="S438:S442"/>
    <mergeCell ref="T438:T442"/>
    <mergeCell ref="U438:U442"/>
    <mergeCell ref="V438:V442"/>
    <mergeCell ref="W438:W442"/>
    <mergeCell ref="L438:L442"/>
    <mergeCell ref="M438:M442"/>
    <mergeCell ref="N438:N442"/>
    <mergeCell ref="O438:O442"/>
    <mergeCell ref="P438:P442"/>
    <mergeCell ref="Q438:Q442"/>
    <mergeCell ref="W433:W437"/>
    <mergeCell ref="A438:A442"/>
    <mergeCell ref="B438:B442"/>
    <mergeCell ref="C438:C442"/>
    <mergeCell ref="D438:D442"/>
    <mergeCell ref="E438:E442"/>
    <mergeCell ref="F438:F442"/>
    <mergeCell ref="G438:G442"/>
    <mergeCell ref="J438:J442"/>
    <mergeCell ref="K438:K442"/>
    <mergeCell ref="Q433:Q437"/>
    <mergeCell ref="R433:R437"/>
    <mergeCell ref="S433:S437"/>
    <mergeCell ref="T433:T437"/>
    <mergeCell ref="U433:U437"/>
    <mergeCell ref="V433:V437"/>
    <mergeCell ref="K433:K437"/>
    <mergeCell ref="L433:L437"/>
    <mergeCell ref="M433:M437"/>
    <mergeCell ref="N433:N437"/>
    <mergeCell ref="U443:U447"/>
    <mergeCell ref="V443:V447"/>
    <mergeCell ref="W443:W447"/>
    <mergeCell ref="A448:A452"/>
    <mergeCell ref="B448:B452"/>
    <mergeCell ref="C448:C452"/>
    <mergeCell ref="D448:D452"/>
    <mergeCell ref="E448:E452"/>
    <mergeCell ref="F448:F452"/>
    <mergeCell ref="G448:G452"/>
    <mergeCell ref="O443:O447"/>
    <mergeCell ref="P443:P447"/>
    <mergeCell ref="Q443:Q447"/>
    <mergeCell ref="R443:R447"/>
    <mergeCell ref="S443:S447"/>
    <mergeCell ref="T443:T447"/>
    <mergeCell ref="G443:G447"/>
    <mergeCell ref="J443:J447"/>
    <mergeCell ref="K443:K447"/>
    <mergeCell ref="L443:L447"/>
    <mergeCell ref="M443:M447"/>
    <mergeCell ref="N443:N447"/>
    <mergeCell ref="A443:A447"/>
    <mergeCell ref="B443:B447"/>
    <mergeCell ref="C443:C447"/>
    <mergeCell ref="D443:D447"/>
    <mergeCell ref="E443:E447"/>
    <mergeCell ref="F443:F447"/>
    <mergeCell ref="O453:O457"/>
    <mergeCell ref="P453:P457"/>
    <mergeCell ref="V448:V452"/>
    <mergeCell ref="W448:W452"/>
    <mergeCell ref="A453:A457"/>
    <mergeCell ref="B453:B457"/>
    <mergeCell ref="C453:C457"/>
    <mergeCell ref="D453:D457"/>
    <mergeCell ref="E453:E457"/>
    <mergeCell ref="F453:F457"/>
    <mergeCell ref="G453:G457"/>
    <mergeCell ref="J453:J457"/>
    <mergeCell ref="P448:P452"/>
    <mergeCell ref="Q448:Q452"/>
    <mergeCell ref="R448:R452"/>
    <mergeCell ref="S448:S452"/>
    <mergeCell ref="T448:T452"/>
    <mergeCell ref="U448:U452"/>
    <mergeCell ref="J448:J452"/>
    <mergeCell ref="K448:K452"/>
    <mergeCell ref="L448:L452"/>
    <mergeCell ref="M448:M452"/>
    <mergeCell ref="N448:N452"/>
    <mergeCell ref="O448:O452"/>
    <mergeCell ref="R458:R462"/>
    <mergeCell ref="S458:S462"/>
    <mergeCell ref="T458:T462"/>
    <mergeCell ref="U458:U462"/>
    <mergeCell ref="V458:V462"/>
    <mergeCell ref="W458:W462"/>
    <mergeCell ref="L458:L462"/>
    <mergeCell ref="M458:M462"/>
    <mergeCell ref="N458:N462"/>
    <mergeCell ref="O458:O462"/>
    <mergeCell ref="P458:P462"/>
    <mergeCell ref="Q458:Q462"/>
    <mergeCell ref="W453:W457"/>
    <mergeCell ref="A458:A462"/>
    <mergeCell ref="B458:B462"/>
    <mergeCell ref="C458:C462"/>
    <mergeCell ref="D458:D462"/>
    <mergeCell ref="E458:E462"/>
    <mergeCell ref="F458:F462"/>
    <mergeCell ref="G458:G462"/>
    <mergeCell ref="J458:J462"/>
    <mergeCell ref="K458:K462"/>
    <mergeCell ref="Q453:Q457"/>
    <mergeCell ref="R453:R457"/>
    <mergeCell ref="S453:S457"/>
    <mergeCell ref="T453:T457"/>
    <mergeCell ref="U453:U457"/>
    <mergeCell ref="V453:V457"/>
    <mergeCell ref="K453:K457"/>
    <mergeCell ref="L453:L457"/>
    <mergeCell ref="M453:M457"/>
    <mergeCell ref="N453:N457"/>
    <mergeCell ref="U463:U467"/>
    <mergeCell ref="V463:V467"/>
    <mergeCell ref="W463:W467"/>
    <mergeCell ref="A468:A472"/>
    <mergeCell ref="B468:B472"/>
    <mergeCell ref="C468:C472"/>
    <mergeCell ref="D468:D472"/>
    <mergeCell ref="E468:E472"/>
    <mergeCell ref="F468:F472"/>
    <mergeCell ref="G468:G472"/>
    <mergeCell ref="O463:O467"/>
    <mergeCell ref="P463:P467"/>
    <mergeCell ref="Q463:Q467"/>
    <mergeCell ref="R463:R467"/>
    <mergeCell ref="S463:S467"/>
    <mergeCell ref="T463:T467"/>
    <mergeCell ref="G463:G467"/>
    <mergeCell ref="J463:J467"/>
    <mergeCell ref="K463:K467"/>
    <mergeCell ref="L463:L467"/>
    <mergeCell ref="M463:M467"/>
    <mergeCell ref="N463:N467"/>
    <mergeCell ref="A463:A467"/>
    <mergeCell ref="B463:B467"/>
    <mergeCell ref="C463:C467"/>
    <mergeCell ref="D463:D467"/>
    <mergeCell ref="E463:E467"/>
    <mergeCell ref="F463:F467"/>
    <mergeCell ref="O473:O477"/>
    <mergeCell ref="P473:P477"/>
    <mergeCell ref="V468:V472"/>
    <mergeCell ref="W468:W472"/>
    <mergeCell ref="A473:A477"/>
    <mergeCell ref="B473:B477"/>
    <mergeCell ref="C473:C477"/>
    <mergeCell ref="D473:D477"/>
    <mergeCell ref="E473:E477"/>
    <mergeCell ref="F473:F477"/>
    <mergeCell ref="G473:G477"/>
    <mergeCell ref="J473:J477"/>
    <mergeCell ref="P468:P472"/>
    <mergeCell ref="Q468:Q472"/>
    <mergeCell ref="R468:R472"/>
    <mergeCell ref="S468:S472"/>
    <mergeCell ref="T468:T472"/>
    <mergeCell ref="U468:U472"/>
    <mergeCell ref="J468:J472"/>
    <mergeCell ref="K468:K472"/>
    <mergeCell ref="L468:L472"/>
    <mergeCell ref="M468:M472"/>
    <mergeCell ref="N468:N472"/>
    <mergeCell ref="O468:O472"/>
    <mergeCell ref="R478:R482"/>
    <mergeCell ref="S478:S482"/>
    <mergeCell ref="T478:T482"/>
    <mergeCell ref="U478:U482"/>
    <mergeCell ref="V478:V482"/>
    <mergeCell ref="W478:W482"/>
    <mergeCell ref="L478:L482"/>
    <mergeCell ref="M478:M482"/>
    <mergeCell ref="N478:N482"/>
    <mergeCell ref="O478:O482"/>
    <mergeCell ref="P478:P482"/>
    <mergeCell ref="Q478:Q482"/>
    <mergeCell ref="W473:W477"/>
    <mergeCell ref="A478:A482"/>
    <mergeCell ref="B478:B482"/>
    <mergeCell ref="C478:C482"/>
    <mergeCell ref="D478:D482"/>
    <mergeCell ref="E478:E482"/>
    <mergeCell ref="F478:F482"/>
    <mergeCell ref="G478:G482"/>
    <mergeCell ref="J478:J482"/>
    <mergeCell ref="K478:K482"/>
    <mergeCell ref="Q473:Q477"/>
    <mergeCell ref="R473:R477"/>
    <mergeCell ref="S473:S477"/>
    <mergeCell ref="T473:T477"/>
    <mergeCell ref="U473:U477"/>
    <mergeCell ref="V473:V477"/>
    <mergeCell ref="K473:K477"/>
    <mergeCell ref="L473:L477"/>
    <mergeCell ref="M473:M477"/>
    <mergeCell ref="N473:N477"/>
    <mergeCell ref="U483:U487"/>
    <mergeCell ref="V483:V487"/>
    <mergeCell ref="W483:W487"/>
    <mergeCell ref="A488:G492"/>
    <mergeCell ref="J488:J492"/>
    <mergeCell ref="K488:K492"/>
    <mergeCell ref="L488:L492"/>
    <mergeCell ref="M488:M492"/>
    <mergeCell ref="N488:N492"/>
    <mergeCell ref="O488:O492"/>
    <mergeCell ref="O483:O487"/>
    <mergeCell ref="P483:P487"/>
    <mergeCell ref="Q483:Q487"/>
    <mergeCell ref="R483:R487"/>
    <mergeCell ref="S483:S487"/>
    <mergeCell ref="T483:T487"/>
    <mergeCell ref="G483:G487"/>
    <mergeCell ref="J483:J487"/>
    <mergeCell ref="K483:K487"/>
    <mergeCell ref="L483:L487"/>
    <mergeCell ref="M483:M487"/>
    <mergeCell ref="N483:N487"/>
    <mergeCell ref="A483:A487"/>
    <mergeCell ref="B483:B487"/>
    <mergeCell ref="C483:C487"/>
    <mergeCell ref="D483:D487"/>
    <mergeCell ref="E483:E487"/>
    <mergeCell ref="F483:F487"/>
    <mergeCell ref="W493:W497"/>
    <mergeCell ref="Q493:Q497"/>
    <mergeCell ref="R493:R497"/>
    <mergeCell ref="S493:S497"/>
    <mergeCell ref="T493:T497"/>
    <mergeCell ref="U493:U497"/>
    <mergeCell ref="V493:V497"/>
    <mergeCell ref="V488:V492"/>
    <mergeCell ref="W488:W492"/>
    <mergeCell ref="A493:G497"/>
    <mergeCell ref="J493:J497"/>
    <mergeCell ref="K493:K497"/>
    <mergeCell ref="L493:L497"/>
    <mergeCell ref="M493:M497"/>
    <mergeCell ref="N493:N497"/>
    <mergeCell ref="O493:O497"/>
    <mergeCell ref="P493:P497"/>
    <mergeCell ref="P488:P492"/>
    <mergeCell ref="Q488:Q492"/>
    <mergeCell ref="R488:R492"/>
    <mergeCell ref="S488:S492"/>
    <mergeCell ref="T488:T492"/>
    <mergeCell ref="U488:U492"/>
  </mergeCells>
  <printOptions horizontalCentered="1"/>
  <pageMargins left="0.31496062992125984" right="0.27559055118110237" top="0.98425196850393704" bottom="0.74803149606299213" header="0.31496062992125984" footer="0.31496062992125984"/>
  <pageSetup paperSize="9" scale="45" fitToHeight="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1"/>
  <sheetViews>
    <sheetView view="pageBreakPreview" topLeftCell="E66" zoomScaleNormal="100" zoomScaleSheetLayoutView="100" workbookViewId="0">
      <selection activeCell="J87" sqref="J87:J91"/>
    </sheetView>
  </sheetViews>
  <sheetFormatPr defaultRowHeight="15"/>
  <cols>
    <col min="1" max="1" width="5.375" style="509" customWidth="1"/>
    <col min="2" max="2" width="13.125" style="509" customWidth="1"/>
    <col min="3" max="3" width="43.875" style="509" customWidth="1"/>
    <col min="4" max="4" width="10.75" style="509" customWidth="1"/>
    <col min="5" max="5" width="10.375" style="509" customWidth="1"/>
    <col min="6" max="6" width="11" style="509" customWidth="1"/>
    <col min="7" max="8" width="12.125" style="509" customWidth="1"/>
    <col min="9" max="9" width="12.875" style="509" customWidth="1"/>
    <col min="10" max="11" width="12.125" style="509" customWidth="1"/>
    <col min="12" max="12" width="11.375" style="509" customWidth="1"/>
    <col min="13" max="14" width="11.875" style="509" customWidth="1"/>
    <col min="15" max="15" width="11.75" style="509" customWidth="1"/>
    <col min="16" max="16" width="11.375" style="509" customWidth="1"/>
    <col min="17" max="17" width="11.875" style="509" customWidth="1"/>
    <col min="18" max="18" width="11.375" style="509" customWidth="1"/>
    <col min="19" max="19" width="10.375" style="509" customWidth="1"/>
    <col min="20" max="20" width="12.875" style="509" customWidth="1"/>
    <col min="21" max="21" width="11.75" style="509" customWidth="1"/>
    <col min="22" max="22" width="11" style="509" customWidth="1"/>
    <col min="23" max="256" width="9" style="509"/>
    <col min="257" max="257" width="5.375" style="509" customWidth="1"/>
    <col min="258" max="258" width="13.125" style="509" customWidth="1"/>
    <col min="259" max="259" width="43.875" style="509" customWidth="1"/>
    <col min="260" max="260" width="10.75" style="509" customWidth="1"/>
    <col min="261" max="261" width="10.375" style="509" customWidth="1"/>
    <col min="262" max="262" width="11" style="509" customWidth="1"/>
    <col min="263" max="264" width="12.125" style="509" customWidth="1"/>
    <col min="265" max="265" width="12.875" style="509" customWidth="1"/>
    <col min="266" max="267" width="12.125" style="509" customWidth="1"/>
    <col min="268" max="268" width="11.375" style="509" customWidth="1"/>
    <col min="269" max="270" width="11.875" style="509" customWidth="1"/>
    <col min="271" max="271" width="11.75" style="509" customWidth="1"/>
    <col min="272" max="272" width="11.375" style="509" customWidth="1"/>
    <col min="273" max="273" width="11.875" style="509" customWidth="1"/>
    <col min="274" max="274" width="11.375" style="509" customWidth="1"/>
    <col min="275" max="275" width="10.375" style="509" customWidth="1"/>
    <col min="276" max="276" width="12.875" style="509" customWidth="1"/>
    <col min="277" max="277" width="11.75" style="509" customWidth="1"/>
    <col min="278" max="278" width="11" style="509" customWidth="1"/>
    <col min="279" max="512" width="9" style="509"/>
    <col min="513" max="513" width="5.375" style="509" customWidth="1"/>
    <col min="514" max="514" width="13.125" style="509" customWidth="1"/>
    <col min="515" max="515" width="43.875" style="509" customWidth="1"/>
    <col min="516" max="516" width="10.75" style="509" customWidth="1"/>
    <col min="517" max="517" width="10.375" style="509" customWidth="1"/>
    <col min="518" max="518" width="11" style="509" customWidth="1"/>
    <col min="519" max="520" width="12.125" style="509" customWidth="1"/>
    <col min="521" max="521" width="12.875" style="509" customWidth="1"/>
    <col min="522" max="523" width="12.125" style="509" customWidth="1"/>
    <col min="524" max="524" width="11.375" style="509" customWidth="1"/>
    <col min="525" max="526" width="11.875" style="509" customWidth="1"/>
    <col min="527" max="527" width="11.75" style="509" customWidth="1"/>
    <col min="528" max="528" width="11.375" style="509" customWidth="1"/>
    <col min="529" max="529" width="11.875" style="509" customWidth="1"/>
    <col min="530" max="530" width="11.375" style="509" customWidth="1"/>
    <col min="531" max="531" width="10.375" style="509" customWidth="1"/>
    <col min="532" max="532" width="12.875" style="509" customWidth="1"/>
    <col min="533" max="533" width="11.75" style="509" customWidth="1"/>
    <col min="534" max="534" width="11" style="509" customWidth="1"/>
    <col min="535" max="768" width="9" style="509"/>
    <col min="769" max="769" width="5.375" style="509" customWidth="1"/>
    <col min="770" max="770" width="13.125" style="509" customWidth="1"/>
    <col min="771" max="771" width="43.875" style="509" customWidth="1"/>
    <col min="772" max="772" width="10.75" style="509" customWidth="1"/>
    <col min="773" max="773" width="10.375" style="509" customWidth="1"/>
    <col min="774" max="774" width="11" style="509" customWidth="1"/>
    <col min="775" max="776" width="12.125" style="509" customWidth="1"/>
    <col min="777" max="777" width="12.875" style="509" customWidth="1"/>
    <col min="778" max="779" width="12.125" style="509" customWidth="1"/>
    <col min="780" max="780" width="11.375" style="509" customWidth="1"/>
    <col min="781" max="782" width="11.875" style="509" customWidth="1"/>
    <col min="783" max="783" width="11.75" style="509" customWidth="1"/>
    <col min="784" max="784" width="11.375" style="509" customWidth="1"/>
    <col min="785" max="785" width="11.875" style="509" customWidth="1"/>
    <col min="786" max="786" width="11.375" style="509" customWidth="1"/>
    <col min="787" max="787" width="10.375" style="509" customWidth="1"/>
    <col min="788" max="788" width="12.875" style="509" customWidth="1"/>
    <col min="789" max="789" width="11.75" style="509" customWidth="1"/>
    <col min="790" max="790" width="11" style="509" customWidth="1"/>
    <col min="791" max="1024" width="9" style="509"/>
    <col min="1025" max="1025" width="5.375" style="509" customWidth="1"/>
    <col min="1026" max="1026" width="13.125" style="509" customWidth="1"/>
    <col min="1027" max="1027" width="43.875" style="509" customWidth="1"/>
    <col min="1028" max="1028" width="10.75" style="509" customWidth="1"/>
    <col min="1029" max="1029" width="10.375" style="509" customWidth="1"/>
    <col min="1030" max="1030" width="11" style="509" customWidth="1"/>
    <col min="1031" max="1032" width="12.125" style="509" customWidth="1"/>
    <col min="1033" max="1033" width="12.875" style="509" customWidth="1"/>
    <col min="1034" max="1035" width="12.125" style="509" customWidth="1"/>
    <col min="1036" max="1036" width="11.375" style="509" customWidth="1"/>
    <col min="1037" max="1038" width="11.875" style="509" customWidth="1"/>
    <col min="1039" max="1039" width="11.75" style="509" customWidth="1"/>
    <col min="1040" max="1040" width="11.375" style="509" customWidth="1"/>
    <col min="1041" max="1041" width="11.875" style="509" customWidth="1"/>
    <col min="1042" max="1042" width="11.375" style="509" customWidth="1"/>
    <col min="1043" max="1043" width="10.375" style="509" customWidth="1"/>
    <col min="1044" max="1044" width="12.875" style="509" customWidth="1"/>
    <col min="1045" max="1045" width="11.75" style="509" customWidth="1"/>
    <col min="1046" max="1046" width="11" style="509" customWidth="1"/>
    <col min="1047" max="1280" width="9" style="509"/>
    <col min="1281" max="1281" width="5.375" style="509" customWidth="1"/>
    <col min="1282" max="1282" width="13.125" style="509" customWidth="1"/>
    <col min="1283" max="1283" width="43.875" style="509" customWidth="1"/>
    <col min="1284" max="1284" width="10.75" style="509" customWidth="1"/>
    <col min="1285" max="1285" width="10.375" style="509" customWidth="1"/>
    <col min="1286" max="1286" width="11" style="509" customWidth="1"/>
    <col min="1287" max="1288" width="12.125" style="509" customWidth="1"/>
    <col min="1289" max="1289" width="12.875" style="509" customWidth="1"/>
    <col min="1290" max="1291" width="12.125" style="509" customWidth="1"/>
    <col min="1292" max="1292" width="11.375" style="509" customWidth="1"/>
    <col min="1293" max="1294" width="11.875" style="509" customWidth="1"/>
    <col min="1295" max="1295" width="11.75" style="509" customWidth="1"/>
    <col min="1296" max="1296" width="11.375" style="509" customWidth="1"/>
    <col min="1297" max="1297" width="11.875" style="509" customWidth="1"/>
    <col min="1298" max="1298" width="11.375" style="509" customWidth="1"/>
    <col min="1299" max="1299" width="10.375" style="509" customWidth="1"/>
    <col min="1300" max="1300" width="12.875" style="509" customWidth="1"/>
    <col min="1301" max="1301" width="11.75" style="509" customWidth="1"/>
    <col min="1302" max="1302" width="11" style="509" customWidth="1"/>
    <col min="1303" max="1536" width="9" style="509"/>
    <col min="1537" max="1537" width="5.375" style="509" customWidth="1"/>
    <col min="1538" max="1538" width="13.125" style="509" customWidth="1"/>
    <col min="1539" max="1539" width="43.875" style="509" customWidth="1"/>
    <col min="1540" max="1540" width="10.75" style="509" customWidth="1"/>
    <col min="1541" max="1541" width="10.375" style="509" customWidth="1"/>
    <col min="1542" max="1542" width="11" style="509" customWidth="1"/>
    <col min="1543" max="1544" width="12.125" style="509" customWidth="1"/>
    <col min="1545" max="1545" width="12.875" style="509" customWidth="1"/>
    <col min="1546" max="1547" width="12.125" style="509" customWidth="1"/>
    <col min="1548" max="1548" width="11.375" style="509" customWidth="1"/>
    <col min="1549" max="1550" width="11.875" style="509" customWidth="1"/>
    <col min="1551" max="1551" width="11.75" style="509" customWidth="1"/>
    <col min="1552" max="1552" width="11.375" style="509" customWidth="1"/>
    <col min="1553" max="1553" width="11.875" style="509" customWidth="1"/>
    <col min="1554" max="1554" width="11.375" style="509" customWidth="1"/>
    <col min="1555" max="1555" width="10.375" style="509" customWidth="1"/>
    <col min="1556" max="1556" width="12.875" style="509" customWidth="1"/>
    <col min="1557" max="1557" width="11.75" style="509" customWidth="1"/>
    <col min="1558" max="1558" width="11" style="509" customWidth="1"/>
    <col min="1559" max="1792" width="9" style="509"/>
    <col min="1793" max="1793" width="5.375" style="509" customWidth="1"/>
    <col min="1794" max="1794" width="13.125" style="509" customWidth="1"/>
    <col min="1795" max="1795" width="43.875" style="509" customWidth="1"/>
    <col min="1796" max="1796" width="10.75" style="509" customWidth="1"/>
    <col min="1797" max="1797" width="10.375" style="509" customWidth="1"/>
    <col min="1798" max="1798" width="11" style="509" customWidth="1"/>
    <col min="1799" max="1800" width="12.125" style="509" customWidth="1"/>
    <col min="1801" max="1801" width="12.875" style="509" customWidth="1"/>
    <col min="1802" max="1803" width="12.125" style="509" customWidth="1"/>
    <col min="1804" max="1804" width="11.375" style="509" customWidth="1"/>
    <col min="1805" max="1806" width="11.875" style="509" customWidth="1"/>
    <col min="1807" max="1807" width="11.75" style="509" customWidth="1"/>
    <col min="1808" max="1808" width="11.375" style="509" customWidth="1"/>
    <col min="1809" max="1809" width="11.875" style="509" customWidth="1"/>
    <col min="1810" max="1810" width="11.375" style="509" customWidth="1"/>
    <col min="1811" max="1811" width="10.375" style="509" customWidth="1"/>
    <col min="1812" max="1812" width="12.875" style="509" customWidth="1"/>
    <col min="1813" max="1813" width="11.75" style="509" customWidth="1"/>
    <col min="1814" max="1814" width="11" style="509" customWidth="1"/>
    <col min="1815" max="2048" width="9" style="509"/>
    <col min="2049" max="2049" width="5.375" style="509" customWidth="1"/>
    <col min="2050" max="2050" width="13.125" style="509" customWidth="1"/>
    <col min="2051" max="2051" width="43.875" style="509" customWidth="1"/>
    <col min="2052" max="2052" width="10.75" style="509" customWidth="1"/>
    <col min="2053" max="2053" width="10.375" style="509" customWidth="1"/>
    <col min="2054" max="2054" width="11" style="509" customWidth="1"/>
    <col min="2055" max="2056" width="12.125" style="509" customWidth="1"/>
    <col min="2057" max="2057" width="12.875" style="509" customWidth="1"/>
    <col min="2058" max="2059" width="12.125" style="509" customWidth="1"/>
    <col min="2060" max="2060" width="11.375" style="509" customWidth="1"/>
    <col min="2061" max="2062" width="11.875" style="509" customWidth="1"/>
    <col min="2063" max="2063" width="11.75" style="509" customWidth="1"/>
    <col min="2064" max="2064" width="11.375" style="509" customWidth="1"/>
    <col min="2065" max="2065" width="11.875" style="509" customWidth="1"/>
    <col min="2066" max="2066" width="11.375" style="509" customWidth="1"/>
    <col min="2067" max="2067" width="10.375" style="509" customWidth="1"/>
    <col min="2068" max="2068" width="12.875" style="509" customWidth="1"/>
    <col min="2069" max="2069" width="11.75" style="509" customWidth="1"/>
    <col min="2070" max="2070" width="11" style="509" customWidth="1"/>
    <col min="2071" max="2304" width="9" style="509"/>
    <col min="2305" max="2305" width="5.375" style="509" customWidth="1"/>
    <col min="2306" max="2306" width="13.125" style="509" customWidth="1"/>
    <col min="2307" max="2307" width="43.875" style="509" customWidth="1"/>
    <col min="2308" max="2308" width="10.75" style="509" customWidth="1"/>
    <col min="2309" max="2309" width="10.375" style="509" customWidth="1"/>
    <col min="2310" max="2310" width="11" style="509" customWidth="1"/>
    <col min="2311" max="2312" width="12.125" style="509" customWidth="1"/>
    <col min="2313" max="2313" width="12.875" style="509" customWidth="1"/>
    <col min="2314" max="2315" width="12.125" style="509" customWidth="1"/>
    <col min="2316" max="2316" width="11.375" style="509" customWidth="1"/>
    <col min="2317" max="2318" width="11.875" style="509" customWidth="1"/>
    <col min="2319" max="2319" width="11.75" style="509" customWidth="1"/>
    <col min="2320" max="2320" width="11.375" style="509" customWidth="1"/>
    <col min="2321" max="2321" width="11.875" style="509" customWidth="1"/>
    <col min="2322" max="2322" width="11.375" style="509" customWidth="1"/>
    <col min="2323" max="2323" width="10.375" style="509" customWidth="1"/>
    <col min="2324" max="2324" width="12.875" style="509" customWidth="1"/>
    <col min="2325" max="2325" width="11.75" style="509" customWidth="1"/>
    <col min="2326" max="2326" width="11" style="509" customWidth="1"/>
    <col min="2327" max="2560" width="9" style="509"/>
    <col min="2561" max="2561" width="5.375" style="509" customWidth="1"/>
    <col min="2562" max="2562" width="13.125" style="509" customWidth="1"/>
    <col min="2563" max="2563" width="43.875" style="509" customWidth="1"/>
    <col min="2564" max="2564" width="10.75" style="509" customWidth="1"/>
    <col min="2565" max="2565" width="10.375" style="509" customWidth="1"/>
    <col min="2566" max="2566" width="11" style="509" customWidth="1"/>
    <col min="2567" max="2568" width="12.125" style="509" customWidth="1"/>
    <col min="2569" max="2569" width="12.875" style="509" customWidth="1"/>
    <col min="2570" max="2571" width="12.125" style="509" customWidth="1"/>
    <col min="2572" max="2572" width="11.375" style="509" customWidth="1"/>
    <col min="2573" max="2574" width="11.875" style="509" customWidth="1"/>
    <col min="2575" max="2575" width="11.75" style="509" customWidth="1"/>
    <col min="2576" max="2576" width="11.375" style="509" customWidth="1"/>
    <col min="2577" max="2577" width="11.875" style="509" customWidth="1"/>
    <col min="2578" max="2578" width="11.375" style="509" customWidth="1"/>
    <col min="2579" max="2579" width="10.375" style="509" customWidth="1"/>
    <col min="2580" max="2580" width="12.875" style="509" customWidth="1"/>
    <col min="2581" max="2581" width="11.75" style="509" customWidth="1"/>
    <col min="2582" max="2582" width="11" style="509" customWidth="1"/>
    <col min="2583" max="2816" width="9" style="509"/>
    <col min="2817" max="2817" width="5.375" style="509" customWidth="1"/>
    <col min="2818" max="2818" width="13.125" style="509" customWidth="1"/>
    <col min="2819" max="2819" width="43.875" style="509" customWidth="1"/>
    <col min="2820" max="2820" width="10.75" style="509" customWidth="1"/>
    <col min="2821" max="2821" width="10.375" style="509" customWidth="1"/>
    <col min="2822" max="2822" width="11" style="509" customWidth="1"/>
    <col min="2823" max="2824" width="12.125" style="509" customWidth="1"/>
    <col min="2825" max="2825" width="12.875" style="509" customWidth="1"/>
    <col min="2826" max="2827" width="12.125" style="509" customWidth="1"/>
    <col min="2828" max="2828" width="11.375" style="509" customWidth="1"/>
    <col min="2829" max="2830" width="11.875" style="509" customWidth="1"/>
    <col min="2831" max="2831" width="11.75" style="509" customWidth="1"/>
    <col min="2832" max="2832" width="11.375" style="509" customWidth="1"/>
    <col min="2833" max="2833" width="11.875" style="509" customWidth="1"/>
    <col min="2834" max="2834" width="11.375" style="509" customWidth="1"/>
    <col min="2835" max="2835" width="10.375" style="509" customWidth="1"/>
    <col min="2836" max="2836" width="12.875" style="509" customWidth="1"/>
    <col min="2837" max="2837" width="11.75" style="509" customWidth="1"/>
    <col min="2838" max="2838" width="11" style="509" customWidth="1"/>
    <col min="2839" max="3072" width="9" style="509"/>
    <col min="3073" max="3073" width="5.375" style="509" customWidth="1"/>
    <col min="3074" max="3074" width="13.125" style="509" customWidth="1"/>
    <col min="3075" max="3075" width="43.875" style="509" customWidth="1"/>
    <col min="3076" max="3076" width="10.75" style="509" customWidth="1"/>
    <col min="3077" max="3077" width="10.375" style="509" customWidth="1"/>
    <col min="3078" max="3078" width="11" style="509" customWidth="1"/>
    <col min="3079" max="3080" width="12.125" style="509" customWidth="1"/>
    <col min="3081" max="3081" width="12.875" style="509" customWidth="1"/>
    <col min="3082" max="3083" width="12.125" style="509" customWidth="1"/>
    <col min="3084" max="3084" width="11.375" style="509" customWidth="1"/>
    <col min="3085" max="3086" width="11.875" style="509" customWidth="1"/>
    <col min="3087" max="3087" width="11.75" style="509" customWidth="1"/>
    <col min="3088" max="3088" width="11.375" style="509" customWidth="1"/>
    <col min="3089" max="3089" width="11.875" style="509" customWidth="1"/>
    <col min="3090" max="3090" width="11.375" style="509" customWidth="1"/>
    <col min="3091" max="3091" width="10.375" style="509" customWidth="1"/>
    <col min="3092" max="3092" width="12.875" style="509" customWidth="1"/>
    <col min="3093" max="3093" width="11.75" style="509" customWidth="1"/>
    <col min="3094" max="3094" width="11" style="509" customWidth="1"/>
    <col min="3095" max="3328" width="9" style="509"/>
    <col min="3329" max="3329" width="5.375" style="509" customWidth="1"/>
    <col min="3330" max="3330" width="13.125" style="509" customWidth="1"/>
    <col min="3331" max="3331" width="43.875" style="509" customWidth="1"/>
    <col min="3332" max="3332" width="10.75" style="509" customWidth="1"/>
    <col min="3333" max="3333" width="10.375" style="509" customWidth="1"/>
    <col min="3334" max="3334" width="11" style="509" customWidth="1"/>
    <col min="3335" max="3336" width="12.125" style="509" customWidth="1"/>
    <col min="3337" max="3337" width="12.875" style="509" customWidth="1"/>
    <col min="3338" max="3339" width="12.125" style="509" customWidth="1"/>
    <col min="3340" max="3340" width="11.375" style="509" customWidth="1"/>
    <col min="3341" max="3342" width="11.875" style="509" customWidth="1"/>
    <col min="3343" max="3343" width="11.75" style="509" customWidth="1"/>
    <col min="3344" max="3344" width="11.375" style="509" customWidth="1"/>
    <col min="3345" max="3345" width="11.875" style="509" customWidth="1"/>
    <col min="3346" max="3346" width="11.375" style="509" customWidth="1"/>
    <col min="3347" max="3347" width="10.375" style="509" customWidth="1"/>
    <col min="3348" max="3348" width="12.875" style="509" customWidth="1"/>
    <col min="3349" max="3349" width="11.75" style="509" customWidth="1"/>
    <col min="3350" max="3350" width="11" style="509" customWidth="1"/>
    <col min="3351" max="3584" width="9" style="509"/>
    <col min="3585" max="3585" width="5.375" style="509" customWidth="1"/>
    <col min="3586" max="3586" width="13.125" style="509" customWidth="1"/>
    <col min="3587" max="3587" width="43.875" style="509" customWidth="1"/>
    <col min="3588" max="3588" width="10.75" style="509" customWidth="1"/>
    <col min="3589" max="3589" width="10.375" style="509" customWidth="1"/>
    <col min="3590" max="3590" width="11" style="509" customWidth="1"/>
    <col min="3591" max="3592" width="12.125" style="509" customWidth="1"/>
    <col min="3593" max="3593" width="12.875" style="509" customWidth="1"/>
    <col min="3594" max="3595" width="12.125" style="509" customWidth="1"/>
    <col min="3596" max="3596" width="11.375" style="509" customWidth="1"/>
    <col min="3597" max="3598" width="11.875" style="509" customWidth="1"/>
    <col min="3599" max="3599" width="11.75" style="509" customWidth="1"/>
    <col min="3600" max="3600" width="11.375" style="509" customWidth="1"/>
    <col min="3601" max="3601" width="11.875" style="509" customWidth="1"/>
    <col min="3602" max="3602" width="11.375" style="509" customWidth="1"/>
    <col min="3603" max="3603" width="10.375" style="509" customWidth="1"/>
    <col min="3604" max="3604" width="12.875" style="509" customWidth="1"/>
    <col min="3605" max="3605" width="11.75" style="509" customWidth="1"/>
    <col min="3606" max="3606" width="11" style="509" customWidth="1"/>
    <col min="3607" max="3840" width="9" style="509"/>
    <col min="3841" max="3841" width="5.375" style="509" customWidth="1"/>
    <col min="3842" max="3842" width="13.125" style="509" customWidth="1"/>
    <col min="3843" max="3843" width="43.875" style="509" customWidth="1"/>
    <col min="3844" max="3844" width="10.75" style="509" customWidth="1"/>
    <col min="3845" max="3845" width="10.375" style="509" customWidth="1"/>
    <col min="3846" max="3846" width="11" style="509" customWidth="1"/>
    <col min="3847" max="3848" width="12.125" style="509" customWidth="1"/>
    <col min="3849" max="3849" width="12.875" style="509" customWidth="1"/>
    <col min="3850" max="3851" width="12.125" style="509" customWidth="1"/>
    <col min="3852" max="3852" width="11.375" style="509" customWidth="1"/>
    <col min="3853" max="3854" width="11.875" style="509" customWidth="1"/>
    <col min="3855" max="3855" width="11.75" style="509" customWidth="1"/>
    <col min="3856" max="3856" width="11.375" style="509" customWidth="1"/>
    <col min="3857" max="3857" width="11.875" style="509" customWidth="1"/>
    <col min="3858" max="3858" width="11.375" style="509" customWidth="1"/>
    <col min="3859" max="3859" width="10.375" style="509" customWidth="1"/>
    <col min="3860" max="3860" width="12.875" style="509" customWidth="1"/>
    <col min="3861" max="3861" width="11.75" style="509" customWidth="1"/>
    <col min="3862" max="3862" width="11" style="509" customWidth="1"/>
    <col min="3863" max="4096" width="9" style="509"/>
    <col min="4097" max="4097" width="5.375" style="509" customWidth="1"/>
    <col min="4098" max="4098" width="13.125" style="509" customWidth="1"/>
    <col min="4099" max="4099" width="43.875" style="509" customWidth="1"/>
    <col min="4100" max="4100" width="10.75" style="509" customWidth="1"/>
    <col min="4101" max="4101" width="10.375" style="509" customWidth="1"/>
    <col min="4102" max="4102" width="11" style="509" customWidth="1"/>
    <col min="4103" max="4104" width="12.125" style="509" customWidth="1"/>
    <col min="4105" max="4105" width="12.875" style="509" customWidth="1"/>
    <col min="4106" max="4107" width="12.125" style="509" customWidth="1"/>
    <col min="4108" max="4108" width="11.375" style="509" customWidth="1"/>
    <col min="4109" max="4110" width="11.875" style="509" customWidth="1"/>
    <col min="4111" max="4111" width="11.75" style="509" customWidth="1"/>
    <col min="4112" max="4112" width="11.375" style="509" customWidth="1"/>
    <col min="4113" max="4113" width="11.875" style="509" customWidth="1"/>
    <col min="4114" max="4114" width="11.375" style="509" customWidth="1"/>
    <col min="4115" max="4115" width="10.375" style="509" customWidth="1"/>
    <col min="4116" max="4116" width="12.875" style="509" customWidth="1"/>
    <col min="4117" max="4117" width="11.75" style="509" customWidth="1"/>
    <col min="4118" max="4118" width="11" style="509" customWidth="1"/>
    <col min="4119" max="4352" width="9" style="509"/>
    <col min="4353" max="4353" width="5.375" style="509" customWidth="1"/>
    <col min="4354" max="4354" width="13.125" style="509" customWidth="1"/>
    <col min="4355" max="4355" width="43.875" style="509" customWidth="1"/>
    <col min="4356" max="4356" width="10.75" style="509" customWidth="1"/>
    <col min="4357" max="4357" width="10.375" style="509" customWidth="1"/>
    <col min="4358" max="4358" width="11" style="509" customWidth="1"/>
    <col min="4359" max="4360" width="12.125" style="509" customWidth="1"/>
    <col min="4361" max="4361" width="12.875" style="509" customWidth="1"/>
    <col min="4362" max="4363" width="12.125" style="509" customWidth="1"/>
    <col min="4364" max="4364" width="11.375" style="509" customWidth="1"/>
    <col min="4365" max="4366" width="11.875" style="509" customWidth="1"/>
    <col min="4367" max="4367" width="11.75" style="509" customWidth="1"/>
    <col min="4368" max="4368" width="11.375" style="509" customWidth="1"/>
    <col min="4369" max="4369" width="11.875" style="509" customWidth="1"/>
    <col min="4370" max="4370" width="11.375" style="509" customWidth="1"/>
    <col min="4371" max="4371" width="10.375" style="509" customWidth="1"/>
    <col min="4372" max="4372" width="12.875" style="509" customWidth="1"/>
    <col min="4373" max="4373" width="11.75" style="509" customWidth="1"/>
    <col min="4374" max="4374" width="11" style="509" customWidth="1"/>
    <col min="4375" max="4608" width="9" style="509"/>
    <col min="4609" max="4609" width="5.375" style="509" customWidth="1"/>
    <col min="4610" max="4610" width="13.125" style="509" customWidth="1"/>
    <col min="4611" max="4611" width="43.875" style="509" customWidth="1"/>
    <col min="4612" max="4612" width="10.75" style="509" customWidth="1"/>
    <col min="4613" max="4613" width="10.375" style="509" customWidth="1"/>
    <col min="4614" max="4614" width="11" style="509" customWidth="1"/>
    <col min="4615" max="4616" width="12.125" style="509" customWidth="1"/>
    <col min="4617" max="4617" width="12.875" style="509" customWidth="1"/>
    <col min="4618" max="4619" width="12.125" style="509" customWidth="1"/>
    <col min="4620" max="4620" width="11.375" style="509" customWidth="1"/>
    <col min="4621" max="4622" width="11.875" style="509" customWidth="1"/>
    <col min="4623" max="4623" width="11.75" style="509" customWidth="1"/>
    <col min="4624" max="4624" width="11.375" style="509" customWidth="1"/>
    <col min="4625" max="4625" width="11.875" style="509" customWidth="1"/>
    <col min="4626" max="4626" width="11.375" style="509" customWidth="1"/>
    <col min="4627" max="4627" width="10.375" style="509" customWidth="1"/>
    <col min="4628" max="4628" width="12.875" style="509" customWidth="1"/>
    <col min="4629" max="4629" width="11.75" style="509" customWidth="1"/>
    <col min="4630" max="4630" width="11" style="509" customWidth="1"/>
    <col min="4631" max="4864" width="9" style="509"/>
    <col min="4865" max="4865" width="5.375" style="509" customWidth="1"/>
    <col min="4866" max="4866" width="13.125" style="509" customWidth="1"/>
    <col min="4867" max="4867" width="43.875" style="509" customWidth="1"/>
    <col min="4868" max="4868" width="10.75" style="509" customWidth="1"/>
    <col min="4869" max="4869" width="10.375" style="509" customWidth="1"/>
    <col min="4870" max="4870" width="11" style="509" customWidth="1"/>
    <col min="4871" max="4872" width="12.125" style="509" customWidth="1"/>
    <col min="4873" max="4873" width="12.875" style="509" customWidth="1"/>
    <col min="4874" max="4875" width="12.125" style="509" customWidth="1"/>
    <col min="4876" max="4876" width="11.375" style="509" customWidth="1"/>
    <col min="4877" max="4878" width="11.875" style="509" customWidth="1"/>
    <col min="4879" max="4879" width="11.75" style="509" customWidth="1"/>
    <col min="4880" max="4880" width="11.375" style="509" customWidth="1"/>
    <col min="4881" max="4881" width="11.875" style="509" customWidth="1"/>
    <col min="4882" max="4882" width="11.375" style="509" customWidth="1"/>
    <col min="4883" max="4883" width="10.375" style="509" customWidth="1"/>
    <col min="4884" max="4884" width="12.875" style="509" customWidth="1"/>
    <col min="4885" max="4885" width="11.75" style="509" customWidth="1"/>
    <col min="4886" max="4886" width="11" style="509" customWidth="1"/>
    <col min="4887" max="5120" width="9" style="509"/>
    <col min="5121" max="5121" width="5.375" style="509" customWidth="1"/>
    <col min="5122" max="5122" width="13.125" style="509" customWidth="1"/>
    <col min="5123" max="5123" width="43.875" style="509" customWidth="1"/>
    <col min="5124" max="5124" width="10.75" style="509" customWidth="1"/>
    <col min="5125" max="5125" width="10.375" style="509" customWidth="1"/>
    <col min="5126" max="5126" width="11" style="509" customWidth="1"/>
    <col min="5127" max="5128" width="12.125" style="509" customWidth="1"/>
    <col min="5129" max="5129" width="12.875" style="509" customWidth="1"/>
    <col min="5130" max="5131" width="12.125" style="509" customWidth="1"/>
    <col min="5132" max="5132" width="11.375" style="509" customWidth="1"/>
    <col min="5133" max="5134" width="11.875" style="509" customWidth="1"/>
    <col min="5135" max="5135" width="11.75" style="509" customWidth="1"/>
    <col min="5136" max="5136" width="11.375" style="509" customWidth="1"/>
    <col min="5137" max="5137" width="11.875" style="509" customWidth="1"/>
    <col min="5138" max="5138" width="11.375" style="509" customWidth="1"/>
    <col min="5139" max="5139" width="10.375" style="509" customWidth="1"/>
    <col min="5140" max="5140" width="12.875" style="509" customWidth="1"/>
    <col min="5141" max="5141" width="11.75" style="509" customWidth="1"/>
    <col min="5142" max="5142" width="11" style="509" customWidth="1"/>
    <col min="5143" max="5376" width="9" style="509"/>
    <col min="5377" max="5377" width="5.375" style="509" customWidth="1"/>
    <col min="5378" max="5378" width="13.125" style="509" customWidth="1"/>
    <col min="5379" max="5379" width="43.875" style="509" customWidth="1"/>
    <col min="5380" max="5380" width="10.75" style="509" customWidth="1"/>
    <col min="5381" max="5381" width="10.375" style="509" customWidth="1"/>
    <col min="5382" max="5382" width="11" style="509" customWidth="1"/>
    <col min="5383" max="5384" width="12.125" style="509" customWidth="1"/>
    <col min="5385" max="5385" width="12.875" style="509" customWidth="1"/>
    <col min="5386" max="5387" width="12.125" style="509" customWidth="1"/>
    <col min="5388" max="5388" width="11.375" style="509" customWidth="1"/>
    <col min="5389" max="5390" width="11.875" style="509" customWidth="1"/>
    <col min="5391" max="5391" width="11.75" style="509" customWidth="1"/>
    <col min="5392" max="5392" width="11.375" style="509" customWidth="1"/>
    <col min="5393" max="5393" width="11.875" style="509" customWidth="1"/>
    <col min="5394" max="5394" width="11.375" style="509" customWidth="1"/>
    <col min="5395" max="5395" width="10.375" style="509" customWidth="1"/>
    <col min="5396" max="5396" width="12.875" style="509" customWidth="1"/>
    <col min="5397" max="5397" width="11.75" style="509" customWidth="1"/>
    <col min="5398" max="5398" width="11" style="509" customWidth="1"/>
    <col min="5399" max="5632" width="9" style="509"/>
    <col min="5633" max="5633" width="5.375" style="509" customWidth="1"/>
    <col min="5634" max="5634" width="13.125" style="509" customWidth="1"/>
    <col min="5635" max="5635" width="43.875" style="509" customWidth="1"/>
    <col min="5636" max="5636" width="10.75" style="509" customWidth="1"/>
    <col min="5637" max="5637" width="10.375" style="509" customWidth="1"/>
    <col min="5638" max="5638" width="11" style="509" customWidth="1"/>
    <col min="5639" max="5640" width="12.125" style="509" customWidth="1"/>
    <col min="5641" max="5641" width="12.875" style="509" customWidth="1"/>
    <col min="5642" max="5643" width="12.125" style="509" customWidth="1"/>
    <col min="5644" max="5644" width="11.375" style="509" customWidth="1"/>
    <col min="5645" max="5646" width="11.875" style="509" customWidth="1"/>
    <col min="5647" max="5647" width="11.75" style="509" customWidth="1"/>
    <col min="5648" max="5648" width="11.375" style="509" customWidth="1"/>
    <col min="5649" max="5649" width="11.875" style="509" customWidth="1"/>
    <col min="5650" max="5650" width="11.375" style="509" customWidth="1"/>
    <col min="5651" max="5651" width="10.375" style="509" customWidth="1"/>
    <col min="5652" max="5652" width="12.875" style="509" customWidth="1"/>
    <col min="5653" max="5653" width="11.75" style="509" customWidth="1"/>
    <col min="5654" max="5654" width="11" style="509" customWidth="1"/>
    <col min="5655" max="5888" width="9" style="509"/>
    <col min="5889" max="5889" width="5.375" style="509" customWidth="1"/>
    <col min="5890" max="5890" width="13.125" style="509" customWidth="1"/>
    <col min="5891" max="5891" width="43.875" style="509" customWidth="1"/>
    <col min="5892" max="5892" width="10.75" style="509" customWidth="1"/>
    <col min="5893" max="5893" width="10.375" style="509" customWidth="1"/>
    <col min="5894" max="5894" width="11" style="509" customWidth="1"/>
    <col min="5895" max="5896" width="12.125" style="509" customWidth="1"/>
    <col min="5897" max="5897" width="12.875" style="509" customWidth="1"/>
    <col min="5898" max="5899" width="12.125" style="509" customWidth="1"/>
    <col min="5900" max="5900" width="11.375" style="509" customWidth="1"/>
    <col min="5901" max="5902" width="11.875" style="509" customWidth="1"/>
    <col min="5903" max="5903" width="11.75" style="509" customWidth="1"/>
    <col min="5904" max="5904" width="11.375" style="509" customWidth="1"/>
    <col min="5905" max="5905" width="11.875" style="509" customWidth="1"/>
    <col min="5906" max="5906" width="11.375" style="509" customWidth="1"/>
    <col min="5907" max="5907" width="10.375" style="509" customWidth="1"/>
    <col min="5908" max="5908" width="12.875" style="509" customWidth="1"/>
    <col min="5909" max="5909" width="11.75" style="509" customWidth="1"/>
    <col min="5910" max="5910" width="11" style="509" customWidth="1"/>
    <col min="5911" max="6144" width="9" style="509"/>
    <col min="6145" max="6145" width="5.375" style="509" customWidth="1"/>
    <col min="6146" max="6146" width="13.125" style="509" customWidth="1"/>
    <col min="6147" max="6147" width="43.875" style="509" customWidth="1"/>
    <col min="6148" max="6148" width="10.75" style="509" customWidth="1"/>
    <col min="6149" max="6149" width="10.375" style="509" customWidth="1"/>
    <col min="6150" max="6150" width="11" style="509" customWidth="1"/>
    <col min="6151" max="6152" width="12.125" style="509" customWidth="1"/>
    <col min="6153" max="6153" width="12.875" style="509" customWidth="1"/>
    <col min="6154" max="6155" width="12.125" style="509" customWidth="1"/>
    <col min="6156" max="6156" width="11.375" style="509" customWidth="1"/>
    <col min="6157" max="6158" width="11.875" style="509" customWidth="1"/>
    <col min="6159" max="6159" width="11.75" style="509" customWidth="1"/>
    <col min="6160" max="6160" width="11.375" style="509" customWidth="1"/>
    <col min="6161" max="6161" width="11.875" style="509" customWidth="1"/>
    <col min="6162" max="6162" width="11.375" style="509" customWidth="1"/>
    <col min="6163" max="6163" width="10.375" style="509" customWidth="1"/>
    <col min="6164" max="6164" width="12.875" style="509" customWidth="1"/>
    <col min="6165" max="6165" width="11.75" style="509" customWidth="1"/>
    <col min="6166" max="6166" width="11" style="509" customWidth="1"/>
    <col min="6167" max="6400" width="9" style="509"/>
    <col min="6401" max="6401" width="5.375" style="509" customWidth="1"/>
    <col min="6402" max="6402" width="13.125" style="509" customWidth="1"/>
    <col min="6403" max="6403" width="43.875" style="509" customWidth="1"/>
    <col min="6404" max="6404" width="10.75" style="509" customWidth="1"/>
    <col min="6405" max="6405" width="10.375" style="509" customWidth="1"/>
    <col min="6406" max="6406" width="11" style="509" customWidth="1"/>
    <col min="6407" max="6408" width="12.125" style="509" customWidth="1"/>
    <col min="6409" max="6409" width="12.875" style="509" customWidth="1"/>
    <col min="6410" max="6411" width="12.125" style="509" customWidth="1"/>
    <col min="6412" max="6412" width="11.375" style="509" customWidth="1"/>
    <col min="6413" max="6414" width="11.875" style="509" customWidth="1"/>
    <col min="6415" max="6415" width="11.75" style="509" customWidth="1"/>
    <col min="6416" max="6416" width="11.375" style="509" customWidth="1"/>
    <col min="6417" max="6417" width="11.875" style="509" customWidth="1"/>
    <col min="6418" max="6418" width="11.375" style="509" customWidth="1"/>
    <col min="6419" max="6419" width="10.375" style="509" customWidth="1"/>
    <col min="6420" max="6420" width="12.875" style="509" customWidth="1"/>
    <col min="6421" max="6421" width="11.75" style="509" customWidth="1"/>
    <col min="6422" max="6422" width="11" style="509" customWidth="1"/>
    <col min="6423" max="6656" width="9" style="509"/>
    <col min="6657" max="6657" width="5.375" style="509" customWidth="1"/>
    <col min="6658" max="6658" width="13.125" style="509" customWidth="1"/>
    <col min="6659" max="6659" width="43.875" style="509" customWidth="1"/>
    <col min="6660" max="6660" width="10.75" style="509" customWidth="1"/>
    <col min="6661" max="6661" width="10.375" style="509" customWidth="1"/>
    <col min="6662" max="6662" width="11" style="509" customWidth="1"/>
    <col min="6663" max="6664" width="12.125" style="509" customWidth="1"/>
    <col min="6665" max="6665" width="12.875" style="509" customWidth="1"/>
    <col min="6666" max="6667" width="12.125" style="509" customWidth="1"/>
    <col min="6668" max="6668" width="11.375" style="509" customWidth="1"/>
    <col min="6669" max="6670" width="11.875" style="509" customWidth="1"/>
    <col min="6671" max="6671" width="11.75" style="509" customWidth="1"/>
    <col min="6672" max="6672" width="11.375" style="509" customWidth="1"/>
    <col min="6673" max="6673" width="11.875" style="509" customWidth="1"/>
    <col min="6674" max="6674" width="11.375" style="509" customWidth="1"/>
    <col min="6675" max="6675" width="10.375" style="509" customWidth="1"/>
    <col min="6676" max="6676" width="12.875" style="509" customWidth="1"/>
    <col min="6677" max="6677" width="11.75" style="509" customWidth="1"/>
    <col min="6678" max="6678" width="11" style="509" customWidth="1"/>
    <col min="6679" max="6912" width="9" style="509"/>
    <col min="6913" max="6913" width="5.375" style="509" customWidth="1"/>
    <col min="6914" max="6914" width="13.125" style="509" customWidth="1"/>
    <col min="6915" max="6915" width="43.875" style="509" customWidth="1"/>
    <col min="6916" max="6916" width="10.75" style="509" customWidth="1"/>
    <col min="6917" max="6917" width="10.375" style="509" customWidth="1"/>
    <col min="6918" max="6918" width="11" style="509" customWidth="1"/>
    <col min="6919" max="6920" width="12.125" style="509" customWidth="1"/>
    <col min="6921" max="6921" width="12.875" style="509" customWidth="1"/>
    <col min="6922" max="6923" width="12.125" style="509" customWidth="1"/>
    <col min="6924" max="6924" width="11.375" style="509" customWidth="1"/>
    <col min="6925" max="6926" width="11.875" style="509" customWidth="1"/>
    <col min="6927" max="6927" width="11.75" style="509" customWidth="1"/>
    <col min="6928" max="6928" width="11.375" style="509" customWidth="1"/>
    <col min="6929" max="6929" width="11.875" style="509" customWidth="1"/>
    <col min="6930" max="6930" width="11.375" style="509" customWidth="1"/>
    <col min="6931" max="6931" width="10.375" style="509" customWidth="1"/>
    <col min="6932" max="6932" width="12.875" style="509" customWidth="1"/>
    <col min="6933" max="6933" width="11.75" style="509" customWidth="1"/>
    <col min="6934" max="6934" width="11" style="509" customWidth="1"/>
    <col min="6935" max="7168" width="9" style="509"/>
    <col min="7169" max="7169" width="5.375" style="509" customWidth="1"/>
    <col min="7170" max="7170" width="13.125" style="509" customWidth="1"/>
    <col min="7171" max="7171" width="43.875" style="509" customWidth="1"/>
    <col min="7172" max="7172" width="10.75" style="509" customWidth="1"/>
    <col min="7173" max="7173" width="10.375" style="509" customWidth="1"/>
    <col min="7174" max="7174" width="11" style="509" customWidth="1"/>
    <col min="7175" max="7176" width="12.125" style="509" customWidth="1"/>
    <col min="7177" max="7177" width="12.875" style="509" customWidth="1"/>
    <col min="7178" max="7179" width="12.125" style="509" customWidth="1"/>
    <col min="7180" max="7180" width="11.375" style="509" customWidth="1"/>
    <col min="7181" max="7182" width="11.875" style="509" customWidth="1"/>
    <col min="7183" max="7183" width="11.75" style="509" customWidth="1"/>
    <col min="7184" max="7184" width="11.375" style="509" customWidth="1"/>
    <col min="7185" max="7185" width="11.875" style="509" customWidth="1"/>
    <col min="7186" max="7186" width="11.375" style="509" customWidth="1"/>
    <col min="7187" max="7187" width="10.375" style="509" customWidth="1"/>
    <col min="7188" max="7188" width="12.875" style="509" customWidth="1"/>
    <col min="7189" max="7189" width="11.75" style="509" customWidth="1"/>
    <col min="7190" max="7190" width="11" style="509" customWidth="1"/>
    <col min="7191" max="7424" width="9" style="509"/>
    <col min="7425" max="7425" width="5.375" style="509" customWidth="1"/>
    <col min="7426" max="7426" width="13.125" style="509" customWidth="1"/>
    <col min="7427" max="7427" width="43.875" style="509" customWidth="1"/>
    <col min="7428" max="7428" width="10.75" style="509" customWidth="1"/>
    <col min="7429" max="7429" width="10.375" style="509" customWidth="1"/>
    <col min="7430" max="7430" width="11" style="509" customWidth="1"/>
    <col min="7431" max="7432" width="12.125" style="509" customWidth="1"/>
    <col min="7433" max="7433" width="12.875" style="509" customWidth="1"/>
    <col min="7434" max="7435" width="12.125" style="509" customWidth="1"/>
    <col min="7436" max="7436" width="11.375" style="509" customWidth="1"/>
    <col min="7437" max="7438" width="11.875" style="509" customWidth="1"/>
    <col min="7439" max="7439" width="11.75" style="509" customWidth="1"/>
    <col min="7440" max="7440" width="11.375" style="509" customWidth="1"/>
    <col min="7441" max="7441" width="11.875" style="509" customWidth="1"/>
    <col min="7442" max="7442" width="11.375" style="509" customWidth="1"/>
    <col min="7443" max="7443" width="10.375" style="509" customWidth="1"/>
    <col min="7444" max="7444" width="12.875" style="509" customWidth="1"/>
    <col min="7445" max="7445" width="11.75" style="509" customWidth="1"/>
    <col min="7446" max="7446" width="11" style="509" customWidth="1"/>
    <col min="7447" max="7680" width="9" style="509"/>
    <col min="7681" max="7681" width="5.375" style="509" customWidth="1"/>
    <col min="7682" max="7682" width="13.125" style="509" customWidth="1"/>
    <col min="7683" max="7683" width="43.875" style="509" customWidth="1"/>
    <col min="7684" max="7684" width="10.75" style="509" customWidth="1"/>
    <col min="7685" max="7685" width="10.375" style="509" customWidth="1"/>
    <col min="7686" max="7686" width="11" style="509" customWidth="1"/>
    <col min="7687" max="7688" width="12.125" style="509" customWidth="1"/>
    <col min="7689" max="7689" width="12.875" style="509" customWidth="1"/>
    <col min="7690" max="7691" width="12.125" style="509" customWidth="1"/>
    <col min="7692" max="7692" width="11.375" style="509" customWidth="1"/>
    <col min="7693" max="7694" width="11.875" style="509" customWidth="1"/>
    <col min="7695" max="7695" width="11.75" style="509" customWidth="1"/>
    <col min="7696" max="7696" width="11.375" style="509" customWidth="1"/>
    <col min="7697" max="7697" width="11.875" style="509" customWidth="1"/>
    <col min="7698" max="7698" width="11.375" style="509" customWidth="1"/>
    <col min="7699" max="7699" width="10.375" style="509" customWidth="1"/>
    <col min="7700" max="7700" width="12.875" style="509" customWidth="1"/>
    <col min="7701" max="7701" width="11.75" style="509" customWidth="1"/>
    <col min="7702" max="7702" width="11" style="509" customWidth="1"/>
    <col min="7703" max="7936" width="9" style="509"/>
    <col min="7937" max="7937" width="5.375" style="509" customWidth="1"/>
    <col min="7938" max="7938" width="13.125" style="509" customWidth="1"/>
    <col min="7939" max="7939" width="43.875" style="509" customWidth="1"/>
    <col min="7940" max="7940" width="10.75" style="509" customWidth="1"/>
    <col min="7941" max="7941" width="10.375" style="509" customWidth="1"/>
    <col min="7942" max="7942" width="11" style="509" customWidth="1"/>
    <col min="7943" max="7944" width="12.125" style="509" customWidth="1"/>
    <col min="7945" max="7945" width="12.875" style="509" customWidth="1"/>
    <col min="7946" max="7947" width="12.125" style="509" customWidth="1"/>
    <col min="7948" max="7948" width="11.375" style="509" customWidth="1"/>
    <col min="7949" max="7950" width="11.875" style="509" customWidth="1"/>
    <col min="7951" max="7951" width="11.75" style="509" customWidth="1"/>
    <col min="7952" max="7952" width="11.375" style="509" customWidth="1"/>
    <col min="7953" max="7953" width="11.875" style="509" customWidth="1"/>
    <col min="7954" max="7954" width="11.375" style="509" customWidth="1"/>
    <col min="7955" max="7955" width="10.375" style="509" customWidth="1"/>
    <col min="7956" max="7956" width="12.875" style="509" customWidth="1"/>
    <col min="7957" max="7957" width="11.75" style="509" customWidth="1"/>
    <col min="7958" max="7958" width="11" style="509" customWidth="1"/>
    <col min="7959" max="8192" width="9" style="509"/>
    <col min="8193" max="8193" width="5.375" style="509" customWidth="1"/>
    <col min="8194" max="8194" width="13.125" style="509" customWidth="1"/>
    <col min="8195" max="8195" width="43.875" style="509" customWidth="1"/>
    <col min="8196" max="8196" width="10.75" style="509" customWidth="1"/>
    <col min="8197" max="8197" width="10.375" style="509" customWidth="1"/>
    <col min="8198" max="8198" width="11" style="509" customWidth="1"/>
    <col min="8199" max="8200" width="12.125" style="509" customWidth="1"/>
    <col min="8201" max="8201" width="12.875" style="509" customWidth="1"/>
    <col min="8202" max="8203" width="12.125" style="509" customWidth="1"/>
    <col min="8204" max="8204" width="11.375" style="509" customWidth="1"/>
    <col min="8205" max="8206" width="11.875" style="509" customWidth="1"/>
    <col min="8207" max="8207" width="11.75" style="509" customWidth="1"/>
    <col min="8208" max="8208" width="11.375" style="509" customWidth="1"/>
    <col min="8209" max="8209" width="11.875" style="509" customWidth="1"/>
    <col min="8210" max="8210" width="11.375" style="509" customWidth="1"/>
    <col min="8211" max="8211" width="10.375" style="509" customWidth="1"/>
    <col min="8212" max="8212" width="12.875" style="509" customWidth="1"/>
    <col min="8213" max="8213" width="11.75" style="509" customWidth="1"/>
    <col min="8214" max="8214" width="11" style="509" customWidth="1"/>
    <col min="8215" max="8448" width="9" style="509"/>
    <col min="8449" max="8449" width="5.375" style="509" customWidth="1"/>
    <col min="8450" max="8450" width="13.125" style="509" customWidth="1"/>
    <col min="8451" max="8451" width="43.875" style="509" customWidth="1"/>
    <col min="8452" max="8452" width="10.75" style="509" customWidth="1"/>
    <col min="8453" max="8453" width="10.375" style="509" customWidth="1"/>
    <col min="8454" max="8454" width="11" style="509" customWidth="1"/>
    <col min="8455" max="8456" width="12.125" style="509" customWidth="1"/>
    <col min="8457" max="8457" width="12.875" style="509" customWidth="1"/>
    <col min="8458" max="8459" width="12.125" style="509" customWidth="1"/>
    <col min="8460" max="8460" width="11.375" style="509" customWidth="1"/>
    <col min="8461" max="8462" width="11.875" style="509" customWidth="1"/>
    <col min="8463" max="8463" width="11.75" style="509" customWidth="1"/>
    <col min="8464" max="8464" width="11.375" style="509" customWidth="1"/>
    <col min="8465" max="8465" width="11.875" style="509" customWidth="1"/>
    <col min="8466" max="8466" width="11.375" style="509" customWidth="1"/>
    <col min="8467" max="8467" width="10.375" style="509" customWidth="1"/>
    <col min="8468" max="8468" width="12.875" style="509" customWidth="1"/>
    <col min="8469" max="8469" width="11.75" style="509" customWidth="1"/>
    <col min="8470" max="8470" width="11" style="509" customWidth="1"/>
    <col min="8471" max="8704" width="9" style="509"/>
    <col min="8705" max="8705" width="5.375" style="509" customWidth="1"/>
    <col min="8706" max="8706" width="13.125" style="509" customWidth="1"/>
    <col min="8707" max="8707" width="43.875" style="509" customWidth="1"/>
    <col min="8708" max="8708" width="10.75" style="509" customWidth="1"/>
    <col min="8709" max="8709" width="10.375" style="509" customWidth="1"/>
    <col min="8710" max="8710" width="11" style="509" customWidth="1"/>
    <col min="8711" max="8712" width="12.125" style="509" customWidth="1"/>
    <col min="8713" max="8713" width="12.875" style="509" customWidth="1"/>
    <col min="8714" max="8715" width="12.125" style="509" customWidth="1"/>
    <col min="8716" max="8716" width="11.375" style="509" customWidth="1"/>
    <col min="8717" max="8718" width="11.875" style="509" customWidth="1"/>
    <col min="8719" max="8719" width="11.75" style="509" customWidth="1"/>
    <col min="8720" max="8720" width="11.375" style="509" customWidth="1"/>
    <col min="8721" max="8721" width="11.875" style="509" customWidth="1"/>
    <col min="8722" max="8722" width="11.375" style="509" customWidth="1"/>
    <col min="8723" max="8723" width="10.375" style="509" customWidth="1"/>
    <col min="8724" max="8724" width="12.875" style="509" customWidth="1"/>
    <col min="8725" max="8725" width="11.75" style="509" customWidth="1"/>
    <col min="8726" max="8726" width="11" style="509" customWidth="1"/>
    <col min="8727" max="8960" width="9" style="509"/>
    <col min="8961" max="8961" width="5.375" style="509" customWidth="1"/>
    <col min="8962" max="8962" width="13.125" style="509" customWidth="1"/>
    <col min="8963" max="8963" width="43.875" style="509" customWidth="1"/>
    <col min="8964" max="8964" width="10.75" style="509" customWidth="1"/>
    <col min="8965" max="8965" width="10.375" style="509" customWidth="1"/>
    <col min="8966" max="8966" width="11" style="509" customWidth="1"/>
    <col min="8967" max="8968" width="12.125" style="509" customWidth="1"/>
    <col min="8969" max="8969" width="12.875" style="509" customWidth="1"/>
    <col min="8970" max="8971" width="12.125" style="509" customWidth="1"/>
    <col min="8972" max="8972" width="11.375" style="509" customWidth="1"/>
    <col min="8973" max="8974" width="11.875" style="509" customWidth="1"/>
    <col min="8975" max="8975" width="11.75" style="509" customWidth="1"/>
    <col min="8976" max="8976" width="11.375" style="509" customWidth="1"/>
    <col min="8977" max="8977" width="11.875" style="509" customWidth="1"/>
    <col min="8978" max="8978" width="11.375" style="509" customWidth="1"/>
    <col min="8979" max="8979" width="10.375" style="509" customWidth="1"/>
    <col min="8980" max="8980" width="12.875" style="509" customWidth="1"/>
    <col min="8981" max="8981" width="11.75" style="509" customWidth="1"/>
    <col min="8982" max="8982" width="11" style="509" customWidth="1"/>
    <col min="8983" max="9216" width="9" style="509"/>
    <col min="9217" max="9217" width="5.375" style="509" customWidth="1"/>
    <col min="9218" max="9218" width="13.125" style="509" customWidth="1"/>
    <col min="9219" max="9219" width="43.875" style="509" customWidth="1"/>
    <col min="9220" max="9220" width="10.75" style="509" customWidth="1"/>
    <col min="9221" max="9221" width="10.375" style="509" customWidth="1"/>
    <col min="9222" max="9222" width="11" style="509" customWidth="1"/>
    <col min="9223" max="9224" width="12.125" style="509" customWidth="1"/>
    <col min="9225" max="9225" width="12.875" style="509" customWidth="1"/>
    <col min="9226" max="9227" width="12.125" style="509" customWidth="1"/>
    <col min="9228" max="9228" width="11.375" style="509" customWidth="1"/>
    <col min="9229" max="9230" width="11.875" style="509" customWidth="1"/>
    <col min="9231" max="9231" width="11.75" style="509" customWidth="1"/>
    <col min="9232" max="9232" width="11.375" style="509" customWidth="1"/>
    <col min="9233" max="9233" width="11.875" style="509" customWidth="1"/>
    <col min="9234" max="9234" width="11.375" style="509" customWidth="1"/>
    <col min="9235" max="9235" width="10.375" style="509" customWidth="1"/>
    <col min="9236" max="9236" width="12.875" style="509" customWidth="1"/>
    <col min="9237" max="9237" width="11.75" style="509" customWidth="1"/>
    <col min="9238" max="9238" width="11" style="509" customWidth="1"/>
    <col min="9239" max="9472" width="9" style="509"/>
    <col min="9473" max="9473" width="5.375" style="509" customWidth="1"/>
    <col min="9474" max="9474" width="13.125" style="509" customWidth="1"/>
    <col min="9475" max="9475" width="43.875" style="509" customWidth="1"/>
    <col min="9476" max="9476" width="10.75" style="509" customWidth="1"/>
    <col min="9477" max="9477" width="10.375" style="509" customWidth="1"/>
    <col min="9478" max="9478" width="11" style="509" customWidth="1"/>
    <col min="9479" max="9480" width="12.125" style="509" customWidth="1"/>
    <col min="9481" max="9481" width="12.875" style="509" customWidth="1"/>
    <col min="9482" max="9483" width="12.125" style="509" customWidth="1"/>
    <col min="9484" max="9484" width="11.375" style="509" customWidth="1"/>
    <col min="9485" max="9486" width="11.875" style="509" customWidth="1"/>
    <col min="9487" max="9487" width="11.75" style="509" customWidth="1"/>
    <col min="9488" max="9488" width="11.375" style="509" customWidth="1"/>
    <col min="9489" max="9489" width="11.875" style="509" customWidth="1"/>
    <col min="9490" max="9490" width="11.375" style="509" customWidth="1"/>
    <col min="9491" max="9491" width="10.375" style="509" customWidth="1"/>
    <col min="9492" max="9492" width="12.875" style="509" customWidth="1"/>
    <col min="9493" max="9493" width="11.75" style="509" customWidth="1"/>
    <col min="9494" max="9494" width="11" style="509" customWidth="1"/>
    <col min="9495" max="9728" width="9" style="509"/>
    <col min="9729" max="9729" width="5.375" style="509" customWidth="1"/>
    <col min="9730" max="9730" width="13.125" style="509" customWidth="1"/>
    <col min="9731" max="9731" width="43.875" style="509" customWidth="1"/>
    <col min="9732" max="9732" width="10.75" style="509" customWidth="1"/>
    <col min="9733" max="9733" width="10.375" style="509" customWidth="1"/>
    <col min="9734" max="9734" width="11" style="509" customWidth="1"/>
    <col min="9735" max="9736" width="12.125" style="509" customWidth="1"/>
    <col min="9737" max="9737" width="12.875" style="509" customWidth="1"/>
    <col min="9738" max="9739" width="12.125" style="509" customWidth="1"/>
    <col min="9740" max="9740" width="11.375" style="509" customWidth="1"/>
    <col min="9741" max="9742" width="11.875" style="509" customWidth="1"/>
    <col min="9743" max="9743" width="11.75" style="509" customWidth="1"/>
    <col min="9744" max="9744" width="11.375" style="509" customWidth="1"/>
    <col min="9745" max="9745" width="11.875" style="509" customWidth="1"/>
    <col min="9746" max="9746" width="11.375" style="509" customWidth="1"/>
    <col min="9747" max="9747" width="10.375" style="509" customWidth="1"/>
    <col min="9748" max="9748" width="12.875" style="509" customWidth="1"/>
    <col min="9749" max="9749" width="11.75" style="509" customWidth="1"/>
    <col min="9750" max="9750" width="11" style="509" customWidth="1"/>
    <col min="9751" max="9984" width="9" style="509"/>
    <col min="9985" max="9985" width="5.375" style="509" customWidth="1"/>
    <col min="9986" max="9986" width="13.125" style="509" customWidth="1"/>
    <col min="9987" max="9987" width="43.875" style="509" customWidth="1"/>
    <col min="9988" max="9988" width="10.75" style="509" customWidth="1"/>
    <col min="9989" max="9989" width="10.375" style="509" customWidth="1"/>
    <col min="9990" max="9990" width="11" style="509" customWidth="1"/>
    <col min="9991" max="9992" width="12.125" style="509" customWidth="1"/>
    <col min="9993" max="9993" width="12.875" style="509" customWidth="1"/>
    <col min="9994" max="9995" width="12.125" style="509" customWidth="1"/>
    <col min="9996" max="9996" width="11.375" style="509" customWidth="1"/>
    <col min="9997" max="9998" width="11.875" style="509" customWidth="1"/>
    <col min="9999" max="9999" width="11.75" style="509" customWidth="1"/>
    <col min="10000" max="10000" width="11.375" style="509" customWidth="1"/>
    <col min="10001" max="10001" width="11.875" style="509" customWidth="1"/>
    <col min="10002" max="10002" width="11.375" style="509" customWidth="1"/>
    <col min="10003" max="10003" width="10.375" style="509" customWidth="1"/>
    <col min="10004" max="10004" width="12.875" style="509" customWidth="1"/>
    <col min="10005" max="10005" width="11.75" style="509" customWidth="1"/>
    <col min="10006" max="10006" width="11" style="509" customWidth="1"/>
    <col min="10007" max="10240" width="9" style="509"/>
    <col min="10241" max="10241" width="5.375" style="509" customWidth="1"/>
    <col min="10242" max="10242" width="13.125" style="509" customWidth="1"/>
    <col min="10243" max="10243" width="43.875" style="509" customWidth="1"/>
    <col min="10244" max="10244" width="10.75" style="509" customWidth="1"/>
    <col min="10245" max="10245" width="10.375" style="509" customWidth="1"/>
    <col min="10246" max="10246" width="11" style="509" customWidth="1"/>
    <col min="10247" max="10248" width="12.125" style="509" customWidth="1"/>
    <col min="10249" max="10249" width="12.875" style="509" customWidth="1"/>
    <col min="10250" max="10251" width="12.125" style="509" customWidth="1"/>
    <col min="10252" max="10252" width="11.375" style="509" customWidth="1"/>
    <col min="10253" max="10254" width="11.875" style="509" customWidth="1"/>
    <col min="10255" max="10255" width="11.75" style="509" customWidth="1"/>
    <col min="10256" max="10256" width="11.375" style="509" customWidth="1"/>
    <col min="10257" max="10257" width="11.875" style="509" customWidth="1"/>
    <col min="10258" max="10258" width="11.375" style="509" customWidth="1"/>
    <col min="10259" max="10259" width="10.375" style="509" customWidth="1"/>
    <col min="10260" max="10260" width="12.875" style="509" customWidth="1"/>
    <col min="10261" max="10261" width="11.75" style="509" customWidth="1"/>
    <col min="10262" max="10262" width="11" style="509" customWidth="1"/>
    <col min="10263" max="10496" width="9" style="509"/>
    <col min="10497" max="10497" width="5.375" style="509" customWidth="1"/>
    <col min="10498" max="10498" width="13.125" style="509" customWidth="1"/>
    <col min="10499" max="10499" width="43.875" style="509" customWidth="1"/>
    <col min="10500" max="10500" width="10.75" style="509" customWidth="1"/>
    <col min="10501" max="10501" width="10.375" style="509" customWidth="1"/>
    <col min="10502" max="10502" width="11" style="509" customWidth="1"/>
    <col min="10503" max="10504" width="12.125" style="509" customWidth="1"/>
    <col min="10505" max="10505" width="12.875" style="509" customWidth="1"/>
    <col min="10506" max="10507" width="12.125" style="509" customWidth="1"/>
    <col min="10508" max="10508" width="11.375" style="509" customWidth="1"/>
    <col min="10509" max="10510" width="11.875" style="509" customWidth="1"/>
    <col min="10511" max="10511" width="11.75" style="509" customWidth="1"/>
    <col min="10512" max="10512" width="11.375" style="509" customWidth="1"/>
    <col min="10513" max="10513" width="11.875" style="509" customWidth="1"/>
    <col min="10514" max="10514" width="11.375" style="509" customWidth="1"/>
    <col min="10515" max="10515" width="10.375" style="509" customWidth="1"/>
    <col min="10516" max="10516" width="12.875" style="509" customWidth="1"/>
    <col min="10517" max="10517" width="11.75" style="509" customWidth="1"/>
    <col min="10518" max="10518" width="11" style="509" customWidth="1"/>
    <col min="10519" max="10752" width="9" style="509"/>
    <col min="10753" max="10753" width="5.375" style="509" customWidth="1"/>
    <col min="10754" max="10754" width="13.125" style="509" customWidth="1"/>
    <col min="10755" max="10755" width="43.875" style="509" customWidth="1"/>
    <col min="10756" max="10756" width="10.75" style="509" customWidth="1"/>
    <col min="10757" max="10757" width="10.375" style="509" customWidth="1"/>
    <col min="10758" max="10758" width="11" style="509" customWidth="1"/>
    <col min="10759" max="10760" width="12.125" style="509" customWidth="1"/>
    <col min="10761" max="10761" width="12.875" style="509" customWidth="1"/>
    <col min="10762" max="10763" width="12.125" style="509" customWidth="1"/>
    <col min="10764" max="10764" width="11.375" style="509" customWidth="1"/>
    <col min="10765" max="10766" width="11.875" style="509" customWidth="1"/>
    <col min="10767" max="10767" width="11.75" style="509" customWidth="1"/>
    <col min="10768" max="10768" width="11.375" style="509" customWidth="1"/>
    <col min="10769" max="10769" width="11.875" style="509" customWidth="1"/>
    <col min="10770" max="10770" width="11.375" style="509" customWidth="1"/>
    <col min="10771" max="10771" width="10.375" style="509" customWidth="1"/>
    <col min="10772" max="10772" width="12.875" style="509" customWidth="1"/>
    <col min="10773" max="10773" width="11.75" style="509" customWidth="1"/>
    <col min="10774" max="10774" width="11" style="509" customWidth="1"/>
    <col min="10775" max="11008" width="9" style="509"/>
    <col min="11009" max="11009" width="5.375" style="509" customWidth="1"/>
    <col min="11010" max="11010" width="13.125" style="509" customWidth="1"/>
    <col min="11011" max="11011" width="43.875" style="509" customWidth="1"/>
    <col min="11012" max="11012" width="10.75" style="509" customWidth="1"/>
    <col min="11013" max="11013" width="10.375" style="509" customWidth="1"/>
    <col min="11014" max="11014" width="11" style="509" customWidth="1"/>
    <col min="11015" max="11016" width="12.125" style="509" customWidth="1"/>
    <col min="11017" max="11017" width="12.875" style="509" customWidth="1"/>
    <col min="11018" max="11019" width="12.125" style="509" customWidth="1"/>
    <col min="11020" max="11020" width="11.375" style="509" customWidth="1"/>
    <col min="11021" max="11022" width="11.875" style="509" customWidth="1"/>
    <col min="11023" max="11023" width="11.75" style="509" customWidth="1"/>
    <col min="11024" max="11024" width="11.375" style="509" customWidth="1"/>
    <col min="11025" max="11025" width="11.875" style="509" customWidth="1"/>
    <col min="11026" max="11026" width="11.375" style="509" customWidth="1"/>
    <col min="11027" max="11027" width="10.375" style="509" customWidth="1"/>
    <col min="11028" max="11028" width="12.875" style="509" customWidth="1"/>
    <col min="11029" max="11029" width="11.75" style="509" customWidth="1"/>
    <col min="11030" max="11030" width="11" style="509" customWidth="1"/>
    <col min="11031" max="11264" width="9" style="509"/>
    <col min="11265" max="11265" width="5.375" style="509" customWidth="1"/>
    <col min="11266" max="11266" width="13.125" style="509" customWidth="1"/>
    <col min="11267" max="11267" width="43.875" style="509" customWidth="1"/>
    <col min="11268" max="11268" width="10.75" style="509" customWidth="1"/>
    <col min="11269" max="11269" width="10.375" style="509" customWidth="1"/>
    <col min="11270" max="11270" width="11" style="509" customWidth="1"/>
    <col min="11271" max="11272" width="12.125" style="509" customWidth="1"/>
    <col min="11273" max="11273" width="12.875" style="509" customWidth="1"/>
    <col min="11274" max="11275" width="12.125" style="509" customWidth="1"/>
    <col min="11276" max="11276" width="11.375" style="509" customWidth="1"/>
    <col min="11277" max="11278" width="11.875" style="509" customWidth="1"/>
    <col min="11279" max="11279" width="11.75" style="509" customWidth="1"/>
    <col min="11280" max="11280" width="11.375" style="509" customWidth="1"/>
    <col min="11281" max="11281" width="11.875" style="509" customWidth="1"/>
    <col min="11282" max="11282" width="11.375" style="509" customWidth="1"/>
    <col min="11283" max="11283" width="10.375" style="509" customWidth="1"/>
    <col min="11284" max="11284" width="12.875" style="509" customWidth="1"/>
    <col min="11285" max="11285" width="11.75" style="509" customWidth="1"/>
    <col min="11286" max="11286" width="11" style="509" customWidth="1"/>
    <col min="11287" max="11520" width="9" style="509"/>
    <col min="11521" max="11521" width="5.375" style="509" customWidth="1"/>
    <col min="11522" max="11522" width="13.125" style="509" customWidth="1"/>
    <col min="11523" max="11523" width="43.875" style="509" customWidth="1"/>
    <col min="11524" max="11524" width="10.75" style="509" customWidth="1"/>
    <col min="11525" max="11525" width="10.375" style="509" customWidth="1"/>
    <col min="11526" max="11526" width="11" style="509" customWidth="1"/>
    <col min="11527" max="11528" width="12.125" style="509" customWidth="1"/>
    <col min="11529" max="11529" width="12.875" style="509" customWidth="1"/>
    <col min="11530" max="11531" width="12.125" style="509" customWidth="1"/>
    <col min="11532" max="11532" width="11.375" style="509" customWidth="1"/>
    <col min="11533" max="11534" width="11.875" style="509" customWidth="1"/>
    <col min="11535" max="11535" width="11.75" style="509" customWidth="1"/>
    <col min="11536" max="11536" width="11.375" style="509" customWidth="1"/>
    <col min="11537" max="11537" width="11.875" style="509" customWidth="1"/>
    <col min="11538" max="11538" width="11.375" style="509" customWidth="1"/>
    <col min="11539" max="11539" width="10.375" style="509" customWidth="1"/>
    <col min="11540" max="11540" width="12.875" style="509" customWidth="1"/>
    <col min="11541" max="11541" width="11.75" style="509" customWidth="1"/>
    <col min="11542" max="11542" width="11" style="509" customWidth="1"/>
    <col min="11543" max="11776" width="9" style="509"/>
    <col min="11777" max="11777" width="5.375" style="509" customWidth="1"/>
    <col min="11778" max="11778" width="13.125" style="509" customWidth="1"/>
    <col min="11779" max="11779" width="43.875" style="509" customWidth="1"/>
    <col min="11780" max="11780" width="10.75" style="509" customWidth="1"/>
    <col min="11781" max="11781" width="10.375" style="509" customWidth="1"/>
    <col min="11782" max="11782" width="11" style="509" customWidth="1"/>
    <col min="11783" max="11784" width="12.125" style="509" customWidth="1"/>
    <col min="11785" max="11785" width="12.875" style="509" customWidth="1"/>
    <col min="11786" max="11787" width="12.125" style="509" customWidth="1"/>
    <col min="11788" max="11788" width="11.375" style="509" customWidth="1"/>
    <col min="11789" max="11790" width="11.875" style="509" customWidth="1"/>
    <col min="11791" max="11791" width="11.75" style="509" customWidth="1"/>
    <col min="11792" max="11792" width="11.375" style="509" customWidth="1"/>
    <col min="11793" max="11793" width="11.875" style="509" customWidth="1"/>
    <col min="11794" max="11794" width="11.375" style="509" customWidth="1"/>
    <col min="11795" max="11795" width="10.375" style="509" customWidth="1"/>
    <col min="11796" max="11796" width="12.875" style="509" customWidth="1"/>
    <col min="11797" max="11797" width="11.75" style="509" customWidth="1"/>
    <col min="11798" max="11798" width="11" style="509" customWidth="1"/>
    <col min="11799" max="12032" width="9" style="509"/>
    <col min="12033" max="12033" width="5.375" style="509" customWidth="1"/>
    <col min="12034" max="12034" width="13.125" style="509" customWidth="1"/>
    <col min="12035" max="12035" width="43.875" style="509" customWidth="1"/>
    <col min="12036" max="12036" width="10.75" style="509" customWidth="1"/>
    <col min="12037" max="12037" width="10.375" style="509" customWidth="1"/>
    <col min="12038" max="12038" width="11" style="509" customWidth="1"/>
    <col min="12039" max="12040" width="12.125" style="509" customWidth="1"/>
    <col min="12041" max="12041" width="12.875" style="509" customWidth="1"/>
    <col min="12042" max="12043" width="12.125" style="509" customWidth="1"/>
    <col min="12044" max="12044" width="11.375" style="509" customWidth="1"/>
    <col min="12045" max="12046" width="11.875" style="509" customWidth="1"/>
    <col min="12047" max="12047" width="11.75" style="509" customWidth="1"/>
    <col min="12048" max="12048" width="11.375" style="509" customWidth="1"/>
    <col min="12049" max="12049" width="11.875" style="509" customWidth="1"/>
    <col min="12050" max="12050" width="11.375" style="509" customWidth="1"/>
    <col min="12051" max="12051" width="10.375" style="509" customWidth="1"/>
    <col min="12052" max="12052" width="12.875" style="509" customWidth="1"/>
    <col min="12053" max="12053" width="11.75" style="509" customWidth="1"/>
    <col min="12054" max="12054" width="11" style="509" customWidth="1"/>
    <col min="12055" max="12288" width="9" style="509"/>
    <col min="12289" max="12289" width="5.375" style="509" customWidth="1"/>
    <col min="12290" max="12290" width="13.125" style="509" customWidth="1"/>
    <col min="12291" max="12291" width="43.875" style="509" customWidth="1"/>
    <col min="12292" max="12292" width="10.75" style="509" customWidth="1"/>
    <col min="12293" max="12293" width="10.375" style="509" customWidth="1"/>
    <col min="12294" max="12294" width="11" style="509" customWidth="1"/>
    <col min="12295" max="12296" width="12.125" style="509" customWidth="1"/>
    <col min="12297" max="12297" width="12.875" style="509" customWidth="1"/>
    <col min="12298" max="12299" width="12.125" style="509" customWidth="1"/>
    <col min="12300" max="12300" width="11.375" style="509" customWidth="1"/>
    <col min="12301" max="12302" width="11.875" style="509" customWidth="1"/>
    <col min="12303" max="12303" width="11.75" style="509" customWidth="1"/>
    <col min="12304" max="12304" width="11.375" style="509" customWidth="1"/>
    <col min="12305" max="12305" width="11.875" style="509" customWidth="1"/>
    <col min="12306" max="12306" width="11.375" style="509" customWidth="1"/>
    <col min="12307" max="12307" width="10.375" style="509" customWidth="1"/>
    <col min="12308" max="12308" width="12.875" style="509" customWidth="1"/>
    <col min="12309" max="12309" width="11.75" style="509" customWidth="1"/>
    <col min="12310" max="12310" width="11" style="509" customWidth="1"/>
    <col min="12311" max="12544" width="9" style="509"/>
    <col min="12545" max="12545" width="5.375" style="509" customWidth="1"/>
    <col min="12546" max="12546" width="13.125" style="509" customWidth="1"/>
    <col min="12547" max="12547" width="43.875" style="509" customWidth="1"/>
    <col min="12548" max="12548" width="10.75" style="509" customWidth="1"/>
    <col min="12549" max="12549" width="10.375" style="509" customWidth="1"/>
    <col min="12550" max="12550" width="11" style="509" customWidth="1"/>
    <col min="12551" max="12552" width="12.125" style="509" customWidth="1"/>
    <col min="12553" max="12553" width="12.875" style="509" customWidth="1"/>
    <col min="12554" max="12555" width="12.125" style="509" customWidth="1"/>
    <col min="12556" max="12556" width="11.375" style="509" customWidth="1"/>
    <col min="12557" max="12558" width="11.875" style="509" customWidth="1"/>
    <col min="12559" max="12559" width="11.75" style="509" customWidth="1"/>
    <col min="12560" max="12560" width="11.375" style="509" customWidth="1"/>
    <col min="12561" max="12561" width="11.875" style="509" customWidth="1"/>
    <col min="12562" max="12562" width="11.375" style="509" customWidth="1"/>
    <col min="12563" max="12563" width="10.375" style="509" customWidth="1"/>
    <col min="12564" max="12564" width="12.875" style="509" customWidth="1"/>
    <col min="12565" max="12565" width="11.75" style="509" customWidth="1"/>
    <col min="12566" max="12566" width="11" style="509" customWidth="1"/>
    <col min="12567" max="12800" width="9" style="509"/>
    <col min="12801" max="12801" width="5.375" style="509" customWidth="1"/>
    <col min="12802" max="12802" width="13.125" style="509" customWidth="1"/>
    <col min="12803" max="12803" width="43.875" style="509" customWidth="1"/>
    <col min="12804" max="12804" width="10.75" style="509" customWidth="1"/>
    <col min="12805" max="12805" width="10.375" style="509" customWidth="1"/>
    <col min="12806" max="12806" width="11" style="509" customWidth="1"/>
    <col min="12807" max="12808" width="12.125" style="509" customWidth="1"/>
    <col min="12809" max="12809" width="12.875" style="509" customWidth="1"/>
    <col min="12810" max="12811" width="12.125" style="509" customWidth="1"/>
    <col min="12812" max="12812" width="11.375" style="509" customWidth="1"/>
    <col min="12813" max="12814" width="11.875" style="509" customWidth="1"/>
    <col min="12815" max="12815" width="11.75" style="509" customWidth="1"/>
    <col min="12816" max="12816" width="11.375" style="509" customWidth="1"/>
    <col min="12817" max="12817" width="11.875" style="509" customWidth="1"/>
    <col min="12818" max="12818" width="11.375" style="509" customWidth="1"/>
    <col min="12819" max="12819" width="10.375" style="509" customWidth="1"/>
    <col min="12820" max="12820" width="12.875" style="509" customWidth="1"/>
    <col min="12821" max="12821" width="11.75" style="509" customWidth="1"/>
    <col min="12822" max="12822" width="11" style="509" customWidth="1"/>
    <col min="12823" max="13056" width="9" style="509"/>
    <col min="13057" max="13057" width="5.375" style="509" customWidth="1"/>
    <col min="13058" max="13058" width="13.125" style="509" customWidth="1"/>
    <col min="13059" max="13059" width="43.875" style="509" customWidth="1"/>
    <col min="13060" max="13060" width="10.75" style="509" customWidth="1"/>
    <col min="13061" max="13061" width="10.375" style="509" customWidth="1"/>
    <col min="13062" max="13062" width="11" style="509" customWidth="1"/>
    <col min="13063" max="13064" width="12.125" style="509" customWidth="1"/>
    <col min="13065" max="13065" width="12.875" style="509" customWidth="1"/>
    <col min="13066" max="13067" width="12.125" style="509" customWidth="1"/>
    <col min="13068" max="13068" width="11.375" style="509" customWidth="1"/>
    <col min="13069" max="13070" width="11.875" style="509" customWidth="1"/>
    <col min="13071" max="13071" width="11.75" style="509" customWidth="1"/>
    <col min="13072" max="13072" width="11.375" style="509" customWidth="1"/>
    <col min="13073" max="13073" width="11.875" style="509" customWidth="1"/>
    <col min="13074" max="13074" width="11.375" style="509" customWidth="1"/>
    <col min="13075" max="13075" width="10.375" style="509" customWidth="1"/>
    <col min="13076" max="13076" width="12.875" style="509" customWidth="1"/>
    <col min="13077" max="13077" width="11.75" style="509" customWidth="1"/>
    <col min="13078" max="13078" width="11" style="509" customWidth="1"/>
    <col min="13079" max="13312" width="9" style="509"/>
    <col min="13313" max="13313" width="5.375" style="509" customWidth="1"/>
    <col min="13314" max="13314" width="13.125" style="509" customWidth="1"/>
    <col min="13315" max="13315" width="43.875" style="509" customWidth="1"/>
    <col min="13316" max="13316" width="10.75" style="509" customWidth="1"/>
    <col min="13317" max="13317" width="10.375" style="509" customWidth="1"/>
    <col min="13318" max="13318" width="11" style="509" customWidth="1"/>
    <col min="13319" max="13320" width="12.125" style="509" customWidth="1"/>
    <col min="13321" max="13321" width="12.875" style="509" customWidth="1"/>
    <col min="13322" max="13323" width="12.125" style="509" customWidth="1"/>
    <col min="13324" max="13324" width="11.375" style="509" customWidth="1"/>
    <col min="13325" max="13326" width="11.875" style="509" customWidth="1"/>
    <col min="13327" max="13327" width="11.75" style="509" customWidth="1"/>
    <col min="13328" max="13328" width="11.375" style="509" customWidth="1"/>
    <col min="13329" max="13329" width="11.875" style="509" customWidth="1"/>
    <col min="13330" max="13330" width="11.375" style="509" customWidth="1"/>
    <col min="13331" max="13331" width="10.375" style="509" customWidth="1"/>
    <col min="13332" max="13332" width="12.875" style="509" customWidth="1"/>
    <col min="13333" max="13333" width="11.75" style="509" customWidth="1"/>
    <col min="13334" max="13334" width="11" style="509" customWidth="1"/>
    <col min="13335" max="13568" width="9" style="509"/>
    <col min="13569" max="13569" width="5.375" style="509" customWidth="1"/>
    <col min="13570" max="13570" width="13.125" style="509" customWidth="1"/>
    <col min="13571" max="13571" width="43.875" style="509" customWidth="1"/>
    <col min="13572" max="13572" width="10.75" style="509" customWidth="1"/>
    <col min="13573" max="13573" width="10.375" style="509" customWidth="1"/>
    <col min="13574" max="13574" width="11" style="509" customWidth="1"/>
    <col min="13575" max="13576" width="12.125" style="509" customWidth="1"/>
    <col min="13577" max="13577" width="12.875" style="509" customWidth="1"/>
    <col min="13578" max="13579" width="12.125" style="509" customWidth="1"/>
    <col min="13580" max="13580" width="11.375" style="509" customWidth="1"/>
    <col min="13581" max="13582" width="11.875" style="509" customWidth="1"/>
    <col min="13583" max="13583" width="11.75" style="509" customWidth="1"/>
    <col min="13584" max="13584" width="11.375" style="509" customWidth="1"/>
    <col min="13585" max="13585" width="11.875" style="509" customWidth="1"/>
    <col min="13586" max="13586" width="11.375" style="509" customWidth="1"/>
    <col min="13587" max="13587" width="10.375" style="509" customWidth="1"/>
    <col min="13588" max="13588" width="12.875" style="509" customWidth="1"/>
    <col min="13589" max="13589" width="11.75" style="509" customWidth="1"/>
    <col min="13590" max="13590" width="11" style="509" customWidth="1"/>
    <col min="13591" max="13824" width="9" style="509"/>
    <col min="13825" max="13825" width="5.375" style="509" customWidth="1"/>
    <col min="13826" max="13826" width="13.125" style="509" customWidth="1"/>
    <col min="13827" max="13827" width="43.875" style="509" customWidth="1"/>
    <col min="13828" max="13828" width="10.75" style="509" customWidth="1"/>
    <col min="13829" max="13829" width="10.375" style="509" customWidth="1"/>
    <col min="13830" max="13830" width="11" style="509" customWidth="1"/>
    <col min="13831" max="13832" width="12.125" style="509" customWidth="1"/>
    <col min="13833" max="13833" width="12.875" style="509" customWidth="1"/>
    <col min="13834" max="13835" width="12.125" style="509" customWidth="1"/>
    <col min="13836" max="13836" width="11.375" style="509" customWidth="1"/>
    <col min="13837" max="13838" width="11.875" style="509" customWidth="1"/>
    <col min="13839" max="13839" width="11.75" style="509" customWidth="1"/>
    <col min="13840" max="13840" width="11.375" style="509" customWidth="1"/>
    <col min="13841" max="13841" width="11.875" style="509" customWidth="1"/>
    <col min="13842" max="13842" width="11.375" style="509" customWidth="1"/>
    <col min="13843" max="13843" width="10.375" style="509" customWidth="1"/>
    <col min="13844" max="13844" width="12.875" style="509" customWidth="1"/>
    <col min="13845" max="13845" width="11.75" style="509" customWidth="1"/>
    <col min="13846" max="13846" width="11" style="509" customWidth="1"/>
    <col min="13847" max="14080" width="9" style="509"/>
    <col min="14081" max="14081" width="5.375" style="509" customWidth="1"/>
    <col min="14082" max="14082" width="13.125" style="509" customWidth="1"/>
    <col min="14083" max="14083" width="43.875" style="509" customWidth="1"/>
    <col min="14084" max="14084" width="10.75" style="509" customWidth="1"/>
    <col min="14085" max="14085" width="10.375" style="509" customWidth="1"/>
    <col min="14086" max="14086" width="11" style="509" customWidth="1"/>
    <col min="14087" max="14088" width="12.125" style="509" customWidth="1"/>
    <col min="14089" max="14089" width="12.875" style="509" customWidth="1"/>
    <col min="14090" max="14091" width="12.125" style="509" customWidth="1"/>
    <col min="14092" max="14092" width="11.375" style="509" customWidth="1"/>
    <col min="14093" max="14094" width="11.875" style="509" customWidth="1"/>
    <col min="14095" max="14095" width="11.75" style="509" customWidth="1"/>
    <col min="14096" max="14096" width="11.375" style="509" customWidth="1"/>
    <col min="14097" max="14097" width="11.875" style="509" customWidth="1"/>
    <col min="14098" max="14098" width="11.375" style="509" customWidth="1"/>
    <col min="14099" max="14099" width="10.375" style="509" customWidth="1"/>
    <col min="14100" max="14100" width="12.875" style="509" customWidth="1"/>
    <col min="14101" max="14101" width="11.75" style="509" customWidth="1"/>
    <col min="14102" max="14102" width="11" style="509" customWidth="1"/>
    <col min="14103" max="14336" width="9" style="509"/>
    <col min="14337" max="14337" width="5.375" style="509" customWidth="1"/>
    <col min="14338" max="14338" width="13.125" style="509" customWidth="1"/>
    <col min="14339" max="14339" width="43.875" style="509" customWidth="1"/>
    <col min="14340" max="14340" width="10.75" style="509" customWidth="1"/>
    <col min="14341" max="14341" width="10.375" style="509" customWidth="1"/>
    <col min="14342" max="14342" width="11" style="509" customWidth="1"/>
    <col min="14343" max="14344" width="12.125" style="509" customWidth="1"/>
    <col min="14345" max="14345" width="12.875" style="509" customWidth="1"/>
    <col min="14346" max="14347" width="12.125" style="509" customWidth="1"/>
    <col min="14348" max="14348" width="11.375" style="509" customWidth="1"/>
    <col min="14349" max="14350" width="11.875" style="509" customWidth="1"/>
    <col min="14351" max="14351" width="11.75" style="509" customWidth="1"/>
    <col min="14352" max="14352" width="11.375" style="509" customWidth="1"/>
    <col min="14353" max="14353" width="11.875" style="509" customWidth="1"/>
    <col min="14354" max="14354" width="11.375" style="509" customWidth="1"/>
    <col min="14355" max="14355" width="10.375" style="509" customWidth="1"/>
    <col min="14356" max="14356" width="12.875" style="509" customWidth="1"/>
    <col min="14357" max="14357" width="11.75" style="509" customWidth="1"/>
    <col min="14358" max="14358" width="11" style="509" customWidth="1"/>
    <col min="14359" max="14592" width="9" style="509"/>
    <col min="14593" max="14593" width="5.375" style="509" customWidth="1"/>
    <col min="14594" max="14594" width="13.125" style="509" customWidth="1"/>
    <col min="14595" max="14595" width="43.875" style="509" customWidth="1"/>
    <col min="14596" max="14596" width="10.75" style="509" customWidth="1"/>
    <col min="14597" max="14597" width="10.375" style="509" customWidth="1"/>
    <col min="14598" max="14598" width="11" style="509" customWidth="1"/>
    <col min="14599" max="14600" width="12.125" style="509" customWidth="1"/>
    <col min="14601" max="14601" width="12.875" style="509" customWidth="1"/>
    <col min="14602" max="14603" width="12.125" style="509" customWidth="1"/>
    <col min="14604" max="14604" width="11.375" style="509" customWidth="1"/>
    <col min="14605" max="14606" width="11.875" style="509" customWidth="1"/>
    <col min="14607" max="14607" width="11.75" style="509" customWidth="1"/>
    <col min="14608" max="14608" width="11.375" style="509" customWidth="1"/>
    <col min="14609" max="14609" width="11.875" style="509" customWidth="1"/>
    <col min="14610" max="14610" width="11.375" style="509" customWidth="1"/>
    <col min="14611" max="14611" width="10.375" style="509" customWidth="1"/>
    <col min="14612" max="14612" width="12.875" style="509" customWidth="1"/>
    <col min="14613" max="14613" width="11.75" style="509" customWidth="1"/>
    <col min="14614" max="14614" width="11" style="509" customWidth="1"/>
    <col min="14615" max="14848" width="9" style="509"/>
    <col min="14849" max="14849" width="5.375" style="509" customWidth="1"/>
    <col min="14850" max="14850" width="13.125" style="509" customWidth="1"/>
    <col min="14851" max="14851" width="43.875" style="509" customWidth="1"/>
    <col min="14852" max="14852" width="10.75" style="509" customWidth="1"/>
    <col min="14853" max="14853" width="10.375" style="509" customWidth="1"/>
    <col min="14854" max="14854" width="11" style="509" customWidth="1"/>
    <col min="14855" max="14856" width="12.125" style="509" customWidth="1"/>
    <col min="14857" max="14857" width="12.875" style="509" customWidth="1"/>
    <col min="14858" max="14859" width="12.125" style="509" customWidth="1"/>
    <col min="14860" max="14860" width="11.375" style="509" customWidth="1"/>
    <col min="14861" max="14862" width="11.875" style="509" customWidth="1"/>
    <col min="14863" max="14863" width="11.75" style="509" customWidth="1"/>
    <col min="14864" max="14864" width="11.375" style="509" customWidth="1"/>
    <col min="14865" max="14865" width="11.875" style="509" customWidth="1"/>
    <col min="14866" max="14866" width="11.375" style="509" customWidth="1"/>
    <col min="14867" max="14867" width="10.375" style="509" customWidth="1"/>
    <col min="14868" max="14868" width="12.875" style="509" customWidth="1"/>
    <col min="14869" max="14869" width="11.75" style="509" customWidth="1"/>
    <col min="14870" max="14870" width="11" style="509" customWidth="1"/>
    <col min="14871" max="15104" width="9" style="509"/>
    <col min="15105" max="15105" width="5.375" style="509" customWidth="1"/>
    <col min="15106" max="15106" width="13.125" style="509" customWidth="1"/>
    <col min="15107" max="15107" width="43.875" style="509" customWidth="1"/>
    <col min="15108" max="15108" width="10.75" style="509" customWidth="1"/>
    <col min="15109" max="15109" width="10.375" style="509" customWidth="1"/>
    <col min="15110" max="15110" width="11" style="509" customWidth="1"/>
    <col min="15111" max="15112" width="12.125" style="509" customWidth="1"/>
    <col min="15113" max="15113" width="12.875" style="509" customWidth="1"/>
    <col min="15114" max="15115" width="12.125" style="509" customWidth="1"/>
    <col min="15116" max="15116" width="11.375" style="509" customWidth="1"/>
    <col min="15117" max="15118" width="11.875" style="509" customWidth="1"/>
    <col min="15119" max="15119" width="11.75" style="509" customWidth="1"/>
    <col min="15120" max="15120" width="11.375" style="509" customWidth="1"/>
    <col min="15121" max="15121" width="11.875" style="509" customWidth="1"/>
    <col min="15122" max="15122" width="11.375" style="509" customWidth="1"/>
    <col min="15123" max="15123" width="10.375" style="509" customWidth="1"/>
    <col min="15124" max="15124" width="12.875" style="509" customWidth="1"/>
    <col min="15125" max="15125" width="11.75" style="509" customWidth="1"/>
    <col min="15126" max="15126" width="11" style="509" customWidth="1"/>
    <col min="15127" max="15360" width="9" style="509"/>
    <col min="15361" max="15361" width="5.375" style="509" customWidth="1"/>
    <col min="15362" max="15362" width="13.125" style="509" customWidth="1"/>
    <col min="15363" max="15363" width="43.875" style="509" customWidth="1"/>
    <col min="15364" max="15364" width="10.75" style="509" customWidth="1"/>
    <col min="15365" max="15365" width="10.375" style="509" customWidth="1"/>
    <col min="15366" max="15366" width="11" style="509" customWidth="1"/>
    <col min="15367" max="15368" width="12.125" style="509" customWidth="1"/>
    <col min="15369" max="15369" width="12.875" style="509" customWidth="1"/>
    <col min="15370" max="15371" width="12.125" style="509" customWidth="1"/>
    <col min="15372" max="15372" width="11.375" style="509" customWidth="1"/>
    <col min="15373" max="15374" width="11.875" style="509" customWidth="1"/>
    <col min="15375" max="15375" width="11.75" style="509" customWidth="1"/>
    <col min="15376" max="15376" width="11.375" style="509" customWidth="1"/>
    <col min="15377" max="15377" width="11.875" style="509" customWidth="1"/>
    <col min="15378" max="15378" width="11.375" style="509" customWidth="1"/>
    <col min="15379" max="15379" width="10.375" style="509" customWidth="1"/>
    <col min="15380" max="15380" width="12.875" style="509" customWidth="1"/>
    <col min="15381" max="15381" width="11.75" style="509" customWidth="1"/>
    <col min="15382" max="15382" width="11" style="509" customWidth="1"/>
    <col min="15383" max="15616" width="9" style="509"/>
    <col min="15617" max="15617" width="5.375" style="509" customWidth="1"/>
    <col min="15618" max="15618" width="13.125" style="509" customWidth="1"/>
    <col min="15619" max="15619" width="43.875" style="509" customWidth="1"/>
    <col min="15620" max="15620" width="10.75" style="509" customWidth="1"/>
    <col min="15621" max="15621" width="10.375" style="509" customWidth="1"/>
    <col min="15622" max="15622" width="11" style="509" customWidth="1"/>
    <col min="15623" max="15624" width="12.125" style="509" customWidth="1"/>
    <col min="15625" max="15625" width="12.875" style="509" customWidth="1"/>
    <col min="15626" max="15627" width="12.125" style="509" customWidth="1"/>
    <col min="15628" max="15628" width="11.375" style="509" customWidth="1"/>
    <col min="15629" max="15630" width="11.875" style="509" customWidth="1"/>
    <col min="15631" max="15631" width="11.75" style="509" customWidth="1"/>
    <col min="15632" max="15632" width="11.375" style="509" customWidth="1"/>
    <col min="15633" max="15633" width="11.875" style="509" customWidth="1"/>
    <col min="15634" max="15634" width="11.375" style="509" customWidth="1"/>
    <col min="15635" max="15635" width="10.375" style="509" customWidth="1"/>
    <col min="15636" max="15636" width="12.875" style="509" customWidth="1"/>
    <col min="15637" max="15637" width="11.75" style="509" customWidth="1"/>
    <col min="15638" max="15638" width="11" style="509" customWidth="1"/>
    <col min="15639" max="15872" width="9" style="509"/>
    <col min="15873" max="15873" width="5.375" style="509" customWidth="1"/>
    <col min="15874" max="15874" width="13.125" style="509" customWidth="1"/>
    <col min="15875" max="15875" width="43.875" style="509" customWidth="1"/>
    <col min="15876" max="15876" width="10.75" style="509" customWidth="1"/>
    <col min="15877" max="15877" width="10.375" style="509" customWidth="1"/>
    <col min="15878" max="15878" width="11" style="509" customWidth="1"/>
    <col min="15879" max="15880" width="12.125" style="509" customWidth="1"/>
    <col min="15881" max="15881" width="12.875" style="509" customWidth="1"/>
    <col min="15882" max="15883" width="12.125" style="509" customWidth="1"/>
    <col min="15884" max="15884" width="11.375" style="509" customWidth="1"/>
    <col min="15885" max="15886" width="11.875" style="509" customWidth="1"/>
    <col min="15887" max="15887" width="11.75" style="509" customWidth="1"/>
    <col min="15888" max="15888" width="11.375" style="509" customWidth="1"/>
    <col min="15889" max="15889" width="11.875" style="509" customWidth="1"/>
    <col min="15890" max="15890" width="11.375" style="509" customWidth="1"/>
    <col min="15891" max="15891" width="10.375" style="509" customWidth="1"/>
    <col min="15892" max="15892" width="12.875" style="509" customWidth="1"/>
    <col min="15893" max="15893" width="11.75" style="509" customWidth="1"/>
    <col min="15894" max="15894" width="11" style="509" customWidth="1"/>
    <col min="15895" max="16128" width="9" style="509"/>
    <col min="16129" max="16129" width="5.375" style="509" customWidth="1"/>
    <col min="16130" max="16130" width="13.125" style="509" customWidth="1"/>
    <col min="16131" max="16131" width="43.875" style="509" customWidth="1"/>
    <col min="16132" max="16132" width="10.75" style="509" customWidth="1"/>
    <col min="16133" max="16133" width="10.375" style="509" customWidth="1"/>
    <col min="16134" max="16134" width="11" style="509" customWidth="1"/>
    <col min="16135" max="16136" width="12.125" style="509" customWidth="1"/>
    <col min="16137" max="16137" width="12.875" style="509" customWidth="1"/>
    <col min="16138" max="16139" width="12.125" style="509" customWidth="1"/>
    <col min="16140" max="16140" width="11.375" style="509" customWidth="1"/>
    <col min="16141" max="16142" width="11.875" style="509" customWidth="1"/>
    <col min="16143" max="16143" width="11.75" style="509" customWidth="1"/>
    <col min="16144" max="16144" width="11.375" style="509" customWidth="1"/>
    <col min="16145" max="16145" width="11.875" style="509" customWidth="1"/>
    <col min="16146" max="16146" width="11.375" style="509" customWidth="1"/>
    <col min="16147" max="16147" width="10.375" style="509" customWidth="1"/>
    <col min="16148" max="16148" width="12.875" style="509" customWidth="1"/>
    <col min="16149" max="16149" width="11.75" style="509" customWidth="1"/>
    <col min="16150" max="16150" width="11" style="509" customWidth="1"/>
    <col min="16151" max="16384" width="9" style="509"/>
  </cols>
  <sheetData>
    <row r="1" spans="1:23" s="481" customFormat="1" ht="12.75" customHeight="1">
      <c r="A1" s="480" t="s">
        <v>180</v>
      </c>
      <c r="T1" s="481" t="s">
        <v>849</v>
      </c>
    </row>
    <row r="2" spans="1:23" s="481" customFormat="1" ht="12.75" customHeight="1">
      <c r="A2" s="480"/>
      <c r="T2" s="481" t="s">
        <v>850</v>
      </c>
    </row>
    <row r="3" spans="1:23" s="481" customFormat="1" ht="12.75" customHeight="1">
      <c r="A3" s="480"/>
      <c r="T3" s="481" t="s">
        <v>851</v>
      </c>
    </row>
    <row r="4" spans="1:23" s="481" customFormat="1" ht="15.75" customHeight="1">
      <c r="A4" s="480"/>
    </row>
    <row r="5" spans="1:23" s="481" customFormat="1" ht="43.5" customHeight="1">
      <c r="A5" s="1051" t="s">
        <v>804</v>
      </c>
      <c r="B5" s="1051"/>
      <c r="C5" s="1051"/>
      <c r="D5" s="1051"/>
      <c r="E5" s="1051"/>
      <c r="F5" s="1051"/>
      <c r="G5" s="1051"/>
      <c r="H5" s="1051"/>
      <c r="I5" s="1051"/>
      <c r="J5" s="1051"/>
      <c r="K5" s="1051"/>
      <c r="L5" s="1051"/>
      <c r="M5" s="1051"/>
      <c r="N5" s="1051"/>
      <c r="O5" s="1051"/>
      <c r="P5" s="1051"/>
      <c r="Q5" s="1051"/>
      <c r="R5" s="1051"/>
      <c r="S5" s="1051"/>
      <c r="T5" s="1051"/>
      <c r="U5" s="1051"/>
      <c r="V5" s="1051"/>
    </row>
    <row r="6" spans="1:23" s="481" customFormat="1" ht="12.75" customHeight="1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  <c r="S6" s="482"/>
      <c r="T6" s="482"/>
      <c r="V6" s="480" t="s">
        <v>15</v>
      </c>
    </row>
    <row r="7" spans="1:23" s="481" customFormat="1" ht="24" customHeight="1">
      <c r="A7" s="1013" t="s">
        <v>323</v>
      </c>
      <c r="B7" s="1016" t="s">
        <v>805</v>
      </c>
      <c r="C7" s="1019" t="s">
        <v>806</v>
      </c>
      <c r="D7" s="1019" t="s">
        <v>541</v>
      </c>
      <c r="E7" s="1016" t="s">
        <v>542</v>
      </c>
      <c r="F7" s="1019" t="s">
        <v>543</v>
      </c>
      <c r="G7" s="1022" t="s">
        <v>807</v>
      </c>
      <c r="H7" s="1022" t="s">
        <v>808</v>
      </c>
      <c r="I7" s="948" t="s">
        <v>546</v>
      </c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</row>
    <row r="8" spans="1:23" s="481" customFormat="1" ht="25.5" customHeight="1">
      <c r="A8" s="1014"/>
      <c r="B8" s="1017"/>
      <c r="C8" s="1020"/>
      <c r="D8" s="1020"/>
      <c r="E8" s="1017"/>
      <c r="F8" s="1020"/>
      <c r="G8" s="1022"/>
      <c r="H8" s="1022"/>
      <c r="I8" s="948"/>
      <c r="J8" s="948"/>
      <c r="K8" s="948"/>
      <c r="L8" s="948"/>
      <c r="M8" s="948"/>
      <c r="N8" s="948"/>
      <c r="O8" s="948"/>
      <c r="P8" s="948"/>
      <c r="Q8" s="948"/>
      <c r="R8" s="948"/>
      <c r="S8" s="948"/>
      <c r="T8" s="948"/>
      <c r="U8" s="948"/>
      <c r="V8" s="948"/>
    </row>
    <row r="9" spans="1:23" s="481" customFormat="1" ht="15.75" customHeight="1">
      <c r="A9" s="1014"/>
      <c r="B9" s="1017"/>
      <c r="C9" s="1020"/>
      <c r="D9" s="1020"/>
      <c r="E9" s="1017"/>
      <c r="F9" s="1020"/>
      <c r="G9" s="483" t="s">
        <v>547</v>
      </c>
      <c r="H9" s="483" t="s">
        <v>547</v>
      </c>
      <c r="I9" s="948" t="s">
        <v>548</v>
      </c>
      <c r="J9" s="1029" t="s">
        <v>549</v>
      </c>
      <c r="K9" s="1029"/>
      <c r="L9" s="1029"/>
      <c r="M9" s="1025" t="s">
        <v>550</v>
      </c>
      <c r="N9" s="1029" t="s">
        <v>809</v>
      </c>
      <c r="O9" s="1029"/>
      <c r="P9" s="1029"/>
      <c r="Q9" s="1029"/>
      <c r="R9" s="1029"/>
      <c r="S9" s="1029"/>
      <c r="T9" s="1029"/>
      <c r="U9" s="1029"/>
      <c r="V9" s="1029"/>
    </row>
    <row r="10" spans="1:23" s="481" customFormat="1" ht="12.75" customHeight="1">
      <c r="A10" s="1014"/>
      <c r="B10" s="1017"/>
      <c r="C10" s="1020"/>
      <c r="D10" s="1020"/>
      <c r="E10" s="1017"/>
      <c r="F10" s="1020"/>
      <c r="G10" s="483" t="s">
        <v>552</v>
      </c>
      <c r="H10" s="483" t="s">
        <v>552</v>
      </c>
      <c r="I10" s="948"/>
      <c r="J10" s="1029"/>
      <c r="K10" s="1029"/>
      <c r="L10" s="1029"/>
      <c r="M10" s="1025"/>
      <c r="N10" s="1026" t="s">
        <v>553</v>
      </c>
      <c r="O10" s="1026"/>
      <c r="P10" s="1026"/>
      <c r="Q10" s="1026" t="s">
        <v>554</v>
      </c>
      <c r="R10" s="1026"/>
      <c r="S10" s="1026"/>
      <c r="T10" s="1025" t="s">
        <v>810</v>
      </c>
      <c r="U10" s="1025"/>
      <c r="V10" s="1025"/>
    </row>
    <row r="11" spans="1:23" s="481" customFormat="1" ht="14.25" customHeight="1">
      <c r="A11" s="1014"/>
      <c r="B11" s="1017"/>
      <c r="C11" s="1020"/>
      <c r="D11" s="1020"/>
      <c r="E11" s="1017"/>
      <c r="F11" s="1020"/>
      <c r="G11" s="483" t="s">
        <v>556</v>
      </c>
      <c r="H11" s="483" t="s">
        <v>556</v>
      </c>
      <c r="I11" s="948"/>
      <c r="J11" s="1026" t="s">
        <v>17</v>
      </c>
      <c r="K11" s="1026" t="s">
        <v>557</v>
      </c>
      <c r="L11" s="1026" t="s">
        <v>558</v>
      </c>
      <c r="M11" s="1025"/>
      <c r="N11" s="1026" t="s">
        <v>17</v>
      </c>
      <c r="O11" s="1026" t="s">
        <v>559</v>
      </c>
      <c r="P11" s="1024" t="s">
        <v>558</v>
      </c>
      <c r="Q11" s="1026" t="s">
        <v>17</v>
      </c>
      <c r="R11" s="1026" t="s">
        <v>559</v>
      </c>
      <c r="S11" s="1024" t="s">
        <v>558</v>
      </c>
      <c r="T11" s="1025" t="s">
        <v>560</v>
      </c>
      <c r="U11" s="1026" t="s">
        <v>559</v>
      </c>
      <c r="V11" s="1024" t="s">
        <v>558</v>
      </c>
    </row>
    <row r="12" spans="1:23" s="481" customFormat="1" ht="16.5" customHeight="1">
      <c r="A12" s="1015"/>
      <c r="B12" s="1018"/>
      <c r="C12" s="1021"/>
      <c r="D12" s="1021"/>
      <c r="E12" s="1018"/>
      <c r="F12" s="1021"/>
      <c r="G12" s="483" t="s">
        <v>810</v>
      </c>
      <c r="H12" s="483" t="s">
        <v>810</v>
      </c>
      <c r="I12" s="948"/>
      <c r="J12" s="1026"/>
      <c r="K12" s="1026"/>
      <c r="L12" s="1026"/>
      <c r="M12" s="1025"/>
      <c r="N12" s="1026"/>
      <c r="O12" s="1026"/>
      <c r="P12" s="1024"/>
      <c r="Q12" s="1026"/>
      <c r="R12" s="1026"/>
      <c r="S12" s="1024"/>
      <c r="T12" s="1025"/>
      <c r="U12" s="1026"/>
      <c r="V12" s="1024"/>
    </row>
    <row r="13" spans="1:23" s="485" customFormat="1" ht="12.75" customHeight="1">
      <c r="A13" s="484">
        <v>1</v>
      </c>
      <c r="B13" s="484">
        <v>2</v>
      </c>
      <c r="C13" s="484">
        <v>3</v>
      </c>
      <c r="D13" s="484">
        <v>4</v>
      </c>
      <c r="E13" s="484">
        <v>5</v>
      </c>
      <c r="F13" s="484">
        <v>6</v>
      </c>
      <c r="G13" s="484">
        <v>7</v>
      </c>
      <c r="H13" s="484">
        <v>8</v>
      </c>
      <c r="I13" s="484" t="s">
        <v>562</v>
      </c>
      <c r="J13" s="484" t="s">
        <v>563</v>
      </c>
      <c r="K13" s="484">
        <v>11</v>
      </c>
      <c r="L13" s="484">
        <v>12</v>
      </c>
      <c r="M13" s="484" t="s">
        <v>564</v>
      </c>
      <c r="N13" s="484" t="s">
        <v>565</v>
      </c>
      <c r="O13" s="484">
        <v>15</v>
      </c>
      <c r="P13" s="484">
        <v>16</v>
      </c>
      <c r="Q13" s="484" t="s">
        <v>566</v>
      </c>
      <c r="R13" s="484">
        <v>18</v>
      </c>
      <c r="S13" s="484">
        <v>19</v>
      </c>
      <c r="T13" s="484" t="s">
        <v>567</v>
      </c>
      <c r="U13" s="484">
        <v>21</v>
      </c>
      <c r="V13" s="484">
        <v>22</v>
      </c>
    </row>
    <row r="14" spans="1:23" s="485" customFormat="1" ht="6" customHeight="1">
      <c r="A14" s="1027"/>
      <c r="B14" s="1027"/>
      <c r="C14" s="1027"/>
      <c r="D14" s="1027"/>
      <c r="E14" s="1027"/>
      <c r="F14" s="1027"/>
      <c r="G14" s="1027"/>
      <c r="H14" s="1027"/>
      <c r="I14" s="1027"/>
      <c r="J14" s="1027"/>
      <c r="K14" s="1027"/>
      <c r="L14" s="1027"/>
      <c r="M14" s="1027"/>
      <c r="N14" s="1027"/>
      <c r="O14" s="1027"/>
      <c r="P14" s="1027"/>
      <c r="Q14" s="1027"/>
      <c r="R14" s="1027"/>
      <c r="S14" s="1027"/>
      <c r="T14" s="1027"/>
      <c r="U14" s="1027"/>
      <c r="V14" s="1027"/>
    </row>
    <row r="15" spans="1:23" s="485" customFormat="1" ht="17.25" customHeight="1">
      <c r="A15" s="1028" t="s">
        <v>811</v>
      </c>
      <c r="B15" s="1028"/>
      <c r="C15" s="1028"/>
      <c r="D15" s="1028"/>
      <c r="E15" s="1028"/>
      <c r="F15" s="1028"/>
      <c r="G15" s="1028"/>
      <c r="H15" s="1028"/>
      <c r="I15" s="1028"/>
      <c r="J15" s="1028"/>
      <c r="K15" s="1028"/>
      <c r="L15" s="1028"/>
      <c r="M15" s="1028"/>
      <c r="N15" s="1028"/>
      <c r="O15" s="1028"/>
      <c r="P15" s="1028"/>
      <c r="Q15" s="1028"/>
      <c r="R15" s="1028"/>
      <c r="S15" s="1028"/>
      <c r="T15" s="1028"/>
      <c r="U15" s="1028"/>
      <c r="V15" s="1028"/>
      <c r="W15" s="486"/>
    </row>
    <row r="16" spans="1:23" s="485" customFormat="1" ht="5.25" customHeight="1">
      <c r="A16" s="1011"/>
      <c r="B16" s="1011"/>
      <c r="C16" s="1011"/>
      <c r="D16" s="1011"/>
      <c r="E16" s="1011"/>
      <c r="F16" s="1011"/>
      <c r="G16" s="1011"/>
      <c r="H16" s="1011"/>
      <c r="I16" s="1011"/>
      <c r="J16" s="1011"/>
      <c r="K16" s="1011"/>
      <c r="L16" s="1011"/>
      <c r="M16" s="1011"/>
      <c r="N16" s="1011"/>
      <c r="O16" s="1011"/>
      <c r="P16" s="1011"/>
      <c r="Q16" s="1011"/>
      <c r="R16" s="1011"/>
      <c r="S16" s="1011"/>
      <c r="T16" s="1011"/>
      <c r="U16" s="1011"/>
      <c r="V16" s="1011"/>
      <c r="W16" s="487"/>
    </row>
    <row r="17" spans="1:22" s="506" customFormat="1" ht="15.95" customHeight="1">
      <c r="A17" s="950">
        <v>1</v>
      </c>
      <c r="B17" s="950" t="s">
        <v>812</v>
      </c>
      <c r="C17" s="1046" t="s">
        <v>813</v>
      </c>
      <c r="D17" s="949" t="s">
        <v>771</v>
      </c>
      <c r="E17" s="1045" t="s">
        <v>814</v>
      </c>
      <c r="F17" s="950" t="s">
        <v>815</v>
      </c>
      <c r="G17" s="505">
        <f>G18+G19+G20+G21</f>
        <v>12086049</v>
      </c>
      <c r="H17" s="505">
        <f>H18+H19+H20+H21</f>
        <v>10792049</v>
      </c>
      <c r="I17" s="1032">
        <f>J17+M17</f>
        <v>1294000</v>
      </c>
      <c r="J17" s="1032">
        <f>K17+L17</f>
        <v>1099900</v>
      </c>
      <c r="K17" s="1031">
        <v>1099900</v>
      </c>
      <c r="L17" s="1031">
        <v>0</v>
      </c>
      <c r="M17" s="1032">
        <f>N17+Q17+T17</f>
        <v>194100</v>
      </c>
      <c r="N17" s="1032">
        <f>O17+P17</f>
        <v>194100</v>
      </c>
      <c r="O17" s="1031">
        <v>194100</v>
      </c>
      <c r="P17" s="1031">
        <v>0</v>
      </c>
      <c r="Q17" s="1032">
        <f>R17+S17</f>
        <v>0</v>
      </c>
      <c r="R17" s="1031">
        <v>0</v>
      </c>
      <c r="S17" s="1031">
        <v>0</v>
      </c>
      <c r="T17" s="1032">
        <f>U17+V17</f>
        <v>0</v>
      </c>
      <c r="U17" s="1031">
        <v>0</v>
      </c>
      <c r="V17" s="1031">
        <v>0</v>
      </c>
    </row>
    <row r="18" spans="1:22" s="506" customFormat="1" ht="15.95" customHeight="1">
      <c r="A18" s="950"/>
      <c r="B18" s="950"/>
      <c r="C18" s="1047"/>
      <c r="D18" s="949"/>
      <c r="E18" s="1045"/>
      <c r="F18" s="950"/>
      <c r="G18" s="505">
        <v>10273109</v>
      </c>
      <c r="H18" s="505">
        <v>9173209</v>
      </c>
      <c r="I18" s="1032"/>
      <c r="J18" s="1032"/>
      <c r="K18" s="1031"/>
      <c r="L18" s="1031"/>
      <c r="M18" s="1032"/>
      <c r="N18" s="1032"/>
      <c r="O18" s="1031"/>
      <c r="P18" s="1031"/>
      <c r="Q18" s="1032"/>
      <c r="R18" s="1031"/>
      <c r="S18" s="1031"/>
      <c r="T18" s="1032"/>
      <c r="U18" s="1031"/>
      <c r="V18" s="1031"/>
    </row>
    <row r="19" spans="1:22" s="506" customFormat="1" ht="15.95" customHeight="1">
      <c r="A19" s="950"/>
      <c r="B19" s="950"/>
      <c r="C19" s="1047"/>
      <c r="D19" s="949"/>
      <c r="E19" s="1045"/>
      <c r="F19" s="950"/>
      <c r="G19" s="505">
        <v>1812901</v>
      </c>
      <c r="H19" s="505">
        <v>1618801</v>
      </c>
      <c r="I19" s="1032"/>
      <c r="J19" s="1032"/>
      <c r="K19" s="1031"/>
      <c r="L19" s="1031"/>
      <c r="M19" s="1032"/>
      <c r="N19" s="1032"/>
      <c r="O19" s="1031"/>
      <c r="P19" s="1031"/>
      <c r="Q19" s="1032"/>
      <c r="R19" s="1031"/>
      <c r="S19" s="1031"/>
      <c r="T19" s="1032"/>
      <c r="U19" s="1031"/>
      <c r="V19" s="1031"/>
    </row>
    <row r="20" spans="1:22" s="506" customFormat="1" ht="15.95" customHeight="1">
      <c r="A20" s="950"/>
      <c r="B20" s="950"/>
      <c r="C20" s="1047"/>
      <c r="D20" s="949"/>
      <c r="E20" s="1045"/>
      <c r="F20" s="950"/>
      <c r="G20" s="505">
        <v>39</v>
      </c>
      <c r="H20" s="505">
        <v>39</v>
      </c>
      <c r="I20" s="1032"/>
      <c r="J20" s="1032"/>
      <c r="K20" s="1031"/>
      <c r="L20" s="1031"/>
      <c r="M20" s="1032"/>
      <c r="N20" s="1032"/>
      <c r="O20" s="1031"/>
      <c r="P20" s="1031"/>
      <c r="Q20" s="1032"/>
      <c r="R20" s="1031"/>
      <c r="S20" s="1031"/>
      <c r="T20" s="1032"/>
      <c r="U20" s="1031"/>
      <c r="V20" s="1031"/>
    </row>
    <row r="21" spans="1:22" s="506" customFormat="1" ht="15.95" customHeight="1">
      <c r="A21" s="950"/>
      <c r="B21" s="950"/>
      <c r="C21" s="1048"/>
      <c r="D21" s="949"/>
      <c r="E21" s="1045"/>
      <c r="F21" s="950"/>
      <c r="G21" s="505">
        <v>0</v>
      </c>
      <c r="H21" s="505">
        <v>0</v>
      </c>
      <c r="I21" s="1032"/>
      <c r="J21" s="1032"/>
      <c r="K21" s="1031"/>
      <c r="L21" s="1031"/>
      <c r="M21" s="1032"/>
      <c r="N21" s="1032"/>
      <c r="O21" s="1031"/>
      <c r="P21" s="1031"/>
      <c r="Q21" s="1032"/>
      <c r="R21" s="1031"/>
      <c r="S21" s="1031"/>
      <c r="T21" s="1032"/>
      <c r="U21" s="1031"/>
      <c r="V21" s="1031"/>
    </row>
    <row r="22" spans="1:22" s="506" customFormat="1" ht="15.95" customHeight="1">
      <c r="A22" s="950">
        <v>2</v>
      </c>
      <c r="B22" s="950" t="s">
        <v>812</v>
      </c>
      <c r="C22" s="1046" t="s">
        <v>816</v>
      </c>
      <c r="D22" s="949" t="s">
        <v>572</v>
      </c>
      <c r="E22" s="1045" t="s">
        <v>814</v>
      </c>
      <c r="F22" s="950" t="s">
        <v>597</v>
      </c>
      <c r="G22" s="505">
        <f>G24+G23+G25+G26</f>
        <v>814900</v>
      </c>
      <c r="H22" s="505">
        <f>H24+H23+H25+H26</f>
        <v>303479</v>
      </c>
      <c r="I22" s="1032">
        <f>J22+M22</f>
        <v>511421</v>
      </c>
      <c r="J22" s="1032">
        <f>K22+L22</f>
        <v>391237</v>
      </c>
      <c r="K22" s="1031">
        <v>391237</v>
      </c>
      <c r="L22" s="1031">
        <v>0</v>
      </c>
      <c r="M22" s="1032">
        <f>N22+Q22+T22</f>
        <v>120184</v>
      </c>
      <c r="N22" s="1032">
        <f>O22+P22</f>
        <v>69042</v>
      </c>
      <c r="O22" s="1031">
        <v>69042</v>
      </c>
      <c r="P22" s="1031">
        <v>0</v>
      </c>
      <c r="Q22" s="1032">
        <f>R22+S22</f>
        <v>51142</v>
      </c>
      <c r="R22" s="1031">
        <v>51142</v>
      </c>
      <c r="S22" s="1031">
        <v>0</v>
      </c>
      <c r="T22" s="1032">
        <f>U22+V22</f>
        <v>0</v>
      </c>
      <c r="U22" s="1031">
        <v>0</v>
      </c>
      <c r="V22" s="1031">
        <v>0</v>
      </c>
    </row>
    <row r="23" spans="1:22" s="506" customFormat="1" ht="15.95" customHeight="1">
      <c r="A23" s="950"/>
      <c r="B23" s="950"/>
      <c r="C23" s="1047"/>
      <c r="D23" s="949"/>
      <c r="E23" s="1045"/>
      <c r="F23" s="950"/>
      <c r="G23" s="505">
        <v>623398</v>
      </c>
      <c r="H23" s="505">
        <v>232161</v>
      </c>
      <c r="I23" s="1032"/>
      <c r="J23" s="1032"/>
      <c r="K23" s="1031"/>
      <c r="L23" s="1031"/>
      <c r="M23" s="1032"/>
      <c r="N23" s="1032"/>
      <c r="O23" s="1031"/>
      <c r="P23" s="1031"/>
      <c r="Q23" s="1032"/>
      <c r="R23" s="1031"/>
      <c r="S23" s="1031"/>
      <c r="T23" s="1032"/>
      <c r="U23" s="1031"/>
      <c r="V23" s="1031"/>
    </row>
    <row r="24" spans="1:22" s="506" customFormat="1" ht="15.95" customHeight="1">
      <c r="A24" s="950"/>
      <c r="B24" s="950"/>
      <c r="C24" s="1047"/>
      <c r="D24" s="949"/>
      <c r="E24" s="1045"/>
      <c r="F24" s="950"/>
      <c r="G24" s="505">
        <v>110012</v>
      </c>
      <c r="H24" s="505">
        <v>40970</v>
      </c>
      <c r="I24" s="1032"/>
      <c r="J24" s="1032"/>
      <c r="K24" s="1031"/>
      <c r="L24" s="1031"/>
      <c r="M24" s="1032"/>
      <c r="N24" s="1032"/>
      <c r="O24" s="1031"/>
      <c r="P24" s="1031"/>
      <c r="Q24" s="1032"/>
      <c r="R24" s="1031"/>
      <c r="S24" s="1031"/>
      <c r="T24" s="1032"/>
      <c r="U24" s="1031"/>
      <c r="V24" s="1031"/>
    </row>
    <row r="25" spans="1:22" s="506" customFormat="1" ht="15.95" customHeight="1">
      <c r="A25" s="950"/>
      <c r="B25" s="950"/>
      <c r="C25" s="1047"/>
      <c r="D25" s="949"/>
      <c r="E25" s="1045"/>
      <c r="F25" s="950"/>
      <c r="G25" s="505">
        <v>81490</v>
      </c>
      <c r="H25" s="505">
        <v>30348</v>
      </c>
      <c r="I25" s="1032"/>
      <c r="J25" s="1032"/>
      <c r="K25" s="1031"/>
      <c r="L25" s="1031"/>
      <c r="M25" s="1032"/>
      <c r="N25" s="1032"/>
      <c r="O25" s="1031"/>
      <c r="P25" s="1031"/>
      <c r="Q25" s="1032"/>
      <c r="R25" s="1031"/>
      <c r="S25" s="1031"/>
      <c r="T25" s="1032"/>
      <c r="U25" s="1031"/>
      <c r="V25" s="1031"/>
    </row>
    <row r="26" spans="1:22" s="506" customFormat="1" ht="15.95" customHeight="1">
      <c r="A26" s="950"/>
      <c r="B26" s="950"/>
      <c r="C26" s="1048"/>
      <c r="D26" s="949"/>
      <c r="E26" s="1045"/>
      <c r="F26" s="950"/>
      <c r="G26" s="505">
        <v>0</v>
      </c>
      <c r="H26" s="505">
        <v>0</v>
      </c>
      <c r="I26" s="1032"/>
      <c r="J26" s="1032"/>
      <c r="K26" s="1031"/>
      <c r="L26" s="1031"/>
      <c r="M26" s="1032"/>
      <c r="N26" s="1032"/>
      <c r="O26" s="1031"/>
      <c r="P26" s="1031"/>
      <c r="Q26" s="1032"/>
      <c r="R26" s="1031"/>
      <c r="S26" s="1031"/>
      <c r="T26" s="1032"/>
      <c r="U26" s="1031"/>
      <c r="V26" s="1031"/>
    </row>
    <row r="27" spans="1:22" s="506" customFormat="1" ht="15.95" customHeight="1">
      <c r="A27" s="950">
        <v>3</v>
      </c>
      <c r="B27" s="960" t="s">
        <v>817</v>
      </c>
      <c r="C27" s="1046" t="s">
        <v>818</v>
      </c>
      <c r="D27" s="949" t="s">
        <v>819</v>
      </c>
      <c r="E27" s="1045" t="s">
        <v>665</v>
      </c>
      <c r="F27" s="950" t="s">
        <v>603</v>
      </c>
      <c r="G27" s="505">
        <f>G28+G29+G30+G31</f>
        <v>12362239</v>
      </c>
      <c r="H27" s="505">
        <f>H28+H29+H30+H31</f>
        <v>8281239</v>
      </c>
      <c r="I27" s="1032">
        <f>J27+M27</f>
        <v>4081000</v>
      </c>
      <c r="J27" s="1032">
        <f>K27+L27</f>
        <v>0</v>
      </c>
      <c r="K27" s="1031">
        <v>0</v>
      </c>
      <c r="L27" s="1031">
        <v>0</v>
      </c>
      <c r="M27" s="1032">
        <f>N27+Q27+T27</f>
        <v>4081000</v>
      </c>
      <c r="N27" s="1032">
        <f>O27+P27</f>
        <v>4081000</v>
      </c>
      <c r="O27" s="1031">
        <v>4081000</v>
      </c>
      <c r="P27" s="1031">
        <v>0</v>
      </c>
      <c r="Q27" s="1032">
        <f>R27+S27</f>
        <v>0</v>
      </c>
      <c r="R27" s="1031">
        <v>0</v>
      </c>
      <c r="S27" s="1031">
        <v>0</v>
      </c>
      <c r="T27" s="1032">
        <f>U27+V27</f>
        <v>0</v>
      </c>
      <c r="U27" s="1031">
        <v>0</v>
      </c>
      <c r="V27" s="1031">
        <v>0</v>
      </c>
    </row>
    <row r="28" spans="1:22" s="506" customFormat="1" ht="15.95" customHeight="1">
      <c r="A28" s="950"/>
      <c r="B28" s="961"/>
      <c r="C28" s="1047"/>
      <c r="D28" s="949"/>
      <c r="E28" s="1045"/>
      <c r="F28" s="950"/>
      <c r="G28" s="505">
        <v>0</v>
      </c>
      <c r="H28" s="505">
        <v>0</v>
      </c>
      <c r="I28" s="1032"/>
      <c r="J28" s="1032"/>
      <c r="K28" s="1031"/>
      <c r="L28" s="1031"/>
      <c r="M28" s="1032"/>
      <c r="N28" s="1032"/>
      <c r="O28" s="1031"/>
      <c r="P28" s="1031"/>
      <c r="Q28" s="1032"/>
      <c r="R28" s="1031"/>
      <c r="S28" s="1031"/>
      <c r="T28" s="1032"/>
      <c r="U28" s="1031"/>
      <c r="V28" s="1031"/>
    </row>
    <row r="29" spans="1:22" s="506" customFormat="1" ht="15.95" customHeight="1">
      <c r="A29" s="950"/>
      <c r="B29" s="961"/>
      <c r="C29" s="1047"/>
      <c r="D29" s="949"/>
      <c r="E29" s="1045"/>
      <c r="F29" s="950"/>
      <c r="G29" s="505">
        <v>12362239</v>
      </c>
      <c r="H29" s="505">
        <v>8281239</v>
      </c>
      <c r="I29" s="1032"/>
      <c r="J29" s="1032"/>
      <c r="K29" s="1031"/>
      <c r="L29" s="1031"/>
      <c r="M29" s="1032"/>
      <c r="N29" s="1032"/>
      <c r="O29" s="1031"/>
      <c r="P29" s="1031"/>
      <c r="Q29" s="1032"/>
      <c r="R29" s="1031"/>
      <c r="S29" s="1031"/>
      <c r="T29" s="1032"/>
      <c r="U29" s="1031"/>
      <c r="V29" s="1031"/>
    </row>
    <row r="30" spans="1:22" s="506" customFormat="1" ht="15.95" customHeight="1">
      <c r="A30" s="950"/>
      <c r="B30" s="961"/>
      <c r="C30" s="1047"/>
      <c r="D30" s="949"/>
      <c r="E30" s="1045"/>
      <c r="F30" s="950"/>
      <c r="G30" s="505">
        <v>0</v>
      </c>
      <c r="H30" s="505">
        <v>0</v>
      </c>
      <c r="I30" s="1032"/>
      <c r="J30" s="1032"/>
      <c r="K30" s="1031"/>
      <c r="L30" s="1031"/>
      <c r="M30" s="1032"/>
      <c r="N30" s="1032"/>
      <c r="O30" s="1031"/>
      <c r="P30" s="1031"/>
      <c r="Q30" s="1032"/>
      <c r="R30" s="1031"/>
      <c r="S30" s="1031"/>
      <c r="T30" s="1032"/>
      <c r="U30" s="1031"/>
      <c r="V30" s="1031"/>
    </row>
    <row r="31" spans="1:22" s="506" customFormat="1" ht="15.95" customHeight="1">
      <c r="A31" s="950"/>
      <c r="B31" s="962"/>
      <c r="C31" s="1048"/>
      <c r="D31" s="949"/>
      <c r="E31" s="1045"/>
      <c r="F31" s="950"/>
      <c r="G31" s="505">
        <v>0</v>
      </c>
      <c r="H31" s="505">
        <v>0</v>
      </c>
      <c r="I31" s="1032"/>
      <c r="J31" s="1032"/>
      <c r="K31" s="1031"/>
      <c r="L31" s="1031"/>
      <c r="M31" s="1032"/>
      <c r="N31" s="1032"/>
      <c r="O31" s="1031"/>
      <c r="P31" s="1031"/>
      <c r="Q31" s="1032"/>
      <c r="R31" s="1031"/>
      <c r="S31" s="1031"/>
      <c r="T31" s="1032"/>
      <c r="U31" s="1031"/>
      <c r="V31" s="1031"/>
    </row>
    <row r="32" spans="1:22" s="506" customFormat="1" ht="15.95" customHeight="1">
      <c r="A32" s="950">
        <v>4</v>
      </c>
      <c r="B32" s="960" t="s">
        <v>820</v>
      </c>
      <c r="C32" s="1046" t="s">
        <v>821</v>
      </c>
      <c r="D32" s="949" t="s">
        <v>822</v>
      </c>
      <c r="E32" s="1045" t="s">
        <v>669</v>
      </c>
      <c r="F32" s="950" t="s">
        <v>577</v>
      </c>
      <c r="G32" s="505">
        <f>G34+G33+G35+G36</f>
        <v>31604369</v>
      </c>
      <c r="H32" s="505">
        <f>H34+H33+H35+H36</f>
        <v>25890576</v>
      </c>
      <c r="I32" s="1032">
        <f>J32+M32</f>
        <v>5713793</v>
      </c>
      <c r="J32" s="1032">
        <f>K32+L32</f>
        <v>4815586</v>
      </c>
      <c r="K32" s="1031">
        <v>4815586</v>
      </c>
      <c r="L32" s="1031">
        <v>0</v>
      </c>
      <c r="M32" s="1032">
        <f>N32+Q32+T32</f>
        <v>898207</v>
      </c>
      <c r="N32" s="1032">
        <f>O32+P32</f>
        <v>898207</v>
      </c>
      <c r="O32" s="1031">
        <v>898207</v>
      </c>
      <c r="P32" s="1031">
        <v>0</v>
      </c>
      <c r="Q32" s="1032">
        <f>R32+S32</f>
        <v>0</v>
      </c>
      <c r="R32" s="1031">
        <v>0</v>
      </c>
      <c r="S32" s="1031">
        <v>0</v>
      </c>
      <c r="T32" s="1032">
        <f>U32+V32</f>
        <v>0</v>
      </c>
      <c r="U32" s="1031">
        <v>0</v>
      </c>
      <c r="V32" s="1031">
        <v>0</v>
      </c>
    </row>
    <row r="33" spans="1:22" s="506" customFormat="1" ht="15.95" customHeight="1">
      <c r="A33" s="950"/>
      <c r="B33" s="961"/>
      <c r="C33" s="1047"/>
      <c r="D33" s="949"/>
      <c r="E33" s="1045"/>
      <c r="F33" s="950"/>
      <c r="G33" s="505">
        <v>26636162</v>
      </c>
      <c r="H33" s="505">
        <v>21820576</v>
      </c>
      <c r="I33" s="1032"/>
      <c r="J33" s="1032"/>
      <c r="K33" s="1031"/>
      <c r="L33" s="1031"/>
      <c r="M33" s="1032"/>
      <c r="N33" s="1032"/>
      <c r="O33" s="1031"/>
      <c r="P33" s="1031"/>
      <c r="Q33" s="1032"/>
      <c r="R33" s="1031"/>
      <c r="S33" s="1031"/>
      <c r="T33" s="1032"/>
      <c r="U33" s="1031"/>
      <c r="V33" s="1031"/>
    </row>
    <row r="34" spans="1:22" s="506" customFormat="1" ht="15.95" customHeight="1">
      <c r="A34" s="950"/>
      <c r="B34" s="961"/>
      <c r="C34" s="1047"/>
      <c r="D34" s="949"/>
      <c r="E34" s="1045"/>
      <c r="F34" s="950"/>
      <c r="G34" s="505">
        <v>4968207</v>
      </c>
      <c r="H34" s="505">
        <v>4070000</v>
      </c>
      <c r="I34" s="1032"/>
      <c r="J34" s="1032"/>
      <c r="K34" s="1031"/>
      <c r="L34" s="1031"/>
      <c r="M34" s="1032"/>
      <c r="N34" s="1032"/>
      <c r="O34" s="1031"/>
      <c r="P34" s="1031"/>
      <c r="Q34" s="1032"/>
      <c r="R34" s="1031"/>
      <c r="S34" s="1031"/>
      <c r="T34" s="1032"/>
      <c r="U34" s="1031"/>
      <c r="V34" s="1031"/>
    </row>
    <row r="35" spans="1:22" s="506" customFormat="1" ht="15.95" customHeight="1">
      <c r="A35" s="950"/>
      <c r="B35" s="961"/>
      <c r="C35" s="1047"/>
      <c r="D35" s="949"/>
      <c r="E35" s="1045"/>
      <c r="F35" s="950"/>
      <c r="G35" s="505">
        <v>0</v>
      </c>
      <c r="H35" s="505">
        <v>0</v>
      </c>
      <c r="I35" s="1032"/>
      <c r="J35" s="1032"/>
      <c r="K35" s="1031"/>
      <c r="L35" s="1031"/>
      <c r="M35" s="1032"/>
      <c r="N35" s="1032"/>
      <c r="O35" s="1031"/>
      <c r="P35" s="1031"/>
      <c r="Q35" s="1032"/>
      <c r="R35" s="1031"/>
      <c r="S35" s="1031"/>
      <c r="T35" s="1032"/>
      <c r="U35" s="1031"/>
      <c r="V35" s="1031"/>
    </row>
    <row r="36" spans="1:22" s="506" customFormat="1" ht="15.95" customHeight="1">
      <c r="A36" s="950"/>
      <c r="B36" s="962"/>
      <c r="C36" s="1048"/>
      <c r="D36" s="949"/>
      <c r="E36" s="1045"/>
      <c r="F36" s="950"/>
      <c r="G36" s="505">
        <v>0</v>
      </c>
      <c r="H36" s="505">
        <v>0</v>
      </c>
      <c r="I36" s="1032"/>
      <c r="J36" s="1032"/>
      <c r="K36" s="1031"/>
      <c r="L36" s="1031"/>
      <c r="M36" s="1032"/>
      <c r="N36" s="1032"/>
      <c r="O36" s="1031"/>
      <c r="P36" s="1031"/>
      <c r="Q36" s="1032"/>
      <c r="R36" s="1031"/>
      <c r="S36" s="1031"/>
      <c r="T36" s="1032"/>
      <c r="U36" s="1031"/>
      <c r="V36" s="1031"/>
    </row>
    <row r="37" spans="1:22" s="506" customFormat="1" ht="15.95" customHeight="1">
      <c r="A37" s="950">
        <v>5</v>
      </c>
      <c r="B37" s="960" t="s">
        <v>823</v>
      </c>
      <c r="C37" s="1046" t="s">
        <v>824</v>
      </c>
      <c r="D37" s="949" t="s">
        <v>771</v>
      </c>
      <c r="E37" s="1045" t="s">
        <v>814</v>
      </c>
      <c r="F37" s="950" t="s">
        <v>637</v>
      </c>
      <c r="G37" s="505">
        <f>G38+G39+G40+G41</f>
        <v>326482</v>
      </c>
      <c r="H37" s="505">
        <f>H38+H39+H40+H41</f>
        <v>250640</v>
      </c>
      <c r="I37" s="1032">
        <f>J37+M37</f>
        <v>75842</v>
      </c>
      <c r="J37" s="1032">
        <f>K37+L37</f>
        <v>71016</v>
      </c>
      <c r="K37" s="1031">
        <v>71016</v>
      </c>
      <c r="L37" s="1031">
        <v>0</v>
      </c>
      <c r="M37" s="1032">
        <f>N37+Q37+T37</f>
        <v>4826</v>
      </c>
      <c r="N37" s="1032">
        <f>O37+P37</f>
        <v>4826</v>
      </c>
      <c r="O37" s="1031">
        <v>4826</v>
      </c>
      <c r="P37" s="1031">
        <v>0</v>
      </c>
      <c r="Q37" s="1032">
        <f>R37+S37</f>
        <v>0</v>
      </c>
      <c r="R37" s="1031">
        <v>0</v>
      </c>
      <c r="S37" s="1031">
        <v>0</v>
      </c>
      <c r="T37" s="1032">
        <f>U37+V37</f>
        <v>0</v>
      </c>
      <c r="U37" s="1031">
        <v>0</v>
      </c>
      <c r="V37" s="1031">
        <v>0</v>
      </c>
    </row>
    <row r="38" spans="1:22" s="506" customFormat="1" ht="15.95" customHeight="1">
      <c r="A38" s="950"/>
      <c r="B38" s="961"/>
      <c r="C38" s="1047"/>
      <c r="D38" s="949"/>
      <c r="E38" s="1045"/>
      <c r="F38" s="950"/>
      <c r="G38" s="505">
        <v>305736</v>
      </c>
      <c r="H38" s="505">
        <v>234720</v>
      </c>
      <c r="I38" s="1032"/>
      <c r="J38" s="1032"/>
      <c r="K38" s="1031"/>
      <c r="L38" s="1031"/>
      <c r="M38" s="1032"/>
      <c r="N38" s="1032"/>
      <c r="O38" s="1031"/>
      <c r="P38" s="1031"/>
      <c r="Q38" s="1032"/>
      <c r="R38" s="1031"/>
      <c r="S38" s="1031"/>
      <c r="T38" s="1032"/>
      <c r="U38" s="1031"/>
      <c r="V38" s="1031"/>
    </row>
    <row r="39" spans="1:22" s="506" customFormat="1" ht="15.95" customHeight="1">
      <c r="A39" s="950"/>
      <c r="B39" s="961"/>
      <c r="C39" s="1047"/>
      <c r="D39" s="949"/>
      <c r="E39" s="1045"/>
      <c r="F39" s="950"/>
      <c r="G39" s="505">
        <v>20746</v>
      </c>
      <c r="H39" s="505">
        <v>15920</v>
      </c>
      <c r="I39" s="1032"/>
      <c r="J39" s="1032"/>
      <c r="K39" s="1031"/>
      <c r="L39" s="1031"/>
      <c r="M39" s="1032"/>
      <c r="N39" s="1032"/>
      <c r="O39" s="1031"/>
      <c r="P39" s="1031"/>
      <c r="Q39" s="1032"/>
      <c r="R39" s="1031"/>
      <c r="S39" s="1031"/>
      <c r="T39" s="1032"/>
      <c r="U39" s="1031"/>
      <c r="V39" s="1031"/>
    </row>
    <row r="40" spans="1:22" s="506" customFormat="1" ht="15.95" customHeight="1">
      <c r="A40" s="950"/>
      <c r="B40" s="961"/>
      <c r="C40" s="1047"/>
      <c r="D40" s="949"/>
      <c r="E40" s="1045"/>
      <c r="F40" s="950"/>
      <c r="G40" s="505">
        <v>0</v>
      </c>
      <c r="H40" s="505">
        <v>0</v>
      </c>
      <c r="I40" s="1032"/>
      <c r="J40" s="1032"/>
      <c r="K40" s="1031"/>
      <c r="L40" s="1031"/>
      <c r="M40" s="1032"/>
      <c r="N40" s="1032"/>
      <c r="O40" s="1031"/>
      <c r="P40" s="1031"/>
      <c r="Q40" s="1032"/>
      <c r="R40" s="1031"/>
      <c r="S40" s="1031"/>
      <c r="T40" s="1032"/>
      <c r="U40" s="1031"/>
      <c r="V40" s="1031"/>
    </row>
    <row r="41" spans="1:22" s="506" customFormat="1" ht="15.95" customHeight="1">
      <c r="A41" s="950"/>
      <c r="B41" s="962"/>
      <c r="C41" s="1048"/>
      <c r="D41" s="949"/>
      <c r="E41" s="1045"/>
      <c r="F41" s="950"/>
      <c r="G41" s="505">
        <v>0</v>
      </c>
      <c r="H41" s="505">
        <v>0</v>
      </c>
      <c r="I41" s="1032"/>
      <c r="J41" s="1032"/>
      <c r="K41" s="1031"/>
      <c r="L41" s="1031"/>
      <c r="M41" s="1032"/>
      <c r="N41" s="1032"/>
      <c r="O41" s="1031"/>
      <c r="P41" s="1031"/>
      <c r="Q41" s="1032"/>
      <c r="R41" s="1031"/>
      <c r="S41" s="1031"/>
      <c r="T41" s="1032"/>
      <c r="U41" s="1031"/>
      <c r="V41" s="1031"/>
    </row>
    <row r="42" spans="1:22" s="506" customFormat="1" ht="15.95" customHeight="1">
      <c r="A42" s="950">
        <v>6</v>
      </c>
      <c r="B42" s="949" t="s">
        <v>825</v>
      </c>
      <c r="C42" s="1046" t="s">
        <v>826</v>
      </c>
      <c r="D42" s="949" t="s">
        <v>819</v>
      </c>
      <c r="E42" s="1045" t="s">
        <v>665</v>
      </c>
      <c r="F42" s="950" t="s">
        <v>827</v>
      </c>
      <c r="G42" s="505">
        <f>G43+G44+G45+G46</f>
        <v>20135626</v>
      </c>
      <c r="H42" s="505">
        <f>H43+H44+H45+H46</f>
        <v>16902219</v>
      </c>
      <c r="I42" s="1032">
        <f>J42+M42</f>
        <v>3233407</v>
      </c>
      <c r="J42" s="1032">
        <f>K42+L42</f>
        <v>2725115</v>
      </c>
      <c r="K42" s="1031">
        <v>2725115</v>
      </c>
      <c r="L42" s="1031">
        <v>0</v>
      </c>
      <c r="M42" s="1032">
        <f>N42+Q42+T42</f>
        <v>508292</v>
      </c>
      <c r="N42" s="1032">
        <f>O42+P42</f>
        <v>0</v>
      </c>
      <c r="O42" s="1031">
        <v>0</v>
      </c>
      <c r="P42" s="1031">
        <v>0</v>
      </c>
      <c r="Q42" s="1032">
        <f>R42+S42</f>
        <v>508292</v>
      </c>
      <c r="R42" s="1031">
        <v>508292</v>
      </c>
      <c r="S42" s="1031">
        <v>0</v>
      </c>
      <c r="T42" s="1032">
        <f>U42+V42</f>
        <v>0</v>
      </c>
      <c r="U42" s="1031">
        <v>0</v>
      </c>
      <c r="V42" s="1031">
        <v>0</v>
      </c>
    </row>
    <row r="43" spans="1:22" s="506" customFormat="1" ht="15.95" customHeight="1">
      <c r="A43" s="950"/>
      <c r="B43" s="949"/>
      <c r="C43" s="1047"/>
      <c r="D43" s="949"/>
      <c r="E43" s="1045"/>
      <c r="F43" s="950"/>
      <c r="G43" s="505">
        <v>16970304</v>
      </c>
      <c r="H43" s="505">
        <v>14245189</v>
      </c>
      <c r="I43" s="1032"/>
      <c r="J43" s="1032"/>
      <c r="K43" s="1031"/>
      <c r="L43" s="1031"/>
      <c r="M43" s="1032"/>
      <c r="N43" s="1032"/>
      <c r="O43" s="1031"/>
      <c r="P43" s="1031"/>
      <c r="Q43" s="1032"/>
      <c r="R43" s="1031"/>
      <c r="S43" s="1031"/>
      <c r="T43" s="1032"/>
      <c r="U43" s="1031"/>
      <c r="V43" s="1031"/>
    </row>
    <row r="44" spans="1:22" s="506" customFormat="1" ht="15.95" customHeight="1">
      <c r="A44" s="950"/>
      <c r="B44" s="949"/>
      <c r="C44" s="1047"/>
      <c r="D44" s="949"/>
      <c r="E44" s="1045"/>
      <c r="F44" s="950"/>
      <c r="G44" s="505">
        <v>0</v>
      </c>
      <c r="H44" s="505">
        <v>0</v>
      </c>
      <c r="I44" s="1032"/>
      <c r="J44" s="1032"/>
      <c r="K44" s="1031"/>
      <c r="L44" s="1031"/>
      <c r="M44" s="1032"/>
      <c r="N44" s="1032"/>
      <c r="O44" s="1031"/>
      <c r="P44" s="1031"/>
      <c r="Q44" s="1032"/>
      <c r="R44" s="1031"/>
      <c r="S44" s="1031"/>
      <c r="T44" s="1032"/>
      <c r="U44" s="1031"/>
      <c r="V44" s="1031"/>
    </row>
    <row r="45" spans="1:22" s="506" customFormat="1" ht="15.95" customHeight="1">
      <c r="A45" s="950"/>
      <c r="B45" s="949"/>
      <c r="C45" s="1047"/>
      <c r="D45" s="949"/>
      <c r="E45" s="1045"/>
      <c r="F45" s="950"/>
      <c r="G45" s="505">
        <v>3165322</v>
      </c>
      <c r="H45" s="505">
        <v>2657030</v>
      </c>
      <c r="I45" s="1032"/>
      <c r="J45" s="1032"/>
      <c r="K45" s="1031"/>
      <c r="L45" s="1031"/>
      <c r="M45" s="1032"/>
      <c r="N45" s="1032"/>
      <c r="O45" s="1031"/>
      <c r="P45" s="1031"/>
      <c r="Q45" s="1032"/>
      <c r="R45" s="1031"/>
      <c r="S45" s="1031"/>
      <c r="T45" s="1032"/>
      <c r="U45" s="1031"/>
      <c r="V45" s="1031"/>
    </row>
    <row r="46" spans="1:22" s="506" customFormat="1" ht="15.95" customHeight="1">
      <c r="A46" s="950"/>
      <c r="B46" s="949"/>
      <c r="C46" s="1048"/>
      <c r="D46" s="949"/>
      <c r="E46" s="1045"/>
      <c r="F46" s="950"/>
      <c r="G46" s="505">
        <v>0</v>
      </c>
      <c r="H46" s="505">
        <v>0</v>
      </c>
      <c r="I46" s="1032"/>
      <c r="J46" s="1032"/>
      <c r="K46" s="1031"/>
      <c r="L46" s="1031"/>
      <c r="M46" s="1032"/>
      <c r="N46" s="1032"/>
      <c r="O46" s="1031"/>
      <c r="P46" s="1031"/>
      <c r="Q46" s="1032"/>
      <c r="R46" s="1031"/>
      <c r="S46" s="1031"/>
      <c r="T46" s="1032"/>
      <c r="U46" s="1031"/>
      <c r="V46" s="1031"/>
    </row>
    <row r="47" spans="1:22" s="506" customFormat="1" ht="15.95" customHeight="1">
      <c r="A47" s="950">
        <v>7</v>
      </c>
      <c r="B47" s="978" t="s">
        <v>828</v>
      </c>
      <c r="C47" s="1046" t="s">
        <v>829</v>
      </c>
      <c r="D47" s="978" t="s">
        <v>771</v>
      </c>
      <c r="E47" s="1049" t="s">
        <v>616</v>
      </c>
      <c r="F47" s="1010" t="s">
        <v>603</v>
      </c>
      <c r="G47" s="505">
        <f>G48+G49+G50+G51</f>
        <v>31626097</v>
      </c>
      <c r="H47" s="505">
        <f>H48+H49+H50+H51</f>
        <v>30231156</v>
      </c>
      <c r="I47" s="1032">
        <f>J47+M47</f>
        <v>1394941</v>
      </c>
      <c r="J47" s="1032">
        <f>K47+L47</f>
        <v>0</v>
      </c>
      <c r="K47" s="1031">
        <v>0</v>
      </c>
      <c r="L47" s="1031">
        <v>0</v>
      </c>
      <c r="M47" s="1032">
        <f>N47+Q47+T47</f>
        <v>1394941</v>
      </c>
      <c r="N47" s="1032">
        <f>O47+P47</f>
        <v>0</v>
      </c>
      <c r="O47" s="1031">
        <v>0</v>
      </c>
      <c r="P47" s="1031">
        <v>0</v>
      </c>
      <c r="Q47" s="1032">
        <f>R47+S47</f>
        <v>1394941</v>
      </c>
      <c r="R47" s="1031">
        <v>174718</v>
      </c>
      <c r="S47" s="1031">
        <v>1220223</v>
      </c>
      <c r="T47" s="1032">
        <f>U47+V47</f>
        <v>0</v>
      </c>
      <c r="U47" s="1031">
        <v>0</v>
      </c>
      <c r="V47" s="1031">
        <v>0</v>
      </c>
    </row>
    <row r="48" spans="1:22" s="506" customFormat="1" ht="15.95" customHeight="1">
      <c r="A48" s="950"/>
      <c r="B48" s="978"/>
      <c r="C48" s="1047"/>
      <c r="D48" s="978"/>
      <c r="E48" s="1049"/>
      <c r="F48" s="1010"/>
      <c r="G48" s="505">
        <v>14873864</v>
      </c>
      <c r="H48" s="505">
        <v>14873864</v>
      </c>
      <c r="I48" s="1032"/>
      <c r="J48" s="1032"/>
      <c r="K48" s="1031"/>
      <c r="L48" s="1031"/>
      <c r="M48" s="1032"/>
      <c r="N48" s="1032"/>
      <c r="O48" s="1031"/>
      <c r="P48" s="1031"/>
      <c r="Q48" s="1032"/>
      <c r="R48" s="1031"/>
      <c r="S48" s="1031"/>
      <c r="T48" s="1032"/>
      <c r="U48" s="1031"/>
      <c r="V48" s="1031"/>
    </row>
    <row r="49" spans="1:22" s="506" customFormat="1" ht="15.95" customHeight="1">
      <c r="A49" s="950"/>
      <c r="B49" s="978"/>
      <c r="C49" s="1047"/>
      <c r="D49" s="978"/>
      <c r="E49" s="1049"/>
      <c r="F49" s="1010"/>
      <c r="G49" s="505">
        <v>0</v>
      </c>
      <c r="H49" s="505">
        <v>0</v>
      </c>
      <c r="I49" s="1032"/>
      <c r="J49" s="1032"/>
      <c r="K49" s="1031"/>
      <c r="L49" s="1031"/>
      <c r="M49" s="1032"/>
      <c r="N49" s="1032"/>
      <c r="O49" s="1031"/>
      <c r="P49" s="1031"/>
      <c r="Q49" s="1032"/>
      <c r="R49" s="1031"/>
      <c r="S49" s="1031"/>
      <c r="T49" s="1032"/>
      <c r="U49" s="1031"/>
      <c r="V49" s="1031"/>
    </row>
    <row r="50" spans="1:22" s="506" customFormat="1" ht="15.95" customHeight="1">
      <c r="A50" s="950"/>
      <c r="B50" s="978"/>
      <c r="C50" s="1047"/>
      <c r="D50" s="978"/>
      <c r="E50" s="1049"/>
      <c r="F50" s="1010"/>
      <c r="G50" s="505">
        <v>16752233</v>
      </c>
      <c r="H50" s="505">
        <v>15357292</v>
      </c>
      <c r="I50" s="1032"/>
      <c r="J50" s="1032"/>
      <c r="K50" s="1031"/>
      <c r="L50" s="1031"/>
      <c r="M50" s="1032"/>
      <c r="N50" s="1032"/>
      <c r="O50" s="1031"/>
      <c r="P50" s="1031"/>
      <c r="Q50" s="1032"/>
      <c r="R50" s="1031"/>
      <c r="S50" s="1031"/>
      <c r="T50" s="1032"/>
      <c r="U50" s="1031"/>
      <c r="V50" s="1031"/>
    </row>
    <row r="51" spans="1:22" s="506" customFormat="1" ht="15.95" customHeight="1">
      <c r="A51" s="950"/>
      <c r="B51" s="978"/>
      <c r="C51" s="1048"/>
      <c r="D51" s="978"/>
      <c r="E51" s="1049"/>
      <c r="F51" s="1010"/>
      <c r="G51" s="505">
        <v>0</v>
      </c>
      <c r="H51" s="505">
        <v>0</v>
      </c>
      <c r="I51" s="1032"/>
      <c r="J51" s="1032"/>
      <c r="K51" s="1031"/>
      <c r="L51" s="1031"/>
      <c r="M51" s="1032"/>
      <c r="N51" s="1032"/>
      <c r="O51" s="1031"/>
      <c r="P51" s="1031"/>
      <c r="Q51" s="1032"/>
      <c r="R51" s="1031"/>
      <c r="S51" s="1031"/>
      <c r="T51" s="1032"/>
      <c r="U51" s="1031"/>
      <c r="V51" s="1031"/>
    </row>
    <row r="52" spans="1:22" s="506" customFormat="1" ht="15.95" customHeight="1">
      <c r="A52" s="950">
        <v>8</v>
      </c>
      <c r="B52" s="960" t="s">
        <v>830</v>
      </c>
      <c r="C52" s="1050" t="s">
        <v>831</v>
      </c>
      <c r="D52" s="949" t="s">
        <v>771</v>
      </c>
      <c r="E52" s="1045" t="s">
        <v>832</v>
      </c>
      <c r="F52" s="950" t="s">
        <v>833</v>
      </c>
      <c r="G52" s="505">
        <f>G53+G54+G55+G56</f>
        <v>34196197</v>
      </c>
      <c r="H52" s="505">
        <f>H53+H54+H55+H56</f>
        <v>25296197</v>
      </c>
      <c r="I52" s="1032">
        <f>J52+M52</f>
        <v>5250000</v>
      </c>
      <c r="J52" s="1032">
        <f>K52+L52</f>
        <v>3341000</v>
      </c>
      <c r="K52" s="1031">
        <v>3309000</v>
      </c>
      <c r="L52" s="1031">
        <v>32000</v>
      </c>
      <c r="M52" s="1032">
        <f>N52+Q52+T52</f>
        <v>1909000</v>
      </c>
      <c r="N52" s="1032">
        <f>O52+P52</f>
        <v>1909000</v>
      </c>
      <c r="O52" s="1031">
        <v>1891000</v>
      </c>
      <c r="P52" s="1031">
        <v>18000</v>
      </c>
      <c r="Q52" s="1032">
        <f>R52+S52</f>
        <v>0</v>
      </c>
      <c r="R52" s="1031">
        <v>0</v>
      </c>
      <c r="S52" s="1031">
        <v>0</v>
      </c>
      <c r="T52" s="1032">
        <f>U52+V52</f>
        <v>0</v>
      </c>
      <c r="U52" s="1031">
        <v>0</v>
      </c>
      <c r="V52" s="1031">
        <v>0</v>
      </c>
    </row>
    <row r="53" spans="1:22" s="506" customFormat="1" ht="15.95" customHeight="1">
      <c r="A53" s="950"/>
      <c r="B53" s="961"/>
      <c r="C53" s="1050"/>
      <c r="D53" s="949"/>
      <c r="E53" s="1045"/>
      <c r="F53" s="950"/>
      <c r="G53" s="505">
        <v>21758913</v>
      </c>
      <c r="H53" s="505">
        <v>16095913</v>
      </c>
      <c r="I53" s="1032"/>
      <c r="J53" s="1032"/>
      <c r="K53" s="1031"/>
      <c r="L53" s="1031"/>
      <c r="M53" s="1032"/>
      <c r="N53" s="1032"/>
      <c r="O53" s="1031"/>
      <c r="P53" s="1031"/>
      <c r="Q53" s="1032"/>
      <c r="R53" s="1031"/>
      <c r="S53" s="1031"/>
      <c r="T53" s="1032"/>
      <c r="U53" s="1031"/>
      <c r="V53" s="1031"/>
    </row>
    <row r="54" spans="1:22" s="506" customFormat="1" ht="15.95" customHeight="1">
      <c r="A54" s="950"/>
      <c r="B54" s="961"/>
      <c r="C54" s="1050"/>
      <c r="D54" s="949"/>
      <c r="E54" s="1045"/>
      <c r="F54" s="950"/>
      <c r="G54" s="505">
        <v>12437284</v>
      </c>
      <c r="H54" s="505">
        <v>9200284</v>
      </c>
      <c r="I54" s="1032"/>
      <c r="J54" s="1032"/>
      <c r="K54" s="1031"/>
      <c r="L54" s="1031"/>
      <c r="M54" s="1032"/>
      <c r="N54" s="1032"/>
      <c r="O54" s="1031"/>
      <c r="P54" s="1031"/>
      <c r="Q54" s="1032"/>
      <c r="R54" s="1031"/>
      <c r="S54" s="1031"/>
      <c r="T54" s="1032"/>
      <c r="U54" s="1031"/>
      <c r="V54" s="1031"/>
    </row>
    <row r="55" spans="1:22" s="506" customFormat="1" ht="15.95" customHeight="1">
      <c r="A55" s="950"/>
      <c r="B55" s="961"/>
      <c r="C55" s="1050"/>
      <c r="D55" s="949"/>
      <c r="E55" s="1045"/>
      <c r="F55" s="950"/>
      <c r="G55" s="505">
        <v>0</v>
      </c>
      <c r="H55" s="505">
        <v>0</v>
      </c>
      <c r="I55" s="1032"/>
      <c r="J55" s="1032"/>
      <c r="K55" s="1031"/>
      <c r="L55" s="1031"/>
      <c r="M55" s="1032"/>
      <c r="N55" s="1032"/>
      <c r="O55" s="1031"/>
      <c r="P55" s="1031"/>
      <c r="Q55" s="1032"/>
      <c r="R55" s="1031"/>
      <c r="S55" s="1031"/>
      <c r="T55" s="1032"/>
      <c r="U55" s="1031"/>
      <c r="V55" s="1031"/>
    </row>
    <row r="56" spans="1:22" s="506" customFormat="1" ht="15.95" customHeight="1">
      <c r="A56" s="950"/>
      <c r="B56" s="962"/>
      <c r="C56" s="1050"/>
      <c r="D56" s="949"/>
      <c r="E56" s="1045"/>
      <c r="F56" s="950"/>
      <c r="G56" s="505">
        <v>0</v>
      </c>
      <c r="H56" s="505">
        <v>0</v>
      </c>
      <c r="I56" s="1032"/>
      <c r="J56" s="1032"/>
      <c r="K56" s="1031"/>
      <c r="L56" s="1031"/>
      <c r="M56" s="1032"/>
      <c r="N56" s="1032"/>
      <c r="O56" s="1031"/>
      <c r="P56" s="1031"/>
      <c r="Q56" s="1032"/>
      <c r="R56" s="1031"/>
      <c r="S56" s="1031"/>
      <c r="T56" s="1032"/>
      <c r="U56" s="1031"/>
      <c r="V56" s="1031"/>
    </row>
    <row r="57" spans="1:22" s="506" customFormat="1" ht="15.95" customHeight="1">
      <c r="A57" s="950">
        <v>9</v>
      </c>
      <c r="B57" s="960" t="s">
        <v>830</v>
      </c>
      <c r="C57" s="1050" t="s">
        <v>834</v>
      </c>
      <c r="D57" s="949" t="s">
        <v>771</v>
      </c>
      <c r="E57" s="1045" t="s">
        <v>832</v>
      </c>
      <c r="F57" s="950" t="s">
        <v>833</v>
      </c>
      <c r="G57" s="505">
        <f>G58+G59+G60+G61</f>
        <v>1013003</v>
      </c>
      <c r="H57" s="505">
        <f>H58+H59+H60+H61</f>
        <v>713003</v>
      </c>
      <c r="I57" s="1032">
        <f>J57+M57</f>
        <v>100000</v>
      </c>
      <c r="J57" s="1032">
        <f>K57+L57</f>
        <v>64000</v>
      </c>
      <c r="K57" s="1031">
        <v>64000</v>
      </c>
      <c r="L57" s="1031">
        <v>0</v>
      </c>
      <c r="M57" s="1032">
        <f>N57+Q57+T57</f>
        <v>36000</v>
      </c>
      <c r="N57" s="1032">
        <f>O57+P57</f>
        <v>36000</v>
      </c>
      <c r="O57" s="1031">
        <v>36000</v>
      </c>
      <c r="P57" s="1031">
        <v>0</v>
      </c>
      <c r="Q57" s="1032">
        <f>R57+S57</f>
        <v>0</v>
      </c>
      <c r="R57" s="1031">
        <v>0</v>
      </c>
      <c r="S57" s="1031">
        <v>0</v>
      </c>
      <c r="T57" s="1032">
        <f>U57+V57</f>
        <v>0</v>
      </c>
      <c r="U57" s="1031">
        <v>0</v>
      </c>
      <c r="V57" s="1031">
        <v>0</v>
      </c>
    </row>
    <row r="58" spans="1:22" s="506" customFormat="1" ht="15.95" customHeight="1">
      <c r="A58" s="950"/>
      <c r="B58" s="961"/>
      <c r="C58" s="1050"/>
      <c r="D58" s="949"/>
      <c r="E58" s="1045"/>
      <c r="F58" s="950"/>
      <c r="G58" s="505">
        <v>646054</v>
      </c>
      <c r="H58" s="505">
        <v>454054</v>
      </c>
      <c r="I58" s="1032"/>
      <c r="J58" s="1032"/>
      <c r="K58" s="1031"/>
      <c r="L58" s="1031"/>
      <c r="M58" s="1032"/>
      <c r="N58" s="1032"/>
      <c r="O58" s="1031"/>
      <c r="P58" s="1031"/>
      <c r="Q58" s="1032"/>
      <c r="R58" s="1031"/>
      <c r="S58" s="1031"/>
      <c r="T58" s="1032"/>
      <c r="U58" s="1031"/>
      <c r="V58" s="1031"/>
    </row>
    <row r="59" spans="1:22" s="506" customFormat="1" ht="15.95" customHeight="1">
      <c r="A59" s="950"/>
      <c r="B59" s="961"/>
      <c r="C59" s="1050"/>
      <c r="D59" s="949"/>
      <c r="E59" s="1045"/>
      <c r="F59" s="950"/>
      <c r="G59" s="505">
        <v>366949</v>
      </c>
      <c r="H59" s="505">
        <v>258949</v>
      </c>
      <c r="I59" s="1032"/>
      <c r="J59" s="1032"/>
      <c r="K59" s="1031"/>
      <c r="L59" s="1031"/>
      <c r="M59" s="1032"/>
      <c r="N59" s="1032"/>
      <c r="O59" s="1031"/>
      <c r="P59" s="1031"/>
      <c r="Q59" s="1032"/>
      <c r="R59" s="1031"/>
      <c r="S59" s="1031"/>
      <c r="T59" s="1032"/>
      <c r="U59" s="1031"/>
      <c r="V59" s="1031"/>
    </row>
    <row r="60" spans="1:22" s="506" customFormat="1" ht="15.95" customHeight="1">
      <c r="A60" s="950"/>
      <c r="B60" s="961"/>
      <c r="C60" s="1050"/>
      <c r="D60" s="949"/>
      <c r="E60" s="1045"/>
      <c r="F60" s="950"/>
      <c r="G60" s="505">
        <v>0</v>
      </c>
      <c r="H60" s="505">
        <v>0</v>
      </c>
      <c r="I60" s="1032"/>
      <c r="J60" s="1032"/>
      <c r="K60" s="1031"/>
      <c r="L60" s="1031"/>
      <c r="M60" s="1032"/>
      <c r="N60" s="1032"/>
      <c r="O60" s="1031"/>
      <c r="P60" s="1031"/>
      <c r="Q60" s="1032"/>
      <c r="R60" s="1031"/>
      <c r="S60" s="1031"/>
      <c r="T60" s="1032"/>
      <c r="U60" s="1031"/>
      <c r="V60" s="1031"/>
    </row>
    <row r="61" spans="1:22" s="506" customFormat="1" ht="15.95" customHeight="1">
      <c r="A61" s="950"/>
      <c r="B61" s="962"/>
      <c r="C61" s="1050"/>
      <c r="D61" s="949"/>
      <c r="E61" s="1045"/>
      <c r="F61" s="950"/>
      <c r="G61" s="505">
        <v>0</v>
      </c>
      <c r="H61" s="505">
        <v>0</v>
      </c>
      <c r="I61" s="1032"/>
      <c r="J61" s="1032"/>
      <c r="K61" s="1031"/>
      <c r="L61" s="1031"/>
      <c r="M61" s="1032"/>
      <c r="N61" s="1032"/>
      <c r="O61" s="1031"/>
      <c r="P61" s="1031"/>
      <c r="Q61" s="1032"/>
      <c r="R61" s="1031"/>
      <c r="S61" s="1031"/>
      <c r="T61" s="1032"/>
      <c r="U61" s="1031"/>
      <c r="V61" s="1031"/>
    </row>
    <row r="62" spans="1:22" s="506" customFormat="1" ht="15.95" customHeight="1">
      <c r="A62" s="950">
        <v>10</v>
      </c>
      <c r="B62" s="960" t="s">
        <v>830</v>
      </c>
      <c r="C62" s="1050" t="s">
        <v>835</v>
      </c>
      <c r="D62" s="949" t="s">
        <v>771</v>
      </c>
      <c r="E62" s="1045" t="s">
        <v>832</v>
      </c>
      <c r="F62" s="950" t="s">
        <v>833</v>
      </c>
      <c r="G62" s="505">
        <f>G63+G64+G65+G66</f>
        <v>9022403</v>
      </c>
      <c r="H62" s="505">
        <f>H63+H64+H65+H66</f>
        <v>6762403</v>
      </c>
      <c r="I62" s="1032">
        <f>J62+M62</f>
        <v>1360000</v>
      </c>
      <c r="J62" s="1032">
        <f>K62+L62</f>
        <v>865000</v>
      </c>
      <c r="K62" s="1031">
        <v>865000</v>
      </c>
      <c r="L62" s="1031">
        <v>0</v>
      </c>
      <c r="M62" s="1032">
        <f>N62+Q62+T62</f>
        <v>495000</v>
      </c>
      <c r="N62" s="1032">
        <f>O62+P62</f>
        <v>495000</v>
      </c>
      <c r="O62" s="1031">
        <v>495000</v>
      </c>
      <c r="P62" s="1031">
        <v>0</v>
      </c>
      <c r="Q62" s="1032">
        <f>R62+S62</f>
        <v>0</v>
      </c>
      <c r="R62" s="1031">
        <v>0</v>
      </c>
      <c r="S62" s="1031">
        <v>0</v>
      </c>
      <c r="T62" s="1032">
        <f>U62+V62</f>
        <v>0</v>
      </c>
      <c r="U62" s="1031">
        <v>0</v>
      </c>
      <c r="V62" s="1031">
        <v>0</v>
      </c>
    </row>
    <row r="63" spans="1:22" s="506" customFormat="1" ht="15.95" customHeight="1">
      <c r="A63" s="950"/>
      <c r="B63" s="961"/>
      <c r="C63" s="1050"/>
      <c r="D63" s="949"/>
      <c r="E63" s="1045"/>
      <c r="F63" s="950"/>
      <c r="G63" s="505">
        <v>5741026</v>
      </c>
      <c r="H63" s="505">
        <v>4303356</v>
      </c>
      <c r="I63" s="1032"/>
      <c r="J63" s="1032"/>
      <c r="K63" s="1031"/>
      <c r="L63" s="1031"/>
      <c r="M63" s="1032"/>
      <c r="N63" s="1032"/>
      <c r="O63" s="1031"/>
      <c r="P63" s="1031"/>
      <c r="Q63" s="1032"/>
      <c r="R63" s="1031"/>
      <c r="S63" s="1031"/>
      <c r="T63" s="1032"/>
      <c r="U63" s="1031"/>
      <c r="V63" s="1031"/>
    </row>
    <row r="64" spans="1:22" s="506" customFormat="1" ht="15.95" customHeight="1">
      <c r="A64" s="950"/>
      <c r="B64" s="961"/>
      <c r="C64" s="1050"/>
      <c r="D64" s="949"/>
      <c r="E64" s="1045"/>
      <c r="F64" s="950"/>
      <c r="G64" s="505">
        <v>3281377</v>
      </c>
      <c r="H64" s="505">
        <v>2459047</v>
      </c>
      <c r="I64" s="1032"/>
      <c r="J64" s="1032"/>
      <c r="K64" s="1031"/>
      <c r="L64" s="1031"/>
      <c r="M64" s="1032"/>
      <c r="N64" s="1032"/>
      <c r="O64" s="1031"/>
      <c r="P64" s="1031"/>
      <c r="Q64" s="1032"/>
      <c r="R64" s="1031"/>
      <c r="S64" s="1031"/>
      <c r="T64" s="1032"/>
      <c r="U64" s="1031"/>
      <c r="V64" s="1031"/>
    </row>
    <row r="65" spans="1:22" s="506" customFormat="1" ht="15.95" customHeight="1">
      <c r="A65" s="950"/>
      <c r="B65" s="961"/>
      <c r="C65" s="1050"/>
      <c r="D65" s="949"/>
      <c r="E65" s="1045"/>
      <c r="F65" s="950"/>
      <c r="G65" s="505">
        <v>0</v>
      </c>
      <c r="H65" s="505">
        <v>0</v>
      </c>
      <c r="I65" s="1032"/>
      <c r="J65" s="1032"/>
      <c r="K65" s="1031"/>
      <c r="L65" s="1031"/>
      <c r="M65" s="1032"/>
      <c r="N65" s="1032"/>
      <c r="O65" s="1031"/>
      <c r="P65" s="1031"/>
      <c r="Q65" s="1032"/>
      <c r="R65" s="1031"/>
      <c r="S65" s="1031"/>
      <c r="T65" s="1032"/>
      <c r="U65" s="1031"/>
      <c r="V65" s="1031"/>
    </row>
    <row r="66" spans="1:22" s="506" customFormat="1" ht="15.95" customHeight="1">
      <c r="A66" s="950"/>
      <c r="B66" s="962"/>
      <c r="C66" s="1050"/>
      <c r="D66" s="949"/>
      <c r="E66" s="1045"/>
      <c r="F66" s="950"/>
      <c r="G66" s="505">
        <v>0</v>
      </c>
      <c r="H66" s="505">
        <v>0</v>
      </c>
      <c r="I66" s="1032"/>
      <c r="J66" s="1032"/>
      <c r="K66" s="1031"/>
      <c r="L66" s="1031"/>
      <c r="M66" s="1032"/>
      <c r="N66" s="1032"/>
      <c r="O66" s="1031"/>
      <c r="P66" s="1031"/>
      <c r="Q66" s="1032"/>
      <c r="R66" s="1031"/>
      <c r="S66" s="1031"/>
      <c r="T66" s="1032"/>
      <c r="U66" s="1031"/>
      <c r="V66" s="1031"/>
    </row>
    <row r="67" spans="1:22" s="506" customFormat="1" ht="15.95" customHeight="1">
      <c r="A67" s="950">
        <v>11</v>
      </c>
      <c r="B67" s="949" t="s">
        <v>836</v>
      </c>
      <c r="C67" s="1046" t="s">
        <v>837</v>
      </c>
      <c r="D67" s="949" t="s">
        <v>771</v>
      </c>
      <c r="E67" s="1045" t="s">
        <v>838</v>
      </c>
      <c r="F67" s="950" t="s">
        <v>603</v>
      </c>
      <c r="G67" s="505">
        <f>G69+G68+G70+G71</f>
        <v>2876020</v>
      </c>
      <c r="H67" s="505">
        <f>H69+H68+H70+H71</f>
        <v>2596020</v>
      </c>
      <c r="I67" s="1032">
        <f>J67+M67</f>
        <v>280000</v>
      </c>
      <c r="J67" s="1032">
        <f>K67+L67</f>
        <v>210000</v>
      </c>
      <c r="K67" s="1031">
        <v>210000</v>
      </c>
      <c r="L67" s="1031">
        <v>0</v>
      </c>
      <c r="M67" s="1032">
        <f>N67+Q67+T67</f>
        <v>70000</v>
      </c>
      <c r="N67" s="1032">
        <f>O67+P67</f>
        <v>70000</v>
      </c>
      <c r="O67" s="1031">
        <v>70000</v>
      </c>
      <c r="P67" s="1031">
        <v>0</v>
      </c>
      <c r="Q67" s="1032">
        <f>R67+S67</f>
        <v>0</v>
      </c>
      <c r="R67" s="1031">
        <v>0</v>
      </c>
      <c r="S67" s="1031">
        <v>0</v>
      </c>
      <c r="T67" s="1032">
        <f>U67+V67</f>
        <v>0</v>
      </c>
      <c r="U67" s="1031">
        <v>0</v>
      </c>
      <c r="V67" s="1031">
        <v>0</v>
      </c>
    </row>
    <row r="68" spans="1:22" s="506" customFormat="1" ht="15.95" customHeight="1">
      <c r="A68" s="950"/>
      <c r="B68" s="949"/>
      <c r="C68" s="1047"/>
      <c r="D68" s="949"/>
      <c r="E68" s="1045"/>
      <c r="F68" s="950"/>
      <c r="G68" s="505">
        <v>2157015</v>
      </c>
      <c r="H68" s="505">
        <v>1947015</v>
      </c>
      <c r="I68" s="1032"/>
      <c r="J68" s="1032"/>
      <c r="K68" s="1031"/>
      <c r="L68" s="1031"/>
      <c r="M68" s="1032"/>
      <c r="N68" s="1032"/>
      <c r="O68" s="1031"/>
      <c r="P68" s="1031"/>
      <c r="Q68" s="1032"/>
      <c r="R68" s="1031"/>
      <c r="S68" s="1031"/>
      <c r="T68" s="1032"/>
      <c r="U68" s="1031"/>
      <c r="V68" s="1031"/>
    </row>
    <row r="69" spans="1:22" s="506" customFormat="1" ht="15.95" customHeight="1">
      <c r="A69" s="950"/>
      <c r="B69" s="949"/>
      <c r="C69" s="1047"/>
      <c r="D69" s="949"/>
      <c r="E69" s="1045"/>
      <c r="F69" s="950"/>
      <c r="G69" s="505">
        <v>719005</v>
      </c>
      <c r="H69" s="505">
        <v>649005</v>
      </c>
      <c r="I69" s="1032"/>
      <c r="J69" s="1032"/>
      <c r="K69" s="1031"/>
      <c r="L69" s="1031"/>
      <c r="M69" s="1032"/>
      <c r="N69" s="1032"/>
      <c r="O69" s="1031"/>
      <c r="P69" s="1031"/>
      <c r="Q69" s="1032"/>
      <c r="R69" s="1031"/>
      <c r="S69" s="1031"/>
      <c r="T69" s="1032"/>
      <c r="U69" s="1031"/>
      <c r="V69" s="1031"/>
    </row>
    <row r="70" spans="1:22" s="506" customFormat="1" ht="15.95" customHeight="1">
      <c r="A70" s="950"/>
      <c r="B70" s="949"/>
      <c r="C70" s="1047"/>
      <c r="D70" s="949"/>
      <c r="E70" s="1045"/>
      <c r="F70" s="950"/>
      <c r="G70" s="505">
        <v>0</v>
      </c>
      <c r="H70" s="505">
        <v>0</v>
      </c>
      <c r="I70" s="1032"/>
      <c r="J70" s="1032"/>
      <c r="K70" s="1031"/>
      <c r="L70" s="1031"/>
      <c r="M70" s="1032"/>
      <c r="N70" s="1032"/>
      <c r="O70" s="1031"/>
      <c r="P70" s="1031"/>
      <c r="Q70" s="1032"/>
      <c r="R70" s="1031"/>
      <c r="S70" s="1031"/>
      <c r="T70" s="1032"/>
      <c r="U70" s="1031"/>
      <c r="V70" s="1031"/>
    </row>
    <row r="71" spans="1:22" s="506" customFormat="1" ht="15.95" customHeight="1">
      <c r="A71" s="950"/>
      <c r="B71" s="949"/>
      <c r="C71" s="1048"/>
      <c r="D71" s="949"/>
      <c r="E71" s="1045"/>
      <c r="F71" s="950"/>
      <c r="G71" s="505">
        <v>0</v>
      </c>
      <c r="H71" s="505">
        <v>0</v>
      </c>
      <c r="I71" s="1032"/>
      <c r="J71" s="1032"/>
      <c r="K71" s="1031"/>
      <c r="L71" s="1031"/>
      <c r="M71" s="1032"/>
      <c r="N71" s="1032"/>
      <c r="O71" s="1031"/>
      <c r="P71" s="1031"/>
      <c r="Q71" s="1032"/>
      <c r="R71" s="1031"/>
      <c r="S71" s="1031"/>
      <c r="T71" s="1032"/>
      <c r="U71" s="1031"/>
      <c r="V71" s="1031"/>
    </row>
    <row r="72" spans="1:22" s="506" customFormat="1" ht="15.95" customHeight="1">
      <c r="A72" s="950">
        <v>12</v>
      </c>
      <c r="B72" s="960" t="s">
        <v>839</v>
      </c>
      <c r="C72" s="1046" t="s">
        <v>840</v>
      </c>
      <c r="D72" s="978" t="s">
        <v>841</v>
      </c>
      <c r="E72" s="1049" t="s">
        <v>693</v>
      </c>
      <c r="F72" s="1010" t="s">
        <v>637</v>
      </c>
      <c r="G72" s="505">
        <f>G73+G74+G75+G76</f>
        <v>600287</v>
      </c>
      <c r="H72" s="505">
        <f>H73+H74+H75+H76</f>
        <v>425605</v>
      </c>
      <c r="I72" s="1032">
        <f>J72+M72</f>
        <v>174682</v>
      </c>
      <c r="J72" s="1032">
        <f>K72+L72</f>
        <v>174682</v>
      </c>
      <c r="K72" s="1031">
        <v>174682</v>
      </c>
      <c r="L72" s="1031">
        <v>0</v>
      </c>
      <c r="M72" s="1032">
        <f>N72+Q72+T72</f>
        <v>0</v>
      </c>
      <c r="N72" s="1032">
        <f>O72+P72</f>
        <v>0</v>
      </c>
      <c r="O72" s="1031">
        <v>0</v>
      </c>
      <c r="P72" s="1031">
        <v>0</v>
      </c>
      <c r="Q72" s="1032">
        <f>R72+S72</f>
        <v>0</v>
      </c>
      <c r="R72" s="1031">
        <v>0</v>
      </c>
      <c r="S72" s="1031">
        <v>0</v>
      </c>
      <c r="T72" s="1032">
        <f>U72+V72</f>
        <v>0</v>
      </c>
      <c r="U72" s="1031">
        <v>0</v>
      </c>
      <c r="V72" s="1031">
        <v>0</v>
      </c>
    </row>
    <row r="73" spans="1:22" s="506" customFormat="1" ht="15.95" customHeight="1">
      <c r="A73" s="950"/>
      <c r="B73" s="961"/>
      <c r="C73" s="1047"/>
      <c r="D73" s="978"/>
      <c r="E73" s="1049"/>
      <c r="F73" s="1010"/>
      <c r="G73" s="505">
        <v>600287</v>
      </c>
      <c r="H73" s="505">
        <v>425605</v>
      </c>
      <c r="I73" s="1032"/>
      <c r="J73" s="1032"/>
      <c r="K73" s="1031"/>
      <c r="L73" s="1031"/>
      <c r="M73" s="1032"/>
      <c r="N73" s="1032"/>
      <c r="O73" s="1031"/>
      <c r="P73" s="1031"/>
      <c r="Q73" s="1032"/>
      <c r="R73" s="1031"/>
      <c r="S73" s="1031"/>
      <c r="T73" s="1032"/>
      <c r="U73" s="1031"/>
      <c r="V73" s="1031"/>
    </row>
    <row r="74" spans="1:22" s="506" customFormat="1" ht="15.95" customHeight="1">
      <c r="A74" s="950"/>
      <c r="B74" s="961"/>
      <c r="C74" s="1047"/>
      <c r="D74" s="978"/>
      <c r="E74" s="1049"/>
      <c r="F74" s="1010"/>
      <c r="G74" s="505">
        <v>0</v>
      </c>
      <c r="H74" s="505">
        <v>0</v>
      </c>
      <c r="I74" s="1032"/>
      <c r="J74" s="1032"/>
      <c r="K74" s="1031"/>
      <c r="L74" s="1031"/>
      <c r="M74" s="1032"/>
      <c r="N74" s="1032"/>
      <c r="O74" s="1031"/>
      <c r="P74" s="1031"/>
      <c r="Q74" s="1032"/>
      <c r="R74" s="1031"/>
      <c r="S74" s="1031"/>
      <c r="T74" s="1032"/>
      <c r="U74" s="1031"/>
      <c r="V74" s="1031"/>
    </row>
    <row r="75" spans="1:22" s="506" customFormat="1" ht="15.95" customHeight="1">
      <c r="A75" s="950"/>
      <c r="B75" s="961"/>
      <c r="C75" s="1047"/>
      <c r="D75" s="978"/>
      <c r="E75" s="1049"/>
      <c r="F75" s="1010"/>
      <c r="G75" s="505">
        <v>0</v>
      </c>
      <c r="H75" s="505">
        <v>0</v>
      </c>
      <c r="I75" s="1032"/>
      <c r="J75" s="1032"/>
      <c r="K75" s="1031"/>
      <c r="L75" s="1031"/>
      <c r="M75" s="1032"/>
      <c r="N75" s="1032"/>
      <c r="O75" s="1031"/>
      <c r="P75" s="1031"/>
      <c r="Q75" s="1032"/>
      <c r="R75" s="1031"/>
      <c r="S75" s="1031"/>
      <c r="T75" s="1032"/>
      <c r="U75" s="1031"/>
      <c r="V75" s="1031"/>
    </row>
    <row r="76" spans="1:22" s="506" customFormat="1" ht="15.95" customHeight="1">
      <c r="A76" s="950"/>
      <c r="B76" s="962"/>
      <c r="C76" s="1048"/>
      <c r="D76" s="978"/>
      <c r="E76" s="1049"/>
      <c r="F76" s="1010"/>
      <c r="G76" s="505">
        <v>0</v>
      </c>
      <c r="H76" s="505">
        <v>0</v>
      </c>
      <c r="I76" s="1032"/>
      <c r="J76" s="1032"/>
      <c r="K76" s="1031"/>
      <c r="L76" s="1031"/>
      <c r="M76" s="1032"/>
      <c r="N76" s="1032"/>
      <c r="O76" s="1031"/>
      <c r="P76" s="1031"/>
      <c r="Q76" s="1032"/>
      <c r="R76" s="1031"/>
      <c r="S76" s="1031"/>
      <c r="T76" s="1032"/>
      <c r="U76" s="1031"/>
      <c r="V76" s="1031"/>
    </row>
    <row r="77" spans="1:22" s="506" customFormat="1" ht="15.95" customHeight="1">
      <c r="A77" s="950">
        <v>13</v>
      </c>
      <c r="B77" s="960" t="s">
        <v>842</v>
      </c>
      <c r="C77" s="1042" t="s">
        <v>843</v>
      </c>
      <c r="D77" s="949" t="s">
        <v>771</v>
      </c>
      <c r="E77" s="1045" t="s">
        <v>844</v>
      </c>
      <c r="F77" s="950" t="s">
        <v>612</v>
      </c>
      <c r="G77" s="505">
        <f>G78+G79+G80+G81</f>
        <v>789965</v>
      </c>
      <c r="H77" s="505">
        <f>H78+H79+H80+H81</f>
        <v>695220</v>
      </c>
      <c r="I77" s="1032">
        <f>J77+M77</f>
        <v>66488</v>
      </c>
      <c r="J77" s="1032">
        <f>K77+L77</f>
        <v>56515</v>
      </c>
      <c r="K77" s="1031">
        <v>56515</v>
      </c>
      <c r="L77" s="1031">
        <v>0</v>
      </c>
      <c r="M77" s="1032">
        <f>N77+Q77+T77</f>
        <v>9973</v>
      </c>
      <c r="N77" s="1032">
        <f>O77+P77</f>
        <v>0</v>
      </c>
      <c r="O77" s="1031">
        <v>0</v>
      </c>
      <c r="P77" s="1031">
        <v>0</v>
      </c>
      <c r="Q77" s="1032">
        <f>R77+S77</f>
        <v>9973</v>
      </c>
      <c r="R77" s="1031">
        <v>9973</v>
      </c>
      <c r="S77" s="1031">
        <v>0</v>
      </c>
      <c r="T77" s="1032">
        <f>U77+V77</f>
        <v>0</v>
      </c>
      <c r="U77" s="1031">
        <v>0</v>
      </c>
      <c r="V77" s="1031">
        <v>0</v>
      </c>
    </row>
    <row r="78" spans="1:22" s="506" customFormat="1" ht="15.95" customHeight="1">
      <c r="A78" s="950"/>
      <c r="B78" s="961"/>
      <c r="C78" s="1043"/>
      <c r="D78" s="949"/>
      <c r="E78" s="1045"/>
      <c r="F78" s="950"/>
      <c r="G78" s="505">
        <v>671357</v>
      </c>
      <c r="H78" s="505">
        <v>590824</v>
      </c>
      <c r="I78" s="1032"/>
      <c r="J78" s="1032"/>
      <c r="K78" s="1031"/>
      <c r="L78" s="1031"/>
      <c r="M78" s="1032"/>
      <c r="N78" s="1032"/>
      <c r="O78" s="1031"/>
      <c r="P78" s="1031"/>
      <c r="Q78" s="1032"/>
      <c r="R78" s="1031"/>
      <c r="S78" s="1031"/>
      <c r="T78" s="1032"/>
      <c r="U78" s="1031"/>
      <c r="V78" s="1031"/>
    </row>
    <row r="79" spans="1:22" s="506" customFormat="1" ht="15.95" customHeight="1">
      <c r="A79" s="950"/>
      <c r="B79" s="961"/>
      <c r="C79" s="1043"/>
      <c r="D79" s="949"/>
      <c r="E79" s="1045"/>
      <c r="F79" s="950"/>
      <c r="G79" s="505">
        <v>0</v>
      </c>
      <c r="H79" s="505">
        <v>0</v>
      </c>
      <c r="I79" s="1032"/>
      <c r="J79" s="1032"/>
      <c r="K79" s="1031"/>
      <c r="L79" s="1031"/>
      <c r="M79" s="1032"/>
      <c r="N79" s="1032"/>
      <c r="O79" s="1031"/>
      <c r="P79" s="1031"/>
      <c r="Q79" s="1032"/>
      <c r="R79" s="1031"/>
      <c r="S79" s="1031"/>
      <c r="T79" s="1032"/>
      <c r="U79" s="1031"/>
      <c r="V79" s="1031"/>
    </row>
    <row r="80" spans="1:22" s="506" customFormat="1" ht="15.95" customHeight="1">
      <c r="A80" s="950"/>
      <c r="B80" s="961"/>
      <c r="C80" s="1043"/>
      <c r="D80" s="949"/>
      <c r="E80" s="1045"/>
      <c r="F80" s="950"/>
      <c r="G80" s="505">
        <v>118608</v>
      </c>
      <c r="H80" s="505">
        <v>104396</v>
      </c>
      <c r="I80" s="1032"/>
      <c r="J80" s="1032"/>
      <c r="K80" s="1031"/>
      <c r="L80" s="1031"/>
      <c r="M80" s="1032"/>
      <c r="N80" s="1032"/>
      <c r="O80" s="1031"/>
      <c r="P80" s="1031"/>
      <c r="Q80" s="1032"/>
      <c r="R80" s="1031"/>
      <c r="S80" s="1031"/>
      <c r="T80" s="1032"/>
      <c r="U80" s="1031"/>
      <c r="V80" s="1031"/>
    </row>
    <row r="81" spans="1:22" s="506" customFormat="1" ht="15.95" customHeight="1">
      <c r="A81" s="950"/>
      <c r="B81" s="962"/>
      <c r="C81" s="1044"/>
      <c r="D81" s="949"/>
      <c r="E81" s="1045"/>
      <c r="F81" s="950"/>
      <c r="G81" s="505">
        <v>0</v>
      </c>
      <c r="H81" s="505">
        <v>0</v>
      </c>
      <c r="I81" s="1032"/>
      <c r="J81" s="1032"/>
      <c r="K81" s="1031"/>
      <c r="L81" s="1031"/>
      <c r="M81" s="1032"/>
      <c r="N81" s="1032"/>
      <c r="O81" s="1031"/>
      <c r="P81" s="1031"/>
      <c r="Q81" s="1032"/>
      <c r="R81" s="1031"/>
      <c r="S81" s="1031"/>
      <c r="T81" s="1032"/>
      <c r="U81" s="1031"/>
      <c r="V81" s="1031"/>
    </row>
    <row r="82" spans="1:22" s="506" customFormat="1" ht="15.95" customHeight="1">
      <c r="A82" s="950">
        <v>14</v>
      </c>
      <c r="B82" s="960" t="s">
        <v>842</v>
      </c>
      <c r="C82" s="1042" t="s">
        <v>845</v>
      </c>
      <c r="D82" s="949" t="s">
        <v>771</v>
      </c>
      <c r="E82" s="1045" t="s">
        <v>846</v>
      </c>
      <c r="F82" s="950" t="s">
        <v>577</v>
      </c>
      <c r="G82" s="505">
        <f>G83+G84+G85+G86</f>
        <v>750698</v>
      </c>
      <c r="H82" s="505">
        <f>H83+H84+H85+H86</f>
        <v>689589</v>
      </c>
      <c r="I82" s="1032">
        <f>J82+M82</f>
        <v>61109</v>
      </c>
      <c r="J82" s="1032">
        <f>K82+L82</f>
        <v>51943</v>
      </c>
      <c r="K82" s="1031">
        <v>51943</v>
      </c>
      <c r="L82" s="1031">
        <v>0</v>
      </c>
      <c r="M82" s="1032">
        <f>N82+Q82+T82</f>
        <v>9166</v>
      </c>
      <c r="N82" s="1032">
        <f>O82+P82</f>
        <v>0</v>
      </c>
      <c r="O82" s="1031">
        <v>0</v>
      </c>
      <c r="P82" s="1031">
        <v>0</v>
      </c>
      <c r="Q82" s="1032">
        <f>R82+S82</f>
        <v>9166</v>
      </c>
      <c r="R82" s="1031">
        <v>9166</v>
      </c>
      <c r="S82" s="1031">
        <v>0</v>
      </c>
      <c r="T82" s="1032">
        <f>U82+V82</f>
        <v>0</v>
      </c>
      <c r="U82" s="1031">
        <v>0</v>
      </c>
      <c r="V82" s="1031">
        <v>0</v>
      </c>
    </row>
    <row r="83" spans="1:22" s="506" customFormat="1" ht="15.95" customHeight="1">
      <c r="A83" s="950"/>
      <c r="B83" s="961"/>
      <c r="C83" s="1043"/>
      <c r="D83" s="949"/>
      <c r="E83" s="1045"/>
      <c r="F83" s="950"/>
      <c r="G83" s="505">
        <v>638093</v>
      </c>
      <c r="H83" s="505">
        <v>586150</v>
      </c>
      <c r="I83" s="1032"/>
      <c r="J83" s="1032"/>
      <c r="K83" s="1031"/>
      <c r="L83" s="1031"/>
      <c r="M83" s="1032"/>
      <c r="N83" s="1032"/>
      <c r="O83" s="1031"/>
      <c r="P83" s="1031"/>
      <c r="Q83" s="1032"/>
      <c r="R83" s="1031"/>
      <c r="S83" s="1031"/>
      <c r="T83" s="1032"/>
      <c r="U83" s="1031"/>
      <c r="V83" s="1031"/>
    </row>
    <row r="84" spans="1:22" s="506" customFormat="1" ht="15.95" customHeight="1">
      <c r="A84" s="950"/>
      <c r="B84" s="961"/>
      <c r="C84" s="1043"/>
      <c r="D84" s="949"/>
      <c r="E84" s="1045"/>
      <c r="F84" s="950"/>
      <c r="G84" s="505">
        <v>0</v>
      </c>
      <c r="H84" s="505">
        <v>0</v>
      </c>
      <c r="I84" s="1032"/>
      <c r="J84" s="1032"/>
      <c r="K84" s="1031"/>
      <c r="L84" s="1031"/>
      <c r="M84" s="1032"/>
      <c r="N84" s="1032"/>
      <c r="O84" s="1031"/>
      <c r="P84" s="1031"/>
      <c r="Q84" s="1032"/>
      <c r="R84" s="1031"/>
      <c r="S84" s="1031"/>
      <c r="T84" s="1032"/>
      <c r="U84" s="1031"/>
      <c r="V84" s="1031"/>
    </row>
    <row r="85" spans="1:22" s="506" customFormat="1" ht="15.95" customHeight="1">
      <c r="A85" s="950"/>
      <c r="B85" s="961"/>
      <c r="C85" s="1043"/>
      <c r="D85" s="949"/>
      <c r="E85" s="1045"/>
      <c r="F85" s="950"/>
      <c r="G85" s="505">
        <v>112605</v>
      </c>
      <c r="H85" s="505">
        <v>103439</v>
      </c>
      <c r="I85" s="1032"/>
      <c r="J85" s="1032"/>
      <c r="K85" s="1031"/>
      <c r="L85" s="1031"/>
      <c r="M85" s="1032"/>
      <c r="N85" s="1032"/>
      <c r="O85" s="1031"/>
      <c r="P85" s="1031"/>
      <c r="Q85" s="1032"/>
      <c r="R85" s="1031"/>
      <c r="S85" s="1031"/>
      <c r="T85" s="1032"/>
      <c r="U85" s="1031"/>
      <c r="V85" s="1031"/>
    </row>
    <row r="86" spans="1:22" s="506" customFormat="1" ht="15.95" customHeight="1">
      <c r="A86" s="950"/>
      <c r="B86" s="962"/>
      <c r="C86" s="1044"/>
      <c r="D86" s="949"/>
      <c r="E86" s="1045"/>
      <c r="F86" s="950"/>
      <c r="G86" s="505">
        <v>0</v>
      </c>
      <c r="H86" s="505">
        <v>0</v>
      </c>
      <c r="I86" s="1032"/>
      <c r="J86" s="1032"/>
      <c r="K86" s="1031"/>
      <c r="L86" s="1031"/>
      <c r="M86" s="1032"/>
      <c r="N86" s="1032"/>
      <c r="O86" s="1031"/>
      <c r="P86" s="1031"/>
      <c r="Q86" s="1032"/>
      <c r="R86" s="1031"/>
      <c r="S86" s="1031"/>
      <c r="T86" s="1032"/>
      <c r="U86" s="1031"/>
      <c r="V86" s="1031"/>
    </row>
    <row r="87" spans="1:22" s="506" customFormat="1" ht="15.95" customHeight="1">
      <c r="A87" s="950">
        <v>15</v>
      </c>
      <c r="B87" s="960" t="s">
        <v>842</v>
      </c>
      <c r="C87" s="1042" t="s">
        <v>847</v>
      </c>
      <c r="D87" s="949" t="s">
        <v>771</v>
      </c>
      <c r="E87" s="1045" t="s">
        <v>846</v>
      </c>
      <c r="F87" s="950" t="s">
        <v>577</v>
      </c>
      <c r="G87" s="505">
        <f>G88+G89+G90+G91</f>
        <v>634730</v>
      </c>
      <c r="H87" s="505">
        <f>H88+H89+H90+H91</f>
        <v>582155</v>
      </c>
      <c r="I87" s="1032">
        <f>J87+M87</f>
        <v>52575</v>
      </c>
      <c r="J87" s="1032">
        <f>K87+L87</f>
        <v>44689</v>
      </c>
      <c r="K87" s="1031">
        <v>44689</v>
      </c>
      <c r="L87" s="1031">
        <v>0</v>
      </c>
      <c r="M87" s="1032">
        <f>N87+Q87+T87</f>
        <v>7886</v>
      </c>
      <c r="N87" s="1032">
        <f>O87+P87</f>
        <v>0</v>
      </c>
      <c r="O87" s="1031">
        <v>0</v>
      </c>
      <c r="P87" s="1031">
        <v>0</v>
      </c>
      <c r="Q87" s="1032">
        <f>R87+S87</f>
        <v>7886</v>
      </c>
      <c r="R87" s="1031">
        <v>7886</v>
      </c>
      <c r="S87" s="1031">
        <v>0</v>
      </c>
      <c r="T87" s="1032">
        <f>U87+V87</f>
        <v>0</v>
      </c>
      <c r="U87" s="1031">
        <v>0</v>
      </c>
      <c r="V87" s="1031">
        <v>0</v>
      </c>
    </row>
    <row r="88" spans="1:22" s="506" customFormat="1" ht="15.95" customHeight="1">
      <c r="A88" s="950"/>
      <c r="B88" s="961"/>
      <c r="C88" s="1043"/>
      <c r="D88" s="949"/>
      <c r="E88" s="1045"/>
      <c r="F88" s="950"/>
      <c r="G88" s="505">
        <v>539520</v>
      </c>
      <c r="H88" s="505">
        <v>494831</v>
      </c>
      <c r="I88" s="1032"/>
      <c r="J88" s="1032"/>
      <c r="K88" s="1031"/>
      <c r="L88" s="1031"/>
      <c r="M88" s="1032"/>
      <c r="N88" s="1032"/>
      <c r="O88" s="1031"/>
      <c r="P88" s="1031"/>
      <c r="Q88" s="1032"/>
      <c r="R88" s="1031"/>
      <c r="S88" s="1031"/>
      <c r="T88" s="1032"/>
      <c r="U88" s="1031"/>
      <c r="V88" s="1031"/>
    </row>
    <row r="89" spans="1:22" s="506" customFormat="1" ht="15.95" customHeight="1">
      <c r="A89" s="950"/>
      <c r="B89" s="961"/>
      <c r="C89" s="1043"/>
      <c r="D89" s="949"/>
      <c r="E89" s="1045"/>
      <c r="F89" s="950"/>
      <c r="G89" s="505">
        <v>0</v>
      </c>
      <c r="H89" s="505">
        <v>0</v>
      </c>
      <c r="I89" s="1032"/>
      <c r="J89" s="1032"/>
      <c r="K89" s="1031"/>
      <c r="L89" s="1031"/>
      <c r="M89" s="1032"/>
      <c r="N89" s="1032"/>
      <c r="O89" s="1031"/>
      <c r="P89" s="1031"/>
      <c r="Q89" s="1032"/>
      <c r="R89" s="1031"/>
      <c r="S89" s="1031"/>
      <c r="T89" s="1032"/>
      <c r="U89" s="1031"/>
      <c r="V89" s="1031"/>
    </row>
    <row r="90" spans="1:22" s="506" customFormat="1" ht="15.95" customHeight="1">
      <c r="A90" s="950"/>
      <c r="B90" s="961"/>
      <c r="C90" s="1043"/>
      <c r="D90" s="949"/>
      <c r="E90" s="1045"/>
      <c r="F90" s="950"/>
      <c r="G90" s="505">
        <v>95210</v>
      </c>
      <c r="H90" s="505">
        <v>87324</v>
      </c>
      <c r="I90" s="1032"/>
      <c r="J90" s="1032"/>
      <c r="K90" s="1031"/>
      <c r="L90" s="1031"/>
      <c r="M90" s="1032"/>
      <c r="N90" s="1032"/>
      <c r="O90" s="1031"/>
      <c r="P90" s="1031"/>
      <c r="Q90" s="1032"/>
      <c r="R90" s="1031"/>
      <c r="S90" s="1031"/>
      <c r="T90" s="1032"/>
      <c r="U90" s="1031"/>
      <c r="V90" s="1031"/>
    </row>
    <row r="91" spans="1:22" s="506" customFormat="1" ht="15.95" customHeight="1">
      <c r="A91" s="950"/>
      <c r="B91" s="962"/>
      <c r="C91" s="1044"/>
      <c r="D91" s="949"/>
      <c r="E91" s="1045"/>
      <c r="F91" s="950"/>
      <c r="G91" s="505">
        <v>0</v>
      </c>
      <c r="H91" s="505">
        <v>0</v>
      </c>
      <c r="I91" s="1032"/>
      <c r="J91" s="1032"/>
      <c r="K91" s="1031"/>
      <c r="L91" s="1031"/>
      <c r="M91" s="1032"/>
      <c r="N91" s="1032"/>
      <c r="O91" s="1031"/>
      <c r="P91" s="1031"/>
      <c r="Q91" s="1032"/>
      <c r="R91" s="1031"/>
      <c r="S91" s="1031"/>
      <c r="T91" s="1032"/>
      <c r="U91" s="1031"/>
      <c r="V91" s="1031"/>
    </row>
    <row r="92" spans="1:22" s="506" customFormat="1" ht="15.95" customHeight="1">
      <c r="A92" s="950">
        <v>16</v>
      </c>
      <c r="B92" s="960" t="s">
        <v>842</v>
      </c>
      <c r="C92" s="1042" t="s">
        <v>848</v>
      </c>
      <c r="D92" s="949" t="s">
        <v>771</v>
      </c>
      <c r="E92" s="1045" t="s">
        <v>846</v>
      </c>
      <c r="F92" s="950" t="s">
        <v>577</v>
      </c>
      <c r="G92" s="505">
        <f>G93+G94+G95+G96</f>
        <v>1022681</v>
      </c>
      <c r="H92" s="505">
        <f>H93+H94+H95+H96</f>
        <v>817161</v>
      </c>
      <c r="I92" s="1032">
        <f>J92+M92</f>
        <v>205520</v>
      </c>
      <c r="J92" s="1032">
        <f>K92+L92</f>
        <v>174692</v>
      </c>
      <c r="K92" s="1031">
        <v>174692</v>
      </c>
      <c r="L92" s="1031">
        <v>0</v>
      </c>
      <c r="M92" s="1032">
        <f>N92+Q92+T92</f>
        <v>30828</v>
      </c>
      <c r="N92" s="1032">
        <f>O92+P92</f>
        <v>0</v>
      </c>
      <c r="O92" s="1031">
        <v>0</v>
      </c>
      <c r="P92" s="1031">
        <v>0</v>
      </c>
      <c r="Q92" s="1032">
        <f>R92+S92</f>
        <v>30828</v>
      </c>
      <c r="R92" s="1031">
        <v>30828</v>
      </c>
      <c r="S92" s="1031">
        <v>0</v>
      </c>
      <c r="T92" s="1032">
        <f>U92+V92</f>
        <v>0</v>
      </c>
      <c r="U92" s="1031">
        <v>0</v>
      </c>
      <c r="V92" s="1031">
        <v>0</v>
      </c>
    </row>
    <row r="93" spans="1:22" s="506" customFormat="1" ht="15.95" customHeight="1">
      <c r="A93" s="950"/>
      <c r="B93" s="961"/>
      <c r="C93" s="1043"/>
      <c r="D93" s="949"/>
      <c r="E93" s="1045"/>
      <c r="F93" s="950"/>
      <c r="G93" s="505">
        <v>869275</v>
      </c>
      <c r="H93" s="505">
        <v>694583</v>
      </c>
      <c r="I93" s="1032"/>
      <c r="J93" s="1032"/>
      <c r="K93" s="1031"/>
      <c r="L93" s="1031"/>
      <c r="M93" s="1032"/>
      <c r="N93" s="1032"/>
      <c r="O93" s="1031"/>
      <c r="P93" s="1031"/>
      <c r="Q93" s="1032"/>
      <c r="R93" s="1031"/>
      <c r="S93" s="1031"/>
      <c r="T93" s="1032"/>
      <c r="U93" s="1031"/>
      <c r="V93" s="1031"/>
    </row>
    <row r="94" spans="1:22" s="506" customFormat="1" ht="15.95" customHeight="1">
      <c r="A94" s="950"/>
      <c r="B94" s="961"/>
      <c r="C94" s="1043"/>
      <c r="D94" s="949"/>
      <c r="E94" s="1045"/>
      <c r="F94" s="950"/>
      <c r="G94" s="505">
        <v>0</v>
      </c>
      <c r="H94" s="505">
        <v>0</v>
      </c>
      <c r="I94" s="1032"/>
      <c r="J94" s="1032"/>
      <c r="K94" s="1031"/>
      <c r="L94" s="1031"/>
      <c r="M94" s="1032"/>
      <c r="N94" s="1032"/>
      <c r="O94" s="1031"/>
      <c r="P94" s="1031"/>
      <c r="Q94" s="1032"/>
      <c r="R94" s="1031"/>
      <c r="S94" s="1031"/>
      <c r="T94" s="1032"/>
      <c r="U94" s="1031"/>
      <c r="V94" s="1031"/>
    </row>
    <row r="95" spans="1:22" s="506" customFormat="1" ht="15.95" customHeight="1">
      <c r="A95" s="950"/>
      <c r="B95" s="961"/>
      <c r="C95" s="1043"/>
      <c r="D95" s="949"/>
      <c r="E95" s="1045"/>
      <c r="F95" s="950"/>
      <c r="G95" s="505">
        <v>153406</v>
      </c>
      <c r="H95" s="505">
        <v>122578</v>
      </c>
      <c r="I95" s="1032"/>
      <c r="J95" s="1032"/>
      <c r="K95" s="1031"/>
      <c r="L95" s="1031"/>
      <c r="M95" s="1032"/>
      <c r="N95" s="1032"/>
      <c r="O95" s="1031"/>
      <c r="P95" s="1031"/>
      <c r="Q95" s="1032"/>
      <c r="R95" s="1031"/>
      <c r="S95" s="1031"/>
      <c r="T95" s="1032"/>
      <c r="U95" s="1031"/>
      <c r="V95" s="1031"/>
    </row>
    <row r="96" spans="1:22" s="506" customFormat="1" ht="15.95" customHeight="1">
      <c r="A96" s="950"/>
      <c r="B96" s="962"/>
      <c r="C96" s="1044"/>
      <c r="D96" s="949"/>
      <c r="E96" s="1045"/>
      <c r="F96" s="950"/>
      <c r="G96" s="505">
        <v>0</v>
      </c>
      <c r="H96" s="505">
        <v>0</v>
      </c>
      <c r="I96" s="1032"/>
      <c r="J96" s="1032"/>
      <c r="K96" s="1031"/>
      <c r="L96" s="1031"/>
      <c r="M96" s="1032"/>
      <c r="N96" s="1032"/>
      <c r="O96" s="1031"/>
      <c r="P96" s="1031"/>
      <c r="Q96" s="1032"/>
      <c r="R96" s="1031"/>
      <c r="S96" s="1031"/>
      <c r="T96" s="1032"/>
      <c r="U96" s="1031"/>
      <c r="V96" s="1031"/>
    </row>
    <row r="97" spans="1:22" s="508" customFormat="1">
      <c r="A97" s="1033" t="s">
        <v>550</v>
      </c>
      <c r="B97" s="1034"/>
      <c r="C97" s="1034"/>
      <c r="D97" s="1034"/>
      <c r="E97" s="1034"/>
      <c r="F97" s="1035"/>
      <c r="G97" s="507">
        <f>G17+G22+G27+G32+G37+G42+G47+G52+G57+G62+G67+G72+G77+G82+G87+G92</f>
        <v>159861746</v>
      </c>
      <c r="H97" s="507">
        <f>H17+H22+H27+H32+H37+H42+H47+H52+H57+H62+H67+H72+H77+H82+H87+H92</f>
        <v>131228711</v>
      </c>
      <c r="I97" s="1030">
        <f t="shared" ref="I97:V97" si="0">SUM(I17:I96)</f>
        <v>23854778</v>
      </c>
      <c r="J97" s="1030">
        <f t="shared" si="0"/>
        <v>14085375</v>
      </c>
      <c r="K97" s="1030">
        <f t="shared" si="0"/>
        <v>14053375</v>
      </c>
      <c r="L97" s="1030">
        <f t="shared" si="0"/>
        <v>32000</v>
      </c>
      <c r="M97" s="1030">
        <f t="shared" si="0"/>
        <v>9769403</v>
      </c>
      <c r="N97" s="1030">
        <f t="shared" si="0"/>
        <v>7757175</v>
      </c>
      <c r="O97" s="1030">
        <f t="shared" si="0"/>
        <v>7739175</v>
      </c>
      <c r="P97" s="1030">
        <f t="shared" si="0"/>
        <v>18000</v>
      </c>
      <c r="Q97" s="1030">
        <f t="shared" si="0"/>
        <v>2012228</v>
      </c>
      <c r="R97" s="1030">
        <f t="shared" si="0"/>
        <v>792005</v>
      </c>
      <c r="S97" s="1030">
        <f t="shared" si="0"/>
        <v>1220223</v>
      </c>
      <c r="T97" s="1030">
        <f t="shared" si="0"/>
        <v>0</v>
      </c>
      <c r="U97" s="1030">
        <f t="shared" si="0"/>
        <v>0</v>
      </c>
      <c r="V97" s="1030">
        <f t="shared" si="0"/>
        <v>0</v>
      </c>
    </row>
    <row r="98" spans="1:22" s="508" customFormat="1">
      <c r="A98" s="1036"/>
      <c r="B98" s="1037"/>
      <c r="C98" s="1037"/>
      <c r="D98" s="1037"/>
      <c r="E98" s="1037"/>
      <c r="F98" s="1038"/>
      <c r="G98" s="507">
        <f t="shared" ref="G98:H101" si="1">G18+G23+G28+G33+G38+G43+G48+G53+G58+G63+G68+G73+G78+G83+G88+G93</f>
        <v>103304113</v>
      </c>
      <c r="H98" s="507">
        <f t="shared" si="1"/>
        <v>86172050</v>
      </c>
      <c r="I98" s="1030"/>
      <c r="J98" s="1030"/>
      <c r="K98" s="1030"/>
      <c r="L98" s="1030"/>
      <c r="M98" s="1030"/>
      <c r="N98" s="1030"/>
      <c r="O98" s="1030"/>
      <c r="P98" s="1030"/>
      <c r="Q98" s="1030"/>
      <c r="R98" s="1030"/>
      <c r="S98" s="1030"/>
      <c r="T98" s="1030"/>
      <c r="U98" s="1030"/>
      <c r="V98" s="1030"/>
    </row>
    <row r="99" spans="1:22" s="508" customFormat="1">
      <c r="A99" s="1036"/>
      <c r="B99" s="1037"/>
      <c r="C99" s="1037"/>
      <c r="D99" s="1037"/>
      <c r="E99" s="1037"/>
      <c r="F99" s="1038"/>
      <c r="G99" s="507">
        <f t="shared" si="1"/>
        <v>36078720</v>
      </c>
      <c r="H99" s="507">
        <f t="shared" si="1"/>
        <v>26594215</v>
      </c>
      <c r="I99" s="1030"/>
      <c r="J99" s="1030"/>
      <c r="K99" s="1030"/>
      <c r="L99" s="1030"/>
      <c r="M99" s="1030"/>
      <c r="N99" s="1030"/>
      <c r="O99" s="1030"/>
      <c r="P99" s="1030"/>
      <c r="Q99" s="1030"/>
      <c r="R99" s="1030"/>
      <c r="S99" s="1030"/>
      <c r="T99" s="1030"/>
      <c r="U99" s="1030"/>
      <c r="V99" s="1030"/>
    </row>
    <row r="100" spans="1:22" s="508" customFormat="1">
      <c r="A100" s="1036"/>
      <c r="B100" s="1037"/>
      <c r="C100" s="1037"/>
      <c r="D100" s="1037"/>
      <c r="E100" s="1037"/>
      <c r="F100" s="1038"/>
      <c r="G100" s="507">
        <f t="shared" si="1"/>
        <v>20478913</v>
      </c>
      <c r="H100" s="507">
        <f t="shared" si="1"/>
        <v>18462446</v>
      </c>
      <c r="I100" s="1030"/>
      <c r="J100" s="1030"/>
      <c r="K100" s="1030"/>
      <c r="L100" s="1030"/>
      <c r="M100" s="1030"/>
      <c r="N100" s="1030"/>
      <c r="O100" s="1030"/>
      <c r="P100" s="1030"/>
      <c r="Q100" s="1030"/>
      <c r="R100" s="1030"/>
      <c r="S100" s="1030"/>
      <c r="T100" s="1030"/>
      <c r="U100" s="1030"/>
      <c r="V100" s="1030"/>
    </row>
    <row r="101" spans="1:22" s="508" customFormat="1">
      <c r="A101" s="1039"/>
      <c r="B101" s="1040"/>
      <c r="C101" s="1040"/>
      <c r="D101" s="1040"/>
      <c r="E101" s="1040"/>
      <c r="F101" s="1041"/>
      <c r="G101" s="507">
        <f t="shared" si="1"/>
        <v>0</v>
      </c>
      <c r="H101" s="507">
        <f t="shared" si="1"/>
        <v>0</v>
      </c>
      <c r="I101" s="1030"/>
      <c r="J101" s="1030"/>
      <c r="K101" s="1030"/>
      <c r="L101" s="1030"/>
      <c r="M101" s="1030"/>
      <c r="N101" s="1030"/>
      <c r="O101" s="1030"/>
      <c r="P101" s="1030"/>
      <c r="Q101" s="1030"/>
      <c r="R101" s="1030"/>
      <c r="S101" s="1030"/>
      <c r="T101" s="1030"/>
      <c r="U101" s="1030"/>
      <c r="V101" s="1030"/>
    </row>
  </sheetData>
  <sheetProtection algorithmName="SHA-512" hashValue="C+bIyM/4xqE3TAULDZNs3lud0QzhbKSOgGI6GHDzOPRJJbMjAaMqQCF86NXG4b75oUI56bEDcFxEAk9XluX1eQ==" saltValue="mH0PHEx1FucLVylKs9GE4Q==" spinCount="100000" sheet="1" objects="1" scenarios="1"/>
  <mergeCells count="367">
    <mergeCell ref="A5:V5"/>
    <mergeCell ref="A7:A12"/>
    <mergeCell ref="B7:B12"/>
    <mergeCell ref="C7:C12"/>
    <mergeCell ref="D7:D12"/>
    <mergeCell ref="E7:E12"/>
    <mergeCell ref="F7:F12"/>
    <mergeCell ref="G7:G8"/>
    <mergeCell ref="H7:H8"/>
    <mergeCell ref="I7:V8"/>
    <mergeCell ref="T11:T12"/>
    <mergeCell ref="U11:U12"/>
    <mergeCell ref="V11:V12"/>
    <mergeCell ref="A14:V14"/>
    <mergeCell ref="A15:V15"/>
    <mergeCell ref="A16:V16"/>
    <mergeCell ref="N11:N12"/>
    <mergeCell ref="O11:O12"/>
    <mergeCell ref="P11:P12"/>
    <mergeCell ref="Q11:Q12"/>
    <mergeCell ref="R11:R12"/>
    <mergeCell ref="S11:S12"/>
    <mergeCell ref="I9:I12"/>
    <mergeCell ref="J9:L10"/>
    <mergeCell ref="M9:M12"/>
    <mergeCell ref="N9:V9"/>
    <mergeCell ref="N10:P10"/>
    <mergeCell ref="Q10:S10"/>
    <mergeCell ref="T10:V10"/>
    <mergeCell ref="J11:J12"/>
    <mergeCell ref="K11:K12"/>
    <mergeCell ref="L11:L12"/>
    <mergeCell ref="A22:A26"/>
    <mergeCell ref="B22:B26"/>
    <mergeCell ref="C22:C26"/>
    <mergeCell ref="D22:D26"/>
    <mergeCell ref="E22:E26"/>
    <mergeCell ref="F22:F26"/>
    <mergeCell ref="I22:I26"/>
    <mergeCell ref="J22:J26"/>
    <mergeCell ref="O17:O21"/>
    <mergeCell ref="I17:I21"/>
    <mergeCell ref="J17:J21"/>
    <mergeCell ref="K17:K21"/>
    <mergeCell ref="L17:L21"/>
    <mergeCell ref="M17:M21"/>
    <mergeCell ref="N17:N21"/>
    <mergeCell ref="A17:A21"/>
    <mergeCell ref="B17:B21"/>
    <mergeCell ref="C17:C21"/>
    <mergeCell ref="D17:D21"/>
    <mergeCell ref="E17:E21"/>
    <mergeCell ref="F17:F21"/>
    <mergeCell ref="V22:V26"/>
    <mergeCell ref="K22:K26"/>
    <mergeCell ref="L22:L26"/>
    <mergeCell ref="M22:M26"/>
    <mergeCell ref="N22:N26"/>
    <mergeCell ref="O22:O26"/>
    <mergeCell ref="P22:P26"/>
    <mergeCell ref="U17:U21"/>
    <mergeCell ref="V17:V21"/>
    <mergeCell ref="P17:P21"/>
    <mergeCell ref="Q17:Q21"/>
    <mergeCell ref="R17:R21"/>
    <mergeCell ref="S17:S21"/>
    <mergeCell ref="T17:T21"/>
    <mergeCell ref="C27:C31"/>
    <mergeCell ref="D27:D31"/>
    <mergeCell ref="E27:E31"/>
    <mergeCell ref="F27:F31"/>
    <mergeCell ref="Q22:Q26"/>
    <mergeCell ref="R22:R26"/>
    <mergeCell ref="S22:S26"/>
    <mergeCell ref="T22:T26"/>
    <mergeCell ref="U22:U26"/>
    <mergeCell ref="U27:U31"/>
    <mergeCell ref="V27:V31"/>
    <mergeCell ref="A32:A36"/>
    <mergeCell ref="B32:B36"/>
    <mergeCell ref="C32:C36"/>
    <mergeCell ref="D32:D36"/>
    <mergeCell ref="E32:E36"/>
    <mergeCell ref="F32:F36"/>
    <mergeCell ref="I32:I36"/>
    <mergeCell ref="J32:J36"/>
    <mergeCell ref="O27:O31"/>
    <mergeCell ref="P27:P31"/>
    <mergeCell ref="Q27:Q31"/>
    <mergeCell ref="R27:R31"/>
    <mergeCell ref="S27:S31"/>
    <mergeCell ref="T27:T31"/>
    <mergeCell ref="I27:I31"/>
    <mergeCell ref="J27:J31"/>
    <mergeCell ref="K27:K31"/>
    <mergeCell ref="L27:L31"/>
    <mergeCell ref="M27:M31"/>
    <mergeCell ref="N27:N31"/>
    <mergeCell ref="A27:A31"/>
    <mergeCell ref="B27:B31"/>
    <mergeCell ref="Q32:Q36"/>
    <mergeCell ref="R32:R36"/>
    <mergeCell ref="S32:S36"/>
    <mergeCell ref="T32:T36"/>
    <mergeCell ref="U32:U36"/>
    <mergeCell ref="V32:V36"/>
    <mergeCell ref="K32:K36"/>
    <mergeCell ref="L32:L36"/>
    <mergeCell ref="M32:M36"/>
    <mergeCell ref="N32:N36"/>
    <mergeCell ref="O32:O36"/>
    <mergeCell ref="P32:P36"/>
    <mergeCell ref="A42:A46"/>
    <mergeCell ref="B42:B46"/>
    <mergeCell ref="C42:C46"/>
    <mergeCell ref="D42:D46"/>
    <mergeCell ref="E42:E46"/>
    <mergeCell ref="F42:F46"/>
    <mergeCell ref="I42:I46"/>
    <mergeCell ref="J42:J46"/>
    <mergeCell ref="O37:O41"/>
    <mergeCell ref="I37:I41"/>
    <mergeCell ref="J37:J41"/>
    <mergeCell ref="K37:K41"/>
    <mergeCell ref="L37:L41"/>
    <mergeCell ref="M37:M41"/>
    <mergeCell ref="N37:N41"/>
    <mergeCell ref="A37:A41"/>
    <mergeCell ref="B37:B41"/>
    <mergeCell ref="C37:C41"/>
    <mergeCell ref="D37:D41"/>
    <mergeCell ref="E37:E41"/>
    <mergeCell ref="F37:F41"/>
    <mergeCell ref="V42:V46"/>
    <mergeCell ref="K42:K46"/>
    <mergeCell ref="L42:L46"/>
    <mergeCell ref="M42:M46"/>
    <mergeCell ref="N42:N46"/>
    <mergeCell ref="O42:O46"/>
    <mergeCell ref="P42:P46"/>
    <mergeCell ref="U37:U41"/>
    <mergeCell ref="V37:V41"/>
    <mergeCell ref="P37:P41"/>
    <mergeCell ref="Q37:Q41"/>
    <mergeCell ref="R37:R41"/>
    <mergeCell ref="S37:S41"/>
    <mergeCell ref="T37:T41"/>
    <mergeCell ref="C47:C51"/>
    <mergeCell ref="D47:D51"/>
    <mergeCell ref="E47:E51"/>
    <mergeCell ref="F47:F51"/>
    <mergeCell ref="Q42:Q46"/>
    <mergeCell ref="R42:R46"/>
    <mergeCell ref="S42:S46"/>
    <mergeCell ref="T42:T46"/>
    <mergeCell ref="U42:U46"/>
    <mergeCell ref="U47:U51"/>
    <mergeCell ref="V47:V51"/>
    <mergeCell ref="A52:A56"/>
    <mergeCell ref="B52:B56"/>
    <mergeCell ref="C52:C56"/>
    <mergeCell ref="D52:D56"/>
    <mergeCell ref="E52:E56"/>
    <mergeCell ref="F52:F56"/>
    <mergeCell ref="I52:I56"/>
    <mergeCell ref="J52:J56"/>
    <mergeCell ref="O47:O51"/>
    <mergeCell ref="P47:P51"/>
    <mergeCell ref="Q47:Q51"/>
    <mergeCell ref="R47:R51"/>
    <mergeCell ref="S47:S51"/>
    <mergeCell ref="T47:T51"/>
    <mergeCell ref="I47:I51"/>
    <mergeCell ref="J47:J51"/>
    <mergeCell ref="K47:K51"/>
    <mergeCell ref="L47:L51"/>
    <mergeCell ref="M47:M51"/>
    <mergeCell ref="N47:N51"/>
    <mergeCell ref="A47:A51"/>
    <mergeCell ref="B47:B51"/>
    <mergeCell ref="Q52:Q56"/>
    <mergeCell ref="R52:R56"/>
    <mergeCell ref="S52:S56"/>
    <mergeCell ref="T52:T56"/>
    <mergeCell ref="U52:U56"/>
    <mergeCell ref="V52:V56"/>
    <mergeCell ref="K52:K56"/>
    <mergeCell ref="L52:L56"/>
    <mergeCell ref="M52:M56"/>
    <mergeCell ref="N52:N56"/>
    <mergeCell ref="O52:O56"/>
    <mergeCell ref="P52:P56"/>
    <mergeCell ref="A62:A66"/>
    <mergeCell ref="B62:B66"/>
    <mergeCell ref="C62:C66"/>
    <mergeCell ref="D62:D66"/>
    <mergeCell ref="E62:E66"/>
    <mergeCell ref="F62:F66"/>
    <mergeCell ref="I62:I66"/>
    <mergeCell ref="J62:J66"/>
    <mergeCell ref="O57:O61"/>
    <mergeCell ref="I57:I61"/>
    <mergeCell ref="J57:J61"/>
    <mergeCell ref="K57:K61"/>
    <mergeCell ref="L57:L61"/>
    <mergeCell ref="M57:M61"/>
    <mergeCell ref="N57:N61"/>
    <mergeCell ref="A57:A61"/>
    <mergeCell ref="B57:B61"/>
    <mergeCell ref="C57:C61"/>
    <mergeCell ref="D57:D61"/>
    <mergeCell ref="E57:E61"/>
    <mergeCell ref="F57:F61"/>
    <mergeCell ref="V62:V66"/>
    <mergeCell ref="K62:K66"/>
    <mergeCell ref="L62:L66"/>
    <mergeCell ref="M62:M66"/>
    <mergeCell ref="N62:N66"/>
    <mergeCell ref="O62:O66"/>
    <mergeCell ref="P62:P66"/>
    <mergeCell ref="U57:U61"/>
    <mergeCell ref="V57:V61"/>
    <mergeCell ref="P57:P61"/>
    <mergeCell ref="Q57:Q61"/>
    <mergeCell ref="R57:R61"/>
    <mergeCell ref="S57:S61"/>
    <mergeCell ref="T57:T61"/>
    <mergeCell ref="C67:C71"/>
    <mergeCell ref="D67:D71"/>
    <mergeCell ref="E67:E71"/>
    <mergeCell ref="F67:F71"/>
    <mergeCell ref="Q62:Q66"/>
    <mergeCell ref="R62:R66"/>
    <mergeCell ref="S62:S66"/>
    <mergeCell ref="T62:T66"/>
    <mergeCell ref="U62:U66"/>
    <mergeCell ref="U67:U71"/>
    <mergeCell ref="V67:V71"/>
    <mergeCell ref="A72:A76"/>
    <mergeCell ref="B72:B76"/>
    <mergeCell ref="C72:C76"/>
    <mergeCell ref="D72:D76"/>
    <mergeCell ref="E72:E76"/>
    <mergeCell ref="F72:F76"/>
    <mergeCell ref="I72:I76"/>
    <mergeCell ref="J72:J76"/>
    <mergeCell ref="O67:O71"/>
    <mergeCell ref="P67:P71"/>
    <mergeCell ref="Q67:Q71"/>
    <mergeCell ref="R67:R71"/>
    <mergeCell ref="S67:S71"/>
    <mergeCell ref="T67:T71"/>
    <mergeCell ref="I67:I71"/>
    <mergeCell ref="J67:J71"/>
    <mergeCell ref="K67:K71"/>
    <mergeCell ref="L67:L71"/>
    <mergeCell ref="M67:M71"/>
    <mergeCell ref="N67:N71"/>
    <mergeCell ref="A67:A71"/>
    <mergeCell ref="B67:B71"/>
    <mergeCell ref="Q72:Q76"/>
    <mergeCell ref="R72:R76"/>
    <mergeCell ref="S72:S76"/>
    <mergeCell ref="T72:T76"/>
    <mergeCell ref="U72:U76"/>
    <mergeCell ref="V72:V76"/>
    <mergeCell ref="K72:K76"/>
    <mergeCell ref="L72:L76"/>
    <mergeCell ref="M72:M76"/>
    <mergeCell ref="N72:N76"/>
    <mergeCell ref="O72:O76"/>
    <mergeCell ref="P72:P76"/>
    <mergeCell ref="A82:A86"/>
    <mergeCell ref="B82:B86"/>
    <mergeCell ref="C82:C86"/>
    <mergeCell ref="D82:D86"/>
    <mergeCell ref="E82:E86"/>
    <mergeCell ref="F82:F86"/>
    <mergeCell ref="I82:I86"/>
    <mergeCell ref="J82:J86"/>
    <mergeCell ref="O77:O81"/>
    <mergeCell ref="I77:I81"/>
    <mergeCell ref="J77:J81"/>
    <mergeCell ref="K77:K81"/>
    <mergeCell ref="L77:L81"/>
    <mergeCell ref="M77:M81"/>
    <mergeCell ref="N77:N81"/>
    <mergeCell ref="A77:A81"/>
    <mergeCell ref="B77:B81"/>
    <mergeCell ref="C77:C81"/>
    <mergeCell ref="D77:D81"/>
    <mergeCell ref="E77:E81"/>
    <mergeCell ref="F77:F81"/>
    <mergeCell ref="V82:V86"/>
    <mergeCell ref="K82:K86"/>
    <mergeCell ref="L82:L86"/>
    <mergeCell ref="M82:M86"/>
    <mergeCell ref="N82:N86"/>
    <mergeCell ref="O82:O86"/>
    <mergeCell ref="P82:P86"/>
    <mergeCell ref="U77:U81"/>
    <mergeCell ref="V77:V81"/>
    <mergeCell ref="P77:P81"/>
    <mergeCell ref="Q77:Q81"/>
    <mergeCell ref="R77:R81"/>
    <mergeCell ref="S77:S81"/>
    <mergeCell ref="T77:T81"/>
    <mergeCell ref="C87:C91"/>
    <mergeCell ref="D87:D91"/>
    <mergeCell ref="E87:E91"/>
    <mergeCell ref="F87:F91"/>
    <mergeCell ref="Q82:Q86"/>
    <mergeCell ref="R82:R86"/>
    <mergeCell ref="S82:S86"/>
    <mergeCell ref="T82:T86"/>
    <mergeCell ref="U82:U86"/>
    <mergeCell ref="U87:U91"/>
    <mergeCell ref="V87:V91"/>
    <mergeCell ref="A92:A96"/>
    <mergeCell ref="B92:B96"/>
    <mergeCell ref="C92:C96"/>
    <mergeCell ref="D92:D96"/>
    <mergeCell ref="E92:E96"/>
    <mergeCell ref="F92:F96"/>
    <mergeCell ref="I92:I96"/>
    <mergeCell ref="J92:J96"/>
    <mergeCell ref="O87:O91"/>
    <mergeCell ref="P87:P91"/>
    <mergeCell ref="Q87:Q91"/>
    <mergeCell ref="R87:R91"/>
    <mergeCell ref="S87:S91"/>
    <mergeCell ref="T87:T91"/>
    <mergeCell ref="I87:I91"/>
    <mergeCell ref="J87:J91"/>
    <mergeCell ref="K87:K91"/>
    <mergeCell ref="L87:L91"/>
    <mergeCell ref="M87:M91"/>
    <mergeCell ref="N87:N91"/>
    <mergeCell ref="A87:A91"/>
    <mergeCell ref="B87:B91"/>
    <mergeCell ref="T92:T96"/>
    <mergeCell ref="A97:F101"/>
    <mergeCell ref="I97:I101"/>
    <mergeCell ref="J97:J101"/>
    <mergeCell ref="K97:K101"/>
    <mergeCell ref="L97:L101"/>
    <mergeCell ref="M97:M101"/>
    <mergeCell ref="Q92:Q96"/>
    <mergeCell ref="R92:R96"/>
    <mergeCell ref="S92:S96"/>
    <mergeCell ref="N97:N101"/>
    <mergeCell ref="O97:O101"/>
    <mergeCell ref="P97:P101"/>
    <mergeCell ref="Q97:Q101"/>
    <mergeCell ref="R97:R101"/>
    <mergeCell ref="S97:S101"/>
    <mergeCell ref="U92:U96"/>
    <mergeCell ref="V92:V96"/>
    <mergeCell ref="K92:K96"/>
    <mergeCell ref="L92:L96"/>
    <mergeCell ref="M92:M96"/>
    <mergeCell ref="N92:N96"/>
    <mergeCell ref="O92:O96"/>
    <mergeCell ref="P92:P96"/>
    <mergeCell ref="T97:T101"/>
    <mergeCell ref="U97:U101"/>
    <mergeCell ref="V97:V101"/>
  </mergeCells>
  <printOptions horizontalCentered="1"/>
  <pageMargins left="0.23622047244094491" right="0.19685039370078741" top="0.98425196850393704" bottom="0.74803149606299213" header="0.31496062992125984" footer="0.31496062992125984"/>
  <pageSetup paperSize="9" scale="46" orientation="landscape" copies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4"/>
  <sheetViews>
    <sheetView view="pageBreakPreview" topLeftCell="A93" zoomScaleNormal="100" zoomScaleSheetLayoutView="100" workbookViewId="0">
      <selection activeCell="F107" sqref="F107"/>
    </sheetView>
  </sheetViews>
  <sheetFormatPr defaultRowHeight="12.75"/>
  <cols>
    <col min="1" max="1" width="4.125" style="510" customWidth="1"/>
    <col min="2" max="2" width="6.25" style="511" customWidth="1"/>
    <col min="3" max="3" width="8.375" style="511" customWidth="1"/>
    <col min="4" max="4" width="38.5" style="511" customWidth="1"/>
    <col min="5" max="5" width="10.25" style="511" customWidth="1"/>
    <col min="6" max="6" width="11.5" style="511" customWidth="1"/>
    <col min="7" max="7" width="11.75" style="511" customWidth="1"/>
    <col min="8" max="8" width="12.125" style="511" customWidth="1"/>
    <col min="9" max="9" width="12.875" style="511" customWidth="1"/>
    <col min="10" max="10" width="12" style="511" customWidth="1"/>
    <col min="11" max="11" width="30.75" style="511" customWidth="1"/>
    <col min="12" max="256" width="9" style="511"/>
    <col min="257" max="257" width="4.125" style="511" customWidth="1"/>
    <col min="258" max="258" width="6.25" style="511" customWidth="1"/>
    <col min="259" max="259" width="8.375" style="511" customWidth="1"/>
    <col min="260" max="260" width="38.5" style="511" customWidth="1"/>
    <col min="261" max="261" width="10.25" style="511" customWidth="1"/>
    <col min="262" max="262" width="11.5" style="511" customWidth="1"/>
    <col min="263" max="263" width="11.75" style="511" customWidth="1"/>
    <col min="264" max="264" width="12.125" style="511" customWidth="1"/>
    <col min="265" max="265" width="12.875" style="511" customWidth="1"/>
    <col min="266" max="266" width="12" style="511" customWidth="1"/>
    <col min="267" max="267" width="30.75" style="511" customWidth="1"/>
    <col min="268" max="512" width="9" style="511"/>
    <col min="513" max="513" width="4.125" style="511" customWidth="1"/>
    <col min="514" max="514" width="6.25" style="511" customWidth="1"/>
    <col min="515" max="515" width="8.375" style="511" customWidth="1"/>
    <col min="516" max="516" width="38.5" style="511" customWidth="1"/>
    <col min="517" max="517" width="10.25" style="511" customWidth="1"/>
    <col min="518" max="518" width="11.5" style="511" customWidth="1"/>
    <col min="519" max="519" width="11.75" style="511" customWidth="1"/>
    <col min="520" max="520" width="12.125" style="511" customWidth="1"/>
    <col min="521" max="521" width="12.875" style="511" customWidth="1"/>
    <col min="522" max="522" width="12" style="511" customWidth="1"/>
    <col min="523" max="523" width="30.75" style="511" customWidth="1"/>
    <col min="524" max="768" width="9" style="511"/>
    <col min="769" max="769" width="4.125" style="511" customWidth="1"/>
    <col min="770" max="770" width="6.25" style="511" customWidth="1"/>
    <col min="771" max="771" width="8.375" style="511" customWidth="1"/>
    <col min="772" max="772" width="38.5" style="511" customWidth="1"/>
    <col min="773" max="773" width="10.25" style="511" customWidth="1"/>
    <col min="774" max="774" width="11.5" style="511" customWidth="1"/>
    <col min="775" max="775" width="11.75" style="511" customWidth="1"/>
    <col min="776" max="776" width="12.125" style="511" customWidth="1"/>
    <col min="777" max="777" width="12.875" style="511" customWidth="1"/>
    <col min="778" max="778" width="12" style="511" customWidth="1"/>
    <col min="779" max="779" width="30.75" style="511" customWidth="1"/>
    <col min="780" max="1024" width="9" style="511"/>
    <col min="1025" max="1025" width="4.125" style="511" customWidth="1"/>
    <col min="1026" max="1026" width="6.25" style="511" customWidth="1"/>
    <col min="1027" max="1027" width="8.375" style="511" customWidth="1"/>
    <col min="1028" max="1028" width="38.5" style="511" customWidth="1"/>
    <col min="1029" max="1029" width="10.25" style="511" customWidth="1"/>
    <col min="1030" max="1030" width="11.5" style="511" customWidth="1"/>
    <col min="1031" max="1031" width="11.75" style="511" customWidth="1"/>
    <col min="1032" max="1032" width="12.125" style="511" customWidth="1"/>
    <col min="1033" max="1033" width="12.875" style="511" customWidth="1"/>
    <col min="1034" max="1034" width="12" style="511" customWidth="1"/>
    <col min="1035" max="1035" width="30.75" style="511" customWidth="1"/>
    <col min="1036" max="1280" width="9" style="511"/>
    <col min="1281" max="1281" width="4.125" style="511" customWidth="1"/>
    <col min="1282" max="1282" width="6.25" style="511" customWidth="1"/>
    <col min="1283" max="1283" width="8.375" style="511" customWidth="1"/>
    <col min="1284" max="1284" width="38.5" style="511" customWidth="1"/>
    <col min="1285" max="1285" width="10.25" style="511" customWidth="1"/>
    <col min="1286" max="1286" width="11.5" style="511" customWidth="1"/>
    <col min="1287" max="1287" width="11.75" style="511" customWidth="1"/>
    <col min="1288" max="1288" width="12.125" style="511" customWidth="1"/>
    <col min="1289" max="1289" width="12.875" style="511" customWidth="1"/>
    <col min="1290" max="1290" width="12" style="511" customWidth="1"/>
    <col min="1291" max="1291" width="30.75" style="511" customWidth="1"/>
    <col min="1292" max="1536" width="9" style="511"/>
    <col min="1537" max="1537" width="4.125" style="511" customWidth="1"/>
    <col min="1538" max="1538" width="6.25" style="511" customWidth="1"/>
    <col min="1539" max="1539" width="8.375" style="511" customWidth="1"/>
    <col min="1540" max="1540" width="38.5" style="511" customWidth="1"/>
    <col min="1541" max="1541" width="10.25" style="511" customWidth="1"/>
    <col min="1542" max="1542" width="11.5" style="511" customWidth="1"/>
    <col min="1543" max="1543" width="11.75" style="511" customWidth="1"/>
    <col min="1544" max="1544" width="12.125" style="511" customWidth="1"/>
    <col min="1545" max="1545" width="12.875" style="511" customWidth="1"/>
    <col min="1546" max="1546" width="12" style="511" customWidth="1"/>
    <col min="1547" max="1547" width="30.75" style="511" customWidth="1"/>
    <col min="1548" max="1792" width="9" style="511"/>
    <col min="1793" max="1793" width="4.125" style="511" customWidth="1"/>
    <col min="1794" max="1794" width="6.25" style="511" customWidth="1"/>
    <col min="1795" max="1795" width="8.375" style="511" customWidth="1"/>
    <col min="1796" max="1796" width="38.5" style="511" customWidth="1"/>
    <col min="1797" max="1797" width="10.25" style="511" customWidth="1"/>
    <col min="1798" max="1798" width="11.5" style="511" customWidth="1"/>
    <col min="1799" max="1799" width="11.75" style="511" customWidth="1"/>
    <col min="1800" max="1800" width="12.125" style="511" customWidth="1"/>
    <col min="1801" max="1801" width="12.875" style="511" customWidth="1"/>
    <col min="1802" max="1802" width="12" style="511" customWidth="1"/>
    <col min="1803" max="1803" width="30.75" style="511" customWidth="1"/>
    <col min="1804" max="2048" width="9" style="511"/>
    <col min="2049" max="2049" width="4.125" style="511" customWidth="1"/>
    <col min="2050" max="2050" width="6.25" style="511" customWidth="1"/>
    <col min="2051" max="2051" width="8.375" style="511" customWidth="1"/>
    <col min="2052" max="2052" width="38.5" style="511" customWidth="1"/>
    <col min="2053" max="2053" width="10.25" style="511" customWidth="1"/>
    <col min="2054" max="2054" width="11.5" style="511" customWidth="1"/>
    <col min="2055" max="2055" width="11.75" style="511" customWidth="1"/>
    <col min="2056" max="2056" width="12.125" style="511" customWidth="1"/>
    <col min="2057" max="2057" width="12.875" style="511" customWidth="1"/>
    <col min="2058" max="2058" width="12" style="511" customWidth="1"/>
    <col min="2059" max="2059" width="30.75" style="511" customWidth="1"/>
    <col min="2060" max="2304" width="9" style="511"/>
    <col min="2305" max="2305" width="4.125" style="511" customWidth="1"/>
    <col min="2306" max="2306" width="6.25" style="511" customWidth="1"/>
    <col min="2307" max="2307" width="8.375" style="511" customWidth="1"/>
    <col min="2308" max="2308" width="38.5" style="511" customWidth="1"/>
    <col min="2309" max="2309" width="10.25" style="511" customWidth="1"/>
    <col min="2310" max="2310" width="11.5" style="511" customWidth="1"/>
    <col min="2311" max="2311" width="11.75" style="511" customWidth="1"/>
    <col min="2312" max="2312" width="12.125" style="511" customWidth="1"/>
    <col min="2313" max="2313" width="12.875" style="511" customWidth="1"/>
    <col min="2314" max="2314" width="12" style="511" customWidth="1"/>
    <col min="2315" max="2315" width="30.75" style="511" customWidth="1"/>
    <col min="2316" max="2560" width="9" style="511"/>
    <col min="2561" max="2561" width="4.125" style="511" customWidth="1"/>
    <col min="2562" max="2562" width="6.25" style="511" customWidth="1"/>
    <col min="2563" max="2563" width="8.375" style="511" customWidth="1"/>
    <col min="2564" max="2564" width="38.5" style="511" customWidth="1"/>
    <col min="2565" max="2565" width="10.25" style="511" customWidth="1"/>
    <col min="2566" max="2566" width="11.5" style="511" customWidth="1"/>
    <col min="2567" max="2567" width="11.75" style="511" customWidth="1"/>
    <col min="2568" max="2568" width="12.125" style="511" customWidth="1"/>
    <col min="2569" max="2569" width="12.875" style="511" customWidth="1"/>
    <col min="2570" max="2570" width="12" style="511" customWidth="1"/>
    <col min="2571" max="2571" width="30.75" style="511" customWidth="1"/>
    <col min="2572" max="2816" width="9" style="511"/>
    <col min="2817" max="2817" width="4.125" style="511" customWidth="1"/>
    <col min="2818" max="2818" width="6.25" style="511" customWidth="1"/>
    <col min="2819" max="2819" width="8.375" style="511" customWidth="1"/>
    <col min="2820" max="2820" width="38.5" style="511" customWidth="1"/>
    <col min="2821" max="2821" width="10.25" style="511" customWidth="1"/>
    <col min="2822" max="2822" width="11.5" style="511" customWidth="1"/>
    <col min="2823" max="2823" width="11.75" style="511" customWidth="1"/>
    <col min="2824" max="2824" width="12.125" style="511" customWidth="1"/>
    <col min="2825" max="2825" width="12.875" style="511" customWidth="1"/>
    <col min="2826" max="2826" width="12" style="511" customWidth="1"/>
    <col min="2827" max="2827" width="30.75" style="511" customWidth="1"/>
    <col min="2828" max="3072" width="9" style="511"/>
    <col min="3073" max="3073" width="4.125" style="511" customWidth="1"/>
    <col min="3074" max="3074" width="6.25" style="511" customWidth="1"/>
    <col min="3075" max="3075" width="8.375" style="511" customWidth="1"/>
    <col min="3076" max="3076" width="38.5" style="511" customWidth="1"/>
    <col min="3077" max="3077" width="10.25" style="511" customWidth="1"/>
    <col min="3078" max="3078" width="11.5" style="511" customWidth="1"/>
    <col min="3079" max="3079" width="11.75" style="511" customWidth="1"/>
    <col min="3080" max="3080" width="12.125" style="511" customWidth="1"/>
    <col min="3081" max="3081" width="12.875" style="511" customWidth="1"/>
    <col min="3082" max="3082" width="12" style="511" customWidth="1"/>
    <col min="3083" max="3083" width="30.75" style="511" customWidth="1"/>
    <col min="3084" max="3328" width="9" style="511"/>
    <col min="3329" max="3329" width="4.125" style="511" customWidth="1"/>
    <col min="3330" max="3330" width="6.25" style="511" customWidth="1"/>
    <col min="3331" max="3331" width="8.375" style="511" customWidth="1"/>
    <col min="3332" max="3332" width="38.5" style="511" customWidth="1"/>
    <col min="3333" max="3333" width="10.25" style="511" customWidth="1"/>
    <col min="3334" max="3334" width="11.5" style="511" customWidth="1"/>
    <col min="3335" max="3335" width="11.75" style="511" customWidth="1"/>
    <col min="3336" max="3336" width="12.125" style="511" customWidth="1"/>
    <col min="3337" max="3337" width="12.875" style="511" customWidth="1"/>
    <col min="3338" max="3338" width="12" style="511" customWidth="1"/>
    <col min="3339" max="3339" width="30.75" style="511" customWidth="1"/>
    <col min="3340" max="3584" width="9" style="511"/>
    <col min="3585" max="3585" width="4.125" style="511" customWidth="1"/>
    <col min="3586" max="3586" width="6.25" style="511" customWidth="1"/>
    <col min="3587" max="3587" width="8.375" style="511" customWidth="1"/>
    <col min="3588" max="3588" width="38.5" style="511" customWidth="1"/>
    <col min="3589" max="3589" width="10.25" style="511" customWidth="1"/>
    <col min="3590" max="3590" width="11.5" style="511" customWidth="1"/>
    <col min="3591" max="3591" width="11.75" style="511" customWidth="1"/>
    <col min="3592" max="3592" width="12.125" style="511" customWidth="1"/>
    <col min="3593" max="3593" width="12.875" style="511" customWidth="1"/>
    <col min="3594" max="3594" width="12" style="511" customWidth="1"/>
    <col min="3595" max="3595" width="30.75" style="511" customWidth="1"/>
    <col min="3596" max="3840" width="9" style="511"/>
    <col min="3841" max="3841" width="4.125" style="511" customWidth="1"/>
    <col min="3842" max="3842" width="6.25" style="511" customWidth="1"/>
    <col min="3843" max="3843" width="8.375" style="511" customWidth="1"/>
    <col min="3844" max="3844" width="38.5" style="511" customWidth="1"/>
    <col min="3845" max="3845" width="10.25" style="511" customWidth="1"/>
    <col min="3846" max="3846" width="11.5" style="511" customWidth="1"/>
    <col min="3847" max="3847" width="11.75" style="511" customWidth="1"/>
    <col min="3848" max="3848" width="12.125" style="511" customWidth="1"/>
    <col min="3849" max="3849" width="12.875" style="511" customWidth="1"/>
    <col min="3850" max="3850" width="12" style="511" customWidth="1"/>
    <col min="3851" max="3851" width="30.75" style="511" customWidth="1"/>
    <col min="3852" max="4096" width="9" style="511"/>
    <col min="4097" max="4097" width="4.125" style="511" customWidth="1"/>
    <col min="4098" max="4098" width="6.25" style="511" customWidth="1"/>
    <col min="4099" max="4099" width="8.375" style="511" customWidth="1"/>
    <col min="4100" max="4100" width="38.5" style="511" customWidth="1"/>
    <col min="4101" max="4101" width="10.25" style="511" customWidth="1"/>
    <col min="4102" max="4102" width="11.5" style="511" customWidth="1"/>
    <col min="4103" max="4103" width="11.75" style="511" customWidth="1"/>
    <col min="4104" max="4104" width="12.125" style="511" customWidth="1"/>
    <col min="4105" max="4105" width="12.875" style="511" customWidth="1"/>
    <col min="4106" max="4106" width="12" style="511" customWidth="1"/>
    <col min="4107" max="4107" width="30.75" style="511" customWidth="1"/>
    <col min="4108" max="4352" width="9" style="511"/>
    <col min="4353" max="4353" width="4.125" style="511" customWidth="1"/>
    <col min="4354" max="4354" width="6.25" style="511" customWidth="1"/>
    <col min="4355" max="4355" width="8.375" style="511" customWidth="1"/>
    <col min="4356" max="4356" width="38.5" style="511" customWidth="1"/>
    <col min="4357" max="4357" width="10.25" style="511" customWidth="1"/>
    <col min="4358" max="4358" width="11.5" style="511" customWidth="1"/>
    <col min="4359" max="4359" width="11.75" style="511" customWidth="1"/>
    <col min="4360" max="4360" width="12.125" style="511" customWidth="1"/>
    <col min="4361" max="4361" width="12.875" style="511" customWidth="1"/>
    <col min="4362" max="4362" width="12" style="511" customWidth="1"/>
    <col min="4363" max="4363" width="30.75" style="511" customWidth="1"/>
    <col min="4364" max="4608" width="9" style="511"/>
    <col min="4609" max="4609" width="4.125" style="511" customWidth="1"/>
    <col min="4610" max="4610" width="6.25" style="511" customWidth="1"/>
    <col min="4611" max="4611" width="8.375" style="511" customWidth="1"/>
    <col min="4612" max="4612" width="38.5" style="511" customWidth="1"/>
    <col min="4613" max="4613" width="10.25" style="511" customWidth="1"/>
    <col min="4614" max="4614" width="11.5" style="511" customWidth="1"/>
    <col min="4615" max="4615" width="11.75" style="511" customWidth="1"/>
    <col min="4616" max="4616" width="12.125" style="511" customWidth="1"/>
    <col min="4617" max="4617" width="12.875" style="511" customWidth="1"/>
    <col min="4618" max="4618" width="12" style="511" customWidth="1"/>
    <col min="4619" max="4619" width="30.75" style="511" customWidth="1"/>
    <col min="4620" max="4864" width="9" style="511"/>
    <col min="4865" max="4865" width="4.125" style="511" customWidth="1"/>
    <col min="4866" max="4866" width="6.25" style="511" customWidth="1"/>
    <col min="4867" max="4867" width="8.375" style="511" customWidth="1"/>
    <col min="4868" max="4868" width="38.5" style="511" customWidth="1"/>
    <col min="4869" max="4869" width="10.25" style="511" customWidth="1"/>
    <col min="4870" max="4870" width="11.5" style="511" customWidth="1"/>
    <col min="4871" max="4871" width="11.75" style="511" customWidth="1"/>
    <col min="4872" max="4872" width="12.125" style="511" customWidth="1"/>
    <col min="4873" max="4873" width="12.875" style="511" customWidth="1"/>
    <col min="4874" max="4874" width="12" style="511" customWidth="1"/>
    <col min="4875" max="4875" width="30.75" style="511" customWidth="1"/>
    <col min="4876" max="5120" width="9" style="511"/>
    <col min="5121" max="5121" width="4.125" style="511" customWidth="1"/>
    <col min="5122" max="5122" width="6.25" style="511" customWidth="1"/>
    <col min="5123" max="5123" width="8.375" style="511" customWidth="1"/>
    <col min="5124" max="5124" width="38.5" style="511" customWidth="1"/>
    <col min="5125" max="5125" width="10.25" style="511" customWidth="1"/>
    <col min="5126" max="5126" width="11.5" style="511" customWidth="1"/>
    <col min="5127" max="5127" width="11.75" style="511" customWidth="1"/>
    <col min="5128" max="5128" width="12.125" style="511" customWidth="1"/>
    <col min="5129" max="5129" width="12.875" style="511" customWidth="1"/>
    <col min="5130" max="5130" width="12" style="511" customWidth="1"/>
    <col min="5131" max="5131" width="30.75" style="511" customWidth="1"/>
    <col min="5132" max="5376" width="9" style="511"/>
    <col min="5377" max="5377" width="4.125" style="511" customWidth="1"/>
    <col min="5378" max="5378" width="6.25" style="511" customWidth="1"/>
    <col min="5379" max="5379" width="8.375" style="511" customWidth="1"/>
    <col min="5380" max="5380" width="38.5" style="511" customWidth="1"/>
    <col min="5381" max="5381" width="10.25" style="511" customWidth="1"/>
    <col min="5382" max="5382" width="11.5" style="511" customWidth="1"/>
    <col min="5383" max="5383" width="11.75" style="511" customWidth="1"/>
    <col min="5384" max="5384" width="12.125" style="511" customWidth="1"/>
    <col min="5385" max="5385" width="12.875" style="511" customWidth="1"/>
    <col min="5386" max="5386" width="12" style="511" customWidth="1"/>
    <col min="5387" max="5387" width="30.75" style="511" customWidth="1"/>
    <col min="5388" max="5632" width="9" style="511"/>
    <col min="5633" max="5633" width="4.125" style="511" customWidth="1"/>
    <col min="5634" max="5634" width="6.25" style="511" customWidth="1"/>
    <col min="5635" max="5635" width="8.375" style="511" customWidth="1"/>
    <col min="5636" max="5636" width="38.5" style="511" customWidth="1"/>
    <col min="5637" max="5637" width="10.25" style="511" customWidth="1"/>
    <col min="5638" max="5638" width="11.5" style="511" customWidth="1"/>
    <col min="5639" max="5639" width="11.75" style="511" customWidth="1"/>
    <col min="5640" max="5640" width="12.125" style="511" customWidth="1"/>
    <col min="5641" max="5641" width="12.875" style="511" customWidth="1"/>
    <col min="5642" max="5642" width="12" style="511" customWidth="1"/>
    <col min="5643" max="5643" width="30.75" style="511" customWidth="1"/>
    <col min="5644" max="5888" width="9" style="511"/>
    <col min="5889" max="5889" width="4.125" style="511" customWidth="1"/>
    <col min="5890" max="5890" width="6.25" style="511" customWidth="1"/>
    <col min="5891" max="5891" width="8.375" style="511" customWidth="1"/>
    <col min="5892" max="5892" width="38.5" style="511" customWidth="1"/>
    <col min="5893" max="5893" width="10.25" style="511" customWidth="1"/>
    <col min="5894" max="5894" width="11.5" style="511" customWidth="1"/>
    <col min="5895" max="5895" width="11.75" style="511" customWidth="1"/>
    <col min="5896" max="5896" width="12.125" style="511" customWidth="1"/>
    <col min="5897" max="5897" width="12.875" style="511" customWidth="1"/>
    <col min="5898" max="5898" width="12" style="511" customWidth="1"/>
    <col min="5899" max="5899" width="30.75" style="511" customWidth="1"/>
    <col min="5900" max="6144" width="9" style="511"/>
    <col min="6145" max="6145" width="4.125" style="511" customWidth="1"/>
    <col min="6146" max="6146" width="6.25" style="511" customWidth="1"/>
    <col min="6147" max="6147" width="8.375" style="511" customWidth="1"/>
    <col min="6148" max="6148" width="38.5" style="511" customWidth="1"/>
    <col min="6149" max="6149" width="10.25" style="511" customWidth="1"/>
    <col min="6150" max="6150" width="11.5" style="511" customWidth="1"/>
    <col min="6151" max="6151" width="11.75" style="511" customWidth="1"/>
    <col min="6152" max="6152" width="12.125" style="511" customWidth="1"/>
    <col min="6153" max="6153" width="12.875" style="511" customWidth="1"/>
    <col min="6154" max="6154" width="12" style="511" customWidth="1"/>
    <col min="6155" max="6155" width="30.75" style="511" customWidth="1"/>
    <col min="6156" max="6400" width="9" style="511"/>
    <col min="6401" max="6401" width="4.125" style="511" customWidth="1"/>
    <col min="6402" max="6402" width="6.25" style="511" customWidth="1"/>
    <col min="6403" max="6403" width="8.375" style="511" customWidth="1"/>
    <col min="6404" max="6404" width="38.5" style="511" customWidth="1"/>
    <col min="6405" max="6405" width="10.25" style="511" customWidth="1"/>
    <col min="6406" max="6406" width="11.5" style="511" customWidth="1"/>
    <col min="6407" max="6407" width="11.75" style="511" customWidth="1"/>
    <col min="6408" max="6408" width="12.125" style="511" customWidth="1"/>
    <col min="6409" max="6409" width="12.875" style="511" customWidth="1"/>
    <col min="6410" max="6410" width="12" style="511" customWidth="1"/>
    <col min="6411" max="6411" width="30.75" style="511" customWidth="1"/>
    <col min="6412" max="6656" width="9" style="511"/>
    <col min="6657" max="6657" width="4.125" style="511" customWidth="1"/>
    <col min="6658" max="6658" width="6.25" style="511" customWidth="1"/>
    <col min="6659" max="6659" width="8.375" style="511" customWidth="1"/>
    <col min="6660" max="6660" width="38.5" style="511" customWidth="1"/>
    <col min="6661" max="6661" width="10.25" style="511" customWidth="1"/>
    <col min="6662" max="6662" width="11.5" style="511" customWidth="1"/>
    <col min="6663" max="6663" width="11.75" style="511" customWidth="1"/>
    <col min="6664" max="6664" width="12.125" style="511" customWidth="1"/>
    <col min="6665" max="6665" width="12.875" style="511" customWidth="1"/>
    <col min="6666" max="6666" width="12" style="511" customWidth="1"/>
    <col min="6667" max="6667" width="30.75" style="511" customWidth="1"/>
    <col min="6668" max="6912" width="9" style="511"/>
    <col min="6913" max="6913" width="4.125" style="511" customWidth="1"/>
    <col min="6914" max="6914" width="6.25" style="511" customWidth="1"/>
    <col min="6915" max="6915" width="8.375" style="511" customWidth="1"/>
    <col min="6916" max="6916" width="38.5" style="511" customWidth="1"/>
    <col min="6917" max="6917" width="10.25" style="511" customWidth="1"/>
    <col min="6918" max="6918" width="11.5" style="511" customWidth="1"/>
    <col min="6919" max="6919" width="11.75" style="511" customWidth="1"/>
    <col min="6920" max="6920" width="12.125" style="511" customWidth="1"/>
    <col min="6921" max="6921" width="12.875" style="511" customWidth="1"/>
    <col min="6922" max="6922" width="12" style="511" customWidth="1"/>
    <col min="6923" max="6923" width="30.75" style="511" customWidth="1"/>
    <col min="6924" max="7168" width="9" style="511"/>
    <col min="7169" max="7169" width="4.125" style="511" customWidth="1"/>
    <col min="7170" max="7170" width="6.25" style="511" customWidth="1"/>
    <col min="7171" max="7171" width="8.375" style="511" customWidth="1"/>
    <col min="7172" max="7172" width="38.5" style="511" customWidth="1"/>
    <col min="7173" max="7173" width="10.25" style="511" customWidth="1"/>
    <col min="7174" max="7174" width="11.5" style="511" customWidth="1"/>
    <col min="7175" max="7175" width="11.75" style="511" customWidth="1"/>
    <col min="7176" max="7176" width="12.125" style="511" customWidth="1"/>
    <col min="7177" max="7177" width="12.875" style="511" customWidth="1"/>
    <col min="7178" max="7178" width="12" style="511" customWidth="1"/>
    <col min="7179" max="7179" width="30.75" style="511" customWidth="1"/>
    <col min="7180" max="7424" width="9" style="511"/>
    <col min="7425" max="7425" width="4.125" style="511" customWidth="1"/>
    <col min="7426" max="7426" width="6.25" style="511" customWidth="1"/>
    <col min="7427" max="7427" width="8.375" style="511" customWidth="1"/>
    <col min="7428" max="7428" width="38.5" style="511" customWidth="1"/>
    <col min="7429" max="7429" width="10.25" style="511" customWidth="1"/>
    <col min="7430" max="7430" width="11.5" style="511" customWidth="1"/>
    <col min="7431" max="7431" width="11.75" style="511" customWidth="1"/>
    <col min="7432" max="7432" width="12.125" style="511" customWidth="1"/>
    <col min="7433" max="7433" width="12.875" style="511" customWidth="1"/>
    <col min="7434" max="7434" width="12" style="511" customWidth="1"/>
    <col min="7435" max="7435" width="30.75" style="511" customWidth="1"/>
    <col min="7436" max="7680" width="9" style="511"/>
    <col min="7681" max="7681" width="4.125" style="511" customWidth="1"/>
    <col min="7682" max="7682" width="6.25" style="511" customWidth="1"/>
    <col min="7683" max="7683" width="8.375" style="511" customWidth="1"/>
    <col min="7684" max="7684" width="38.5" style="511" customWidth="1"/>
    <col min="7685" max="7685" width="10.25" style="511" customWidth="1"/>
    <col min="7686" max="7686" width="11.5" style="511" customWidth="1"/>
    <col min="7687" max="7687" width="11.75" style="511" customWidth="1"/>
    <col min="7688" max="7688" width="12.125" style="511" customWidth="1"/>
    <col min="7689" max="7689" width="12.875" style="511" customWidth="1"/>
    <col min="7690" max="7690" width="12" style="511" customWidth="1"/>
    <col min="7691" max="7691" width="30.75" style="511" customWidth="1"/>
    <col min="7692" max="7936" width="9" style="511"/>
    <col min="7937" max="7937" width="4.125" style="511" customWidth="1"/>
    <col min="7938" max="7938" width="6.25" style="511" customWidth="1"/>
    <col min="7939" max="7939" width="8.375" style="511" customWidth="1"/>
    <col min="7940" max="7940" width="38.5" style="511" customWidth="1"/>
    <col min="7941" max="7941" width="10.25" style="511" customWidth="1"/>
    <col min="7942" max="7942" width="11.5" style="511" customWidth="1"/>
    <col min="7943" max="7943" width="11.75" style="511" customWidth="1"/>
    <col min="7944" max="7944" width="12.125" style="511" customWidth="1"/>
    <col min="7945" max="7945" width="12.875" style="511" customWidth="1"/>
    <col min="7946" max="7946" width="12" style="511" customWidth="1"/>
    <col min="7947" max="7947" width="30.75" style="511" customWidth="1"/>
    <col min="7948" max="8192" width="9" style="511"/>
    <col min="8193" max="8193" width="4.125" style="511" customWidth="1"/>
    <col min="8194" max="8194" width="6.25" style="511" customWidth="1"/>
    <col min="8195" max="8195" width="8.375" style="511" customWidth="1"/>
    <col min="8196" max="8196" width="38.5" style="511" customWidth="1"/>
    <col min="8197" max="8197" width="10.25" style="511" customWidth="1"/>
    <col min="8198" max="8198" width="11.5" style="511" customWidth="1"/>
    <col min="8199" max="8199" width="11.75" style="511" customWidth="1"/>
    <col min="8200" max="8200" width="12.125" style="511" customWidth="1"/>
    <col min="8201" max="8201" width="12.875" style="511" customWidth="1"/>
    <col min="8202" max="8202" width="12" style="511" customWidth="1"/>
    <col min="8203" max="8203" width="30.75" style="511" customWidth="1"/>
    <col min="8204" max="8448" width="9" style="511"/>
    <col min="8449" max="8449" width="4.125" style="511" customWidth="1"/>
    <col min="8450" max="8450" width="6.25" style="511" customWidth="1"/>
    <col min="8451" max="8451" width="8.375" style="511" customWidth="1"/>
    <col min="8452" max="8452" width="38.5" style="511" customWidth="1"/>
    <col min="8453" max="8453" width="10.25" style="511" customWidth="1"/>
    <col min="8454" max="8454" width="11.5" style="511" customWidth="1"/>
    <col min="8455" max="8455" width="11.75" style="511" customWidth="1"/>
    <col min="8456" max="8456" width="12.125" style="511" customWidth="1"/>
    <col min="8457" max="8457" width="12.875" style="511" customWidth="1"/>
    <col min="8458" max="8458" width="12" style="511" customWidth="1"/>
    <col min="8459" max="8459" width="30.75" style="511" customWidth="1"/>
    <col min="8460" max="8704" width="9" style="511"/>
    <col min="8705" max="8705" width="4.125" style="511" customWidth="1"/>
    <col min="8706" max="8706" width="6.25" style="511" customWidth="1"/>
    <col min="8707" max="8707" width="8.375" style="511" customWidth="1"/>
    <col min="8708" max="8708" width="38.5" style="511" customWidth="1"/>
    <col min="8709" max="8709" width="10.25" style="511" customWidth="1"/>
    <col min="8710" max="8710" width="11.5" style="511" customWidth="1"/>
    <col min="8711" max="8711" width="11.75" style="511" customWidth="1"/>
    <col min="8712" max="8712" width="12.125" style="511" customWidth="1"/>
    <col min="8713" max="8713" width="12.875" style="511" customWidth="1"/>
    <col min="8714" max="8714" width="12" style="511" customWidth="1"/>
    <col min="8715" max="8715" width="30.75" style="511" customWidth="1"/>
    <col min="8716" max="8960" width="9" style="511"/>
    <col min="8961" max="8961" width="4.125" style="511" customWidth="1"/>
    <col min="8962" max="8962" width="6.25" style="511" customWidth="1"/>
    <col min="8963" max="8963" width="8.375" style="511" customWidth="1"/>
    <col min="8964" max="8964" width="38.5" style="511" customWidth="1"/>
    <col min="8965" max="8965" width="10.25" style="511" customWidth="1"/>
    <col min="8966" max="8966" width="11.5" style="511" customWidth="1"/>
    <col min="8967" max="8967" width="11.75" style="511" customWidth="1"/>
    <col min="8968" max="8968" width="12.125" style="511" customWidth="1"/>
    <col min="8969" max="8969" width="12.875" style="511" customWidth="1"/>
    <col min="8970" max="8970" width="12" style="511" customWidth="1"/>
    <col min="8971" max="8971" width="30.75" style="511" customWidth="1"/>
    <col min="8972" max="9216" width="9" style="511"/>
    <col min="9217" max="9217" width="4.125" style="511" customWidth="1"/>
    <col min="9218" max="9218" width="6.25" style="511" customWidth="1"/>
    <col min="9219" max="9219" width="8.375" style="511" customWidth="1"/>
    <col min="9220" max="9220" width="38.5" style="511" customWidth="1"/>
    <col min="9221" max="9221" width="10.25" style="511" customWidth="1"/>
    <col min="9222" max="9222" width="11.5" style="511" customWidth="1"/>
    <col min="9223" max="9223" width="11.75" style="511" customWidth="1"/>
    <col min="9224" max="9224" width="12.125" style="511" customWidth="1"/>
    <col min="9225" max="9225" width="12.875" style="511" customWidth="1"/>
    <col min="9226" max="9226" width="12" style="511" customWidth="1"/>
    <col min="9227" max="9227" width="30.75" style="511" customWidth="1"/>
    <col min="9228" max="9472" width="9" style="511"/>
    <col min="9473" max="9473" width="4.125" style="511" customWidth="1"/>
    <col min="9474" max="9474" width="6.25" style="511" customWidth="1"/>
    <col min="9475" max="9475" width="8.375" style="511" customWidth="1"/>
    <col min="9476" max="9476" width="38.5" style="511" customWidth="1"/>
    <col min="9477" max="9477" width="10.25" style="511" customWidth="1"/>
    <col min="9478" max="9478" width="11.5" style="511" customWidth="1"/>
    <col min="9479" max="9479" width="11.75" style="511" customWidth="1"/>
    <col min="9480" max="9480" width="12.125" style="511" customWidth="1"/>
    <col min="9481" max="9481" width="12.875" style="511" customWidth="1"/>
    <col min="9482" max="9482" width="12" style="511" customWidth="1"/>
    <col min="9483" max="9483" width="30.75" style="511" customWidth="1"/>
    <col min="9484" max="9728" width="9" style="511"/>
    <col min="9729" max="9729" width="4.125" style="511" customWidth="1"/>
    <col min="9730" max="9730" width="6.25" style="511" customWidth="1"/>
    <col min="9731" max="9731" width="8.375" style="511" customWidth="1"/>
    <col min="9732" max="9732" width="38.5" style="511" customWidth="1"/>
    <col min="9733" max="9733" width="10.25" style="511" customWidth="1"/>
    <col min="9734" max="9734" width="11.5" style="511" customWidth="1"/>
    <col min="9735" max="9735" width="11.75" style="511" customWidth="1"/>
    <col min="9736" max="9736" width="12.125" style="511" customWidth="1"/>
    <col min="9737" max="9737" width="12.875" style="511" customWidth="1"/>
    <col min="9738" max="9738" width="12" style="511" customWidth="1"/>
    <col min="9739" max="9739" width="30.75" style="511" customWidth="1"/>
    <col min="9740" max="9984" width="9" style="511"/>
    <col min="9985" max="9985" width="4.125" style="511" customWidth="1"/>
    <col min="9986" max="9986" width="6.25" style="511" customWidth="1"/>
    <col min="9987" max="9987" width="8.375" style="511" customWidth="1"/>
    <col min="9988" max="9988" width="38.5" style="511" customWidth="1"/>
    <col min="9989" max="9989" width="10.25" style="511" customWidth="1"/>
    <col min="9990" max="9990" width="11.5" style="511" customWidth="1"/>
    <col min="9991" max="9991" width="11.75" style="511" customWidth="1"/>
    <col min="9992" max="9992" width="12.125" style="511" customWidth="1"/>
    <col min="9993" max="9993" width="12.875" style="511" customWidth="1"/>
    <col min="9994" max="9994" width="12" style="511" customWidth="1"/>
    <col min="9995" max="9995" width="30.75" style="511" customWidth="1"/>
    <col min="9996" max="10240" width="9" style="511"/>
    <col min="10241" max="10241" width="4.125" style="511" customWidth="1"/>
    <col min="10242" max="10242" width="6.25" style="511" customWidth="1"/>
    <col min="10243" max="10243" width="8.375" style="511" customWidth="1"/>
    <col min="10244" max="10244" width="38.5" style="511" customWidth="1"/>
    <col min="10245" max="10245" width="10.25" style="511" customWidth="1"/>
    <col min="10246" max="10246" width="11.5" style="511" customWidth="1"/>
    <col min="10247" max="10247" width="11.75" style="511" customWidth="1"/>
    <col min="10248" max="10248" width="12.125" style="511" customWidth="1"/>
    <col min="10249" max="10249" width="12.875" style="511" customWidth="1"/>
    <col min="10250" max="10250" width="12" style="511" customWidth="1"/>
    <col min="10251" max="10251" width="30.75" style="511" customWidth="1"/>
    <col min="10252" max="10496" width="9" style="511"/>
    <col min="10497" max="10497" width="4.125" style="511" customWidth="1"/>
    <col min="10498" max="10498" width="6.25" style="511" customWidth="1"/>
    <col min="10499" max="10499" width="8.375" style="511" customWidth="1"/>
    <col min="10500" max="10500" width="38.5" style="511" customWidth="1"/>
    <col min="10501" max="10501" width="10.25" style="511" customWidth="1"/>
    <col min="10502" max="10502" width="11.5" style="511" customWidth="1"/>
    <col min="10503" max="10503" width="11.75" style="511" customWidth="1"/>
    <col min="10504" max="10504" width="12.125" style="511" customWidth="1"/>
    <col min="10505" max="10505" width="12.875" style="511" customWidth="1"/>
    <col min="10506" max="10506" width="12" style="511" customWidth="1"/>
    <col min="10507" max="10507" width="30.75" style="511" customWidth="1"/>
    <col min="10508" max="10752" width="9" style="511"/>
    <col min="10753" max="10753" width="4.125" style="511" customWidth="1"/>
    <col min="10754" max="10754" width="6.25" style="511" customWidth="1"/>
    <col min="10755" max="10755" width="8.375" style="511" customWidth="1"/>
    <col min="10756" max="10756" width="38.5" style="511" customWidth="1"/>
    <col min="10757" max="10757" width="10.25" style="511" customWidth="1"/>
    <col min="10758" max="10758" width="11.5" style="511" customWidth="1"/>
    <col min="10759" max="10759" width="11.75" style="511" customWidth="1"/>
    <col min="10760" max="10760" width="12.125" style="511" customWidth="1"/>
    <col min="10761" max="10761" width="12.875" style="511" customWidth="1"/>
    <col min="10762" max="10762" width="12" style="511" customWidth="1"/>
    <col min="10763" max="10763" width="30.75" style="511" customWidth="1"/>
    <col min="10764" max="11008" width="9" style="511"/>
    <col min="11009" max="11009" width="4.125" style="511" customWidth="1"/>
    <col min="11010" max="11010" width="6.25" style="511" customWidth="1"/>
    <col min="11011" max="11011" width="8.375" style="511" customWidth="1"/>
    <col min="11012" max="11012" width="38.5" style="511" customWidth="1"/>
    <col min="11013" max="11013" width="10.25" style="511" customWidth="1"/>
    <col min="11014" max="11014" width="11.5" style="511" customWidth="1"/>
    <col min="11015" max="11015" width="11.75" style="511" customWidth="1"/>
    <col min="11016" max="11016" width="12.125" style="511" customWidth="1"/>
    <col min="11017" max="11017" width="12.875" style="511" customWidth="1"/>
    <col min="11018" max="11018" width="12" style="511" customWidth="1"/>
    <col min="11019" max="11019" width="30.75" style="511" customWidth="1"/>
    <col min="11020" max="11264" width="9" style="511"/>
    <col min="11265" max="11265" width="4.125" style="511" customWidth="1"/>
    <col min="11266" max="11266" width="6.25" style="511" customWidth="1"/>
    <col min="11267" max="11267" width="8.375" style="511" customWidth="1"/>
    <col min="11268" max="11268" width="38.5" style="511" customWidth="1"/>
    <col min="11269" max="11269" width="10.25" style="511" customWidth="1"/>
    <col min="11270" max="11270" width="11.5" style="511" customWidth="1"/>
    <col min="11271" max="11271" width="11.75" style="511" customWidth="1"/>
    <col min="11272" max="11272" width="12.125" style="511" customWidth="1"/>
    <col min="11273" max="11273" width="12.875" style="511" customWidth="1"/>
    <col min="11274" max="11274" width="12" style="511" customWidth="1"/>
    <col min="11275" max="11275" width="30.75" style="511" customWidth="1"/>
    <col min="11276" max="11520" width="9" style="511"/>
    <col min="11521" max="11521" width="4.125" style="511" customWidth="1"/>
    <col min="11522" max="11522" width="6.25" style="511" customWidth="1"/>
    <col min="11523" max="11523" width="8.375" style="511" customWidth="1"/>
    <col min="11524" max="11524" width="38.5" style="511" customWidth="1"/>
    <col min="11525" max="11525" width="10.25" style="511" customWidth="1"/>
    <col min="11526" max="11526" width="11.5" style="511" customWidth="1"/>
    <col min="11527" max="11527" width="11.75" style="511" customWidth="1"/>
    <col min="11528" max="11528" width="12.125" style="511" customWidth="1"/>
    <col min="11529" max="11529" width="12.875" style="511" customWidth="1"/>
    <col min="11530" max="11530" width="12" style="511" customWidth="1"/>
    <col min="11531" max="11531" width="30.75" style="511" customWidth="1"/>
    <col min="11532" max="11776" width="9" style="511"/>
    <col min="11777" max="11777" width="4.125" style="511" customWidth="1"/>
    <col min="11778" max="11778" width="6.25" style="511" customWidth="1"/>
    <col min="11779" max="11779" width="8.375" style="511" customWidth="1"/>
    <col min="11780" max="11780" width="38.5" style="511" customWidth="1"/>
    <col min="11781" max="11781" width="10.25" style="511" customWidth="1"/>
    <col min="11782" max="11782" width="11.5" style="511" customWidth="1"/>
    <col min="11783" max="11783" width="11.75" style="511" customWidth="1"/>
    <col min="11784" max="11784" width="12.125" style="511" customWidth="1"/>
    <col min="11785" max="11785" width="12.875" style="511" customWidth="1"/>
    <col min="11786" max="11786" width="12" style="511" customWidth="1"/>
    <col min="11787" max="11787" width="30.75" style="511" customWidth="1"/>
    <col min="11788" max="12032" width="9" style="511"/>
    <col min="12033" max="12033" width="4.125" style="511" customWidth="1"/>
    <col min="12034" max="12034" width="6.25" style="511" customWidth="1"/>
    <col min="12035" max="12035" width="8.375" style="511" customWidth="1"/>
    <col min="12036" max="12036" width="38.5" style="511" customWidth="1"/>
    <col min="12037" max="12037" width="10.25" style="511" customWidth="1"/>
    <col min="12038" max="12038" width="11.5" style="511" customWidth="1"/>
    <col min="12039" max="12039" width="11.75" style="511" customWidth="1"/>
    <col min="12040" max="12040" width="12.125" style="511" customWidth="1"/>
    <col min="12041" max="12041" width="12.875" style="511" customWidth="1"/>
    <col min="12042" max="12042" width="12" style="511" customWidth="1"/>
    <col min="12043" max="12043" width="30.75" style="511" customWidth="1"/>
    <col min="12044" max="12288" width="9" style="511"/>
    <col min="12289" max="12289" width="4.125" style="511" customWidth="1"/>
    <col min="12290" max="12290" width="6.25" style="511" customWidth="1"/>
    <col min="12291" max="12291" width="8.375" style="511" customWidth="1"/>
    <col min="12292" max="12292" width="38.5" style="511" customWidth="1"/>
    <col min="12293" max="12293" width="10.25" style="511" customWidth="1"/>
    <col min="12294" max="12294" width="11.5" style="511" customWidth="1"/>
    <col min="12295" max="12295" width="11.75" style="511" customWidth="1"/>
    <col min="12296" max="12296" width="12.125" style="511" customWidth="1"/>
    <col min="12297" max="12297" width="12.875" style="511" customWidth="1"/>
    <col min="12298" max="12298" width="12" style="511" customWidth="1"/>
    <col min="12299" max="12299" width="30.75" style="511" customWidth="1"/>
    <col min="12300" max="12544" width="9" style="511"/>
    <col min="12545" max="12545" width="4.125" style="511" customWidth="1"/>
    <col min="12546" max="12546" width="6.25" style="511" customWidth="1"/>
    <col min="12547" max="12547" width="8.375" style="511" customWidth="1"/>
    <col min="12548" max="12548" width="38.5" style="511" customWidth="1"/>
    <col min="12549" max="12549" width="10.25" style="511" customWidth="1"/>
    <col min="12550" max="12550" width="11.5" style="511" customWidth="1"/>
    <col min="12551" max="12551" width="11.75" style="511" customWidth="1"/>
    <col min="12552" max="12552" width="12.125" style="511" customWidth="1"/>
    <col min="12553" max="12553" width="12.875" style="511" customWidth="1"/>
    <col min="12554" max="12554" width="12" style="511" customWidth="1"/>
    <col min="12555" max="12555" width="30.75" style="511" customWidth="1"/>
    <col min="12556" max="12800" width="9" style="511"/>
    <col min="12801" max="12801" width="4.125" style="511" customWidth="1"/>
    <col min="12802" max="12802" width="6.25" style="511" customWidth="1"/>
    <col min="12803" max="12803" width="8.375" style="511" customWidth="1"/>
    <col min="12804" max="12804" width="38.5" style="511" customWidth="1"/>
    <col min="12805" max="12805" width="10.25" style="511" customWidth="1"/>
    <col min="12806" max="12806" width="11.5" style="511" customWidth="1"/>
    <col min="12807" max="12807" width="11.75" style="511" customWidth="1"/>
    <col min="12808" max="12808" width="12.125" style="511" customWidth="1"/>
    <col min="12809" max="12809" width="12.875" style="511" customWidth="1"/>
    <col min="12810" max="12810" width="12" style="511" customWidth="1"/>
    <col min="12811" max="12811" width="30.75" style="511" customWidth="1"/>
    <col min="12812" max="13056" width="9" style="511"/>
    <col min="13057" max="13057" width="4.125" style="511" customWidth="1"/>
    <col min="13058" max="13058" width="6.25" style="511" customWidth="1"/>
    <col min="13059" max="13059" width="8.375" style="511" customWidth="1"/>
    <col min="13060" max="13060" width="38.5" style="511" customWidth="1"/>
    <col min="13061" max="13061" width="10.25" style="511" customWidth="1"/>
    <col min="13062" max="13062" width="11.5" style="511" customWidth="1"/>
    <col min="13063" max="13063" width="11.75" style="511" customWidth="1"/>
    <col min="13064" max="13064" width="12.125" style="511" customWidth="1"/>
    <col min="13065" max="13065" width="12.875" style="511" customWidth="1"/>
    <col min="13066" max="13066" width="12" style="511" customWidth="1"/>
    <col min="13067" max="13067" width="30.75" style="511" customWidth="1"/>
    <col min="13068" max="13312" width="9" style="511"/>
    <col min="13313" max="13313" width="4.125" style="511" customWidth="1"/>
    <col min="13314" max="13314" width="6.25" style="511" customWidth="1"/>
    <col min="13315" max="13315" width="8.375" style="511" customWidth="1"/>
    <col min="13316" max="13316" width="38.5" style="511" customWidth="1"/>
    <col min="13317" max="13317" width="10.25" style="511" customWidth="1"/>
    <col min="13318" max="13318" width="11.5" style="511" customWidth="1"/>
    <col min="13319" max="13319" width="11.75" style="511" customWidth="1"/>
    <col min="13320" max="13320" width="12.125" style="511" customWidth="1"/>
    <col min="13321" max="13321" width="12.875" style="511" customWidth="1"/>
    <col min="13322" max="13322" width="12" style="511" customWidth="1"/>
    <col min="13323" max="13323" width="30.75" style="511" customWidth="1"/>
    <col min="13324" max="13568" width="9" style="511"/>
    <col min="13569" max="13569" width="4.125" style="511" customWidth="1"/>
    <col min="13570" max="13570" width="6.25" style="511" customWidth="1"/>
    <col min="13571" max="13571" width="8.375" style="511" customWidth="1"/>
    <col min="13572" max="13572" width="38.5" style="511" customWidth="1"/>
    <col min="13573" max="13573" width="10.25" style="511" customWidth="1"/>
    <col min="13574" max="13574" width="11.5" style="511" customWidth="1"/>
    <col min="13575" max="13575" width="11.75" style="511" customWidth="1"/>
    <col min="13576" max="13576" width="12.125" style="511" customWidth="1"/>
    <col min="13577" max="13577" width="12.875" style="511" customWidth="1"/>
    <col min="13578" max="13578" width="12" style="511" customWidth="1"/>
    <col min="13579" max="13579" width="30.75" style="511" customWidth="1"/>
    <col min="13580" max="13824" width="9" style="511"/>
    <col min="13825" max="13825" width="4.125" style="511" customWidth="1"/>
    <col min="13826" max="13826" width="6.25" style="511" customWidth="1"/>
    <col min="13827" max="13827" width="8.375" style="511" customWidth="1"/>
    <col min="13828" max="13828" width="38.5" style="511" customWidth="1"/>
    <col min="13829" max="13829" width="10.25" style="511" customWidth="1"/>
    <col min="13830" max="13830" width="11.5" style="511" customWidth="1"/>
    <col min="13831" max="13831" width="11.75" style="511" customWidth="1"/>
    <col min="13832" max="13832" width="12.125" style="511" customWidth="1"/>
    <col min="13833" max="13833" width="12.875" style="511" customWidth="1"/>
    <col min="13834" max="13834" width="12" style="511" customWidth="1"/>
    <col min="13835" max="13835" width="30.75" style="511" customWidth="1"/>
    <col min="13836" max="14080" width="9" style="511"/>
    <col min="14081" max="14081" width="4.125" style="511" customWidth="1"/>
    <col min="14082" max="14082" width="6.25" style="511" customWidth="1"/>
    <col min="14083" max="14083" width="8.375" style="511" customWidth="1"/>
    <col min="14084" max="14084" width="38.5" style="511" customWidth="1"/>
    <col min="14085" max="14085" width="10.25" style="511" customWidth="1"/>
    <col min="14086" max="14086" width="11.5" style="511" customWidth="1"/>
    <col min="14087" max="14087" width="11.75" style="511" customWidth="1"/>
    <col min="14088" max="14088" width="12.125" style="511" customWidth="1"/>
    <col min="14089" max="14089" width="12.875" style="511" customWidth="1"/>
    <col min="14090" max="14090" width="12" style="511" customWidth="1"/>
    <col min="14091" max="14091" width="30.75" style="511" customWidth="1"/>
    <col min="14092" max="14336" width="9" style="511"/>
    <col min="14337" max="14337" width="4.125" style="511" customWidth="1"/>
    <col min="14338" max="14338" width="6.25" style="511" customWidth="1"/>
    <col min="14339" max="14339" width="8.375" style="511" customWidth="1"/>
    <col min="14340" max="14340" width="38.5" style="511" customWidth="1"/>
    <col min="14341" max="14341" width="10.25" style="511" customWidth="1"/>
    <col min="14342" max="14342" width="11.5" style="511" customWidth="1"/>
    <col min="14343" max="14343" width="11.75" style="511" customWidth="1"/>
    <col min="14344" max="14344" width="12.125" style="511" customWidth="1"/>
    <col min="14345" max="14345" width="12.875" style="511" customWidth="1"/>
    <col min="14346" max="14346" width="12" style="511" customWidth="1"/>
    <col min="14347" max="14347" width="30.75" style="511" customWidth="1"/>
    <col min="14348" max="14592" width="9" style="511"/>
    <col min="14593" max="14593" width="4.125" style="511" customWidth="1"/>
    <col min="14594" max="14594" width="6.25" style="511" customWidth="1"/>
    <col min="14595" max="14595" width="8.375" style="511" customWidth="1"/>
    <col min="14596" max="14596" width="38.5" style="511" customWidth="1"/>
    <col min="14597" max="14597" width="10.25" style="511" customWidth="1"/>
    <col min="14598" max="14598" width="11.5" style="511" customWidth="1"/>
    <col min="14599" max="14599" width="11.75" style="511" customWidth="1"/>
    <col min="14600" max="14600" width="12.125" style="511" customWidth="1"/>
    <col min="14601" max="14601" width="12.875" style="511" customWidth="1"/>
    <col min="14602" max="14602" width="12" style="511" customWidth="1"/>
    <col min="14603" max="14603" width="30.75" style="511" customWidth="1"/>
    <col min="14604" max="14848" width="9" style="511"/>
    <col min="14849" max="14849" width="4.125" style="511" customWidth="1"/>
    <col min="14850" max="14850" width="6.25" style="511" customWidth="1"/>
    <col min="14851" max="14851" width="8.375" style="511" customWidth="1"/>
    <col min="14852" max="14852" width="38.5" style="511" customWidth="1"/>
    <col min="14853" max="14853" width="10.25" style="511" customWidth="1"/>
    <col min="14854" max="14854" width="11.5" style="511" customWidth="1"/>
    <col min="14855" max="14855" width="11.75" style="511" customWidth="1"/>
    <col min="14856" max="14856" width="12.125" style="511" customWidth="1"/>
    <col min="14857" max="14857" width="12.875" style="511" customWidth="1"/>
    <col min="14858" max="14858" width="12" style="511" customWidth="1"/>
    <col min="14859" max="14859" width="30.75" style="511" customWidth="1"/>
    <col min="14860" max="15104" width="9" style="511"/>
    <col min="15105" max="15105" width="4.125" style="511" customWidth="1"/>
    <col min="15106" max="15106" width="6.25" style="511" customWidth="1"/>
    <col min="15107" max="15107" width="8.375" style="511" customWidth="1"/>
    <col min="15108" max="15108" width="38.5" style="511" customWidth="1"/>
    <col min="15109" max="15109" width="10.25" style="511" customWidth="1"/>
    <col min="15110" max="15110" width="11.5" style="511" customWidth="1"/>
    <col min="15111" max="15111" width="11.75" style="511" customWidth="1"/>
    <col min="15112" max="15112" width="12.125" style="511" customWidth="1"/>
    <col min="15113" max="15113" width="12.875" style="511" customWidth="1"/>
    <col min="15114" max="15114" width="12" style="511" customWidth="1"/>
    <col min="15115" max="15115" width="30.75" style="511" customWidth="1"/>
    <col min="15116" max="15360" width="9" style="511"/>
    <col min="15361" max="15361" width="4.125" style="511" customWidth="1"/>
    <col min="15362" max="15362" width="6.25" style="511" customWidth="1"/>
    <col min="15363" max="15363" width="8.375" style="511" customWidth="1"/>
    <col min="15364" max="15364" width="38.5" style="511" customWidth="1"/>
    <col min="15365" max="15365" width="10.25" style="511" customWidth="1"/>
    <col min="15366" max="15366" width="11.5" style="511" customWidth="1"/>
    <col min="15367" max="15367" width="11.75" style="511" customWidth="1"/>
    <col min="15368" max="15368" width="12.125" style="511" customWidth="1"/>
    <col min="15369" max="15369" width="12.875" style="511" customWidth="1"/>
    <col min="15370" max="15370" width="12" style="511" customWidth="1"/>
    <col min="15371" max="15371" width="30.75" style="511" customWidth="1"/>
    <col min="15372" max="15616" width="9" style="511"/>
    <col min="15617" max="15617" width="4.125" style="511" customWidth="1"/>
    <col min="15618" max="15618" width="6.25" style="511" customWidth="1"/>
    <col min="15619" max="15619" width="8.375" style="511" customWidth="1"/>
    <col min="15620" max="15620" width="38.5" style="511" customWidth="1"/>
    <col min="15621" max="15621" width="10.25" style="511" customWidth="1"/>
    <col min="15622" max="15622" width="11.5" style="511" customWidth="1"/>
    <col min="15623" max="15623" width="11.75" style="511" customWidth="1"/>
    <col min="15624" max="15624" width="12.125" style="511" customWidth="1"/>
    <col min="15625" max="15625" width="12.875" style="511" customWidth="1"/>
    <col min="15626" max="15626" width="12" style="511" customWidth="1"/>
    <col min="15627" max="15627" width="30.75" style="511" customWidth="1"/>
    <col min="15628" max="15872" width="9" style="511"/>
    <col min="15873" max="15873" width="4.125" style="511" customWidth="1"/>
    <col min="15874" max="15874" width="6.25" style="511" customWidth="1"/>
    <col min="15875" max="15875" width="8.375" style="511" customWidth="1"/>
    <col min="15876" max="15876" width="38.5" style="511" customWidth="1"/>
    <col min="15877" max="15877" width="10.25" style="511" customWidth="1"/>
    <col min="15878" max="15878" width="11.5" style="511" customWidth="1"/>
    <col min="15879" max="15879" width="11.75" style="511" customWidth="1"/>
    <col min="15880" max="15880" width="12.125" style="511" customWidth="1"/>
    <col min="15881" max="15881" width="12.875" style="511" customWidth="1"/>
    <col min="15882" max="15882" width="12" style="511" customWidth="1"/>
    <col min="15883" max="15883" width="30.75" style="511" customWidth="1"/>
    <col min="15884" max="16128" width="9" style="511"/>
    <col min="16129" max="16129" width="4.125" style="511" customWidth="1"/>
    <col min="16130" max="16130" width="6.25" style="511" customWidth="1"/>
    <col min="16131" max="16131" width="8.375" style="511" customWidth="1"/>
    <col min="16132" max="16132" width="38.5" style="511" customWidth="1"/>
    <col min="16133" max="16133" width="10.25" style="511" customWidth="1"/>
    <col min="16134" max="16134" width="11.5" style="511" customWidth="1"/>
    <col min="16135" max="16135" width="11.75" style="511" customWidth="1"/>
    <col min="16136" max="16136" width="12.125" style="511" customWidth="1"/>
    <col min="16137" max="16137" width="12.875" style="511" customWidth="1"/>
    <col min="16138" max="16138" width="12" style="511" customWidth="1"/>
    <col min="16139" max="16139" width="30.75" style="511" customWidth="1"/>
    <col min="16140" max="16384" width="9" style="511"/>
  </cols>
  <sheetData>
    <row r="1" spans="1:13" s="553" customFormat="1" ht="14.25" customHeight="1">
      <c r="D1" s="554"/>
      <c r="E1" s="555"/>
      <c r="F1" s="556"/>
      <c r="G1" s="557"/>
      <c r="H1" s="1052"/>
      <c r="I1" s="1052"/>
      <c r="J1" s="1052"/>
      <c r="K1" s="556" t="s">
        <v>852</v>
      </c>
      <c r="L1" s="556"/>
      <c r="M1" s="556"/>
    </row>
    <row r="2" spans="1:13" s="553" customFormat="1" ht="12.75" customHeight="1">
      <c r="C2" s="558" t="s">
        <v>982</v>
      </c>
      <c r="D2" s="558"/>
      <c r="E2" s="555"/>
      <c r="F2" s="556"/>
      <c r="G2" s="557"/>
      <c r="H2" s="556"/>
      <c r="I2" s="559"/>
      <c r="J2" s="559"/>
      <c r="K2" s="556" t="s">
        <v>985</v>
      </c>
      <c r="L2" s="559"/>
      <c r="M2" s="559"/>
    </row>
    <row r="3" spans="1:13" s="553" customFormat="1" ht="15" customHeight="1">
      <c r="D3" s="558"/>
      <c r="E3" s="555"/>
      <c r="F3" s="556"/>
      <c r="G3" s="557"/>
      <c r="H3" s="556"/>
      <c r="I3" s="559"/>
      <c r="J3" s="559"/>
      <c r="K3" s="556" t="s">
        <v>984</v>
      </c>
      <c r="L3" s="559"/>
      <c r="M3" s="559"/>
    </row>
    <row r="4" spans="1:13">
      <c r="J4" s="512"/>
    </row>
    <row r="5" spans="1:13" s="292" customFormat="1" ht="18.75">
      <c r="A5" s="927" t="s">
        <v>853</v>
      </c>
      <c r="B5" s="927"/>
      <c r="C5" s="927"/>
      <c r="D5" s="927"/>
      <c r="E5" s="927"/>
      <c r="F5" s="927"/>
      <c r="G5" s="927"/>
      <c r="H5" s="927"/>
      <c r="I5" s="927"/>
      <c r="J5" s="927"/>
      <c r="K5" s="927"/>
    </row>
    <row r="6" spans="1:13" s="292" customFormat="1" ht="18.75">
      <c r="A6" s="927" t="s">
        <v>362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</row>
    <row r="7" spans="1:13" s="513" customFormat="1" ht="9" customHeight="1">
      <c r="A7" s="514"/>
      <c r="B7" s="514"/>
      <c r="C7" s="514"/>
      <c r="D7" s="514"/>
      <c r="E7" s="514"/>
      <c r="F7" s="514"/>
      <c r="G7" s="514"/>
      <c r="H7" s="514"/>
      <c r="I7" s="514"/>
      <c r="J7" s="514"/>
    </row>
    <row r="8" spans="1:13" ht="11.25" customHeight="1">
      <c r="J8" s="515"/>
      <c r="K8" s="510" t="s">
        <v>15</v>
      </c>
    </row>
    <row r="9" spans="1:13" s="516" customFormat="1" ht="12.75" customHeight="1">
      <c r="A9" s="1056" t="s">
        <v>854</v>
      </c>
      <c r="B9" s="1056" t="s">
        <v>145</v>
      </c>
      <c r="C9" s="1056" t="s">
        <v>855</v>
      </c>
      <c r="D9" s="1056" t="s">
        <v>856</v>
      </c>
      <c r="E9" s="1056" t="s">
        <v>543</v>
      </c>
      <c r="F9" s="1056" t="s">
        <v>857</v>
      </c>
      <c r="G9" s="1056" t="s">
        <v>858</v>
      </c>
      <c r="H9" s="1061" t="s">
        <v>859</v>
      </c>
      <c r="I9" s="1061"/>
      <c r="J9" s="1061"/>
      <c r="K9" s="1056" t="s">
        <v>860</v>
      </c>
    </row>
    <row r="10" spans="1:13" s="516" customFormat="1" ht="12.75" customHeight="1">
      <c r="A10" s="1056"/>
      <c r="B10" s="1056"/>
      <c r="C10" s="1056"/>
      <c r="D10" s="1056"/>
      <c r="E10" s="1056"/>
      <c r="F10" s="1056"/>
      <c r="G10" s="1056"/>
      <c r="H10" s="1056" t="s">
        <v>861</v>
      </c>
      <c r="I10" s="1057" t="s">
        <v>862</v>
      </c>
      <c r="J10" s="1057"/>
      <c r="K10" s="1056"/>
    </row>
    <row r="11" spans="1:13" s="516" customFormat="1" ht="12.75" customHeight="1">
      <c r="A11" s="1056"/>
      <c r="B11" s="1056"/>
      <c r="C11" s="1056"/>
      <c r="D11" s="1056"/>
      <c r="E11" s="1056"/>
      <c r="F11" s="1056"/>
      <c r="G11" s="1056"/>
      <c r="H11" s="1056"/>
      <c r="I11" s="1056" t="s">
        <v>863</v>
      </c>
      <c r="J11" s="1056" t="s">
        <v>864</v>
      </c>
      <c r="K11" s="1056"/>
    </row>
    <row r="12" spans="1:13" s="517" customFormat="1" ht="37.15" customHeight="1">
      <c r="A12" s="1056"/>
      <c r="B12" s="1056"/>
      <c r="C12" s="1056"/>
      <c r="D12" s="1056"/>
      <c r="E12" s="1056"/>
      <c r="F12" s="1056"/>
      <c r="G12" s="1056"/>
      <c r="H12" s="1056"/>
      <c r="I12" s="1056"/>
      <c r="J12" s="1056"/>
      <c r="K12" s="1056"/>
    </row>
    <row r="13" spans="1:13" s="519" customFormat="1">
      <c r="A13" s="518">
        <v>1</v>
      </c>
      <c r="B13" s="518">
        <v>2</v>
      </c>
      <c r="C13" s="518">
        <v>3</v>
      </c>
      <c r="D13" s="518">
        <v>4</v>
      </c>
      <c r="E13" s="518">
        <v>5</v>
      </c>
      <c r="F13" s="518">
        <v>6</v>
      </c>
      <c r="G13" s="518">
        <v>7</v>
      </c>
      <c r="H13" s="518">
        <v>8</v>
      </c>
      <c r="I13" s="518">
        <v>9</v>
      </c>
      <c r="J13" s="518">
        <v>10</v>
      </c>
      <c r="K13" s="518">
        <v>11</v>
      </c>
    </row>
    <row r="14" spans="1:13" ht="5.0999999999999996" customHeight="1">
      <c r="A14" s="520"/>
      <c r="B14" s="521"/>
      <c r="C14" s="521"/>
      <c r="D14" s="521"/>
      <c r="E14" s="521"/>
      <c r="F14" s="521"/>
      <c r="G14" s="521"/>
      <c r="H14" s="521"/>
      <c r="I14" s="521"/>
      <c r="J14" s="520"/>
      <c r="K14" s="521"/>
    </row>
    <row r="15" spans="1:13" s="525" customFormat="1" ht="17.25">
      <c r="A15" s="522"/>
      <c r="B15" s="522"/>
      <c r="C15" s="522"/>
      <c r="D15" s="523" t="s">
        <v>416</v>
      </c>
      <c r="E15" s="522" t="s">
        <v>731</v>
      </c>
      <c r="F15" s="522" t="s">
        <v>731</v>
      </c>
      <c r="G15" s="522" t="s">
        <v>731</v>
      </c>
      <c r="H15" s="524">
        <f>H66+H113+H117+H121</f>
        <v>666955208</v>
      </c>
      <c r="I15" s="524">
        <f>I66+I113+I117+I121</f>
        <v>252211576</v>
      </c>
      <c r="J15" s="524">
        <f>J66+J113+J117+J121</f>
        <v>414743632</v>
      </c>
      <c r="K15" s="522" t="s">
        <v>731</v>
      </c>
    </row>
    <row r="16" spans="1:13" ht="5.0999999999999996" customHeight="1">
      <c r="A16" s="520"/>
      <c r="B16" s="521"/>
      <c r="C16" s="521"/>
      <c r="D16" s="526"/>
      <c r="E16" s="527"/>
      <c r="F16" s="521"/>
      <c r="G16" s="521"/>
      <c r="H16" s="521"/>
      <c r="I16" s="521"/>
      <c r="J16" s="520"/>
      <c r="K16" s="521"/>
    </row>
    <row r="17" spans="1:11" s="528" customFormat="1" ht="21.6" customHeight="1">
      <c r="A17" s="522" t="s">
        <v>865</v>
      </c>
      <c r="B17" s="1055" t="s">
        <v>866</v>
      </c>
      <c r="C17" s="1055"/>
      <c r="D17" s="1055"/>
      <c r="E17" s="1055"/>
      <c r="F17" s="1055"/>
      <c r="G17" s="1055"/>
      <c r="H17" s="1055"/>
      <c r="I17" s="1055"/>
      <c r="J17" s="1055"/>
      <c r="K17" s="1055"/>
    </row>
    <row r="18" spans="1:11" ht="5.0999999999999996" customHeight="1">
      <c r="A18" s="520"/>
      <c r="B18" s="529"/>
      <c r="C18" s="529"/>
      <c r="D18" s="521"/>
      <c r="E18" s="521"/>
      <c r="F18" s="521"/>
      <c r="G18" s="521"/>
      <c r="H18" s="521"/>
      <c r="I18" s="521"/>
      <c r="J18" s="520"/>
      <c r="K18" s="521"/>
    </row>
    <row r="19" spans="1:11" s="535" customFormat="1" ht="21.6" customHeight="1">
      <c r="A19" s="530"/>
      <c r="B19" s="531" t="s">
        <v>61</v>
      </c>
      <c r="C19" s="531"/>
      <c r="D19" s="532" t="s">
        <v>62</v>
      </c>
      <c r="E19" s="530" t="s">
        <v>731</v>
      </c>
      <c r="F19" s="533">
        <f>F20</f>
        <v>7776000</v>
      </c>
      <c r="G19" s="534" t="s">
        <v>731</v>
      </c>
      <c r="H19" s="533">
        <f>H20</f>
        <v>7776000</v>
      </c>
      <c r="I19" s="533">
        <f>I20</f>
        <v>7776000</v>
      </c>
      <c r="J19" s="533">
        <f>J20</f>
        <v>0</v>
      </c>
      <c r="K19" s="530" t="s">
        <v>731</v>
      </c>
    </row>
    <row r="20" spans="1:11" s="541" customFormat="1" ht="51">
      <c r="A20" s="536">
        <v>1</v>
      </c>
      <c r="B20" s="537"/>
      <c r="C20" s="537" t="s">
        <v>66</v>
      </c>
      <c r="D20" s="538" t="s">
        <v>867</v>
      </c>
      <c r="E20" s="536">
        <v>2022</v>
      </c>
      <c r="F20" s="539">
        <v>7776000</v>
      </c>
      <c r="G20" s="540" t="s">
        <v>731</v>
      </c>
      <c r="H20" s="539">
        <f>I20+J20</f>
        <v>7776000</v>
      </c>
      <c r="I20" s="539">
        <v>7776000</v>
      </c>
      <c r="J20" s="539">
        <v>0</v>
      </c>
      <c r="K20" s="538" t="s">
        <v>771</v>
      </c>
    </row>
    <row r="21" spans="1:11" s="535" customFormat="1" ht="19.149999999999999" customHeight="1">
      <c r="A21" s="530"/>
      <c r="B21" s="531" t="s">
        <v>23</v>
      </c>
      <c r="C21" s="531"/>
      <c r="D21" s="532" t="s">
        <v>24</v>
      </c>
      <c r="E21" s="530" t="s">
        <v>731</v>
      </c>
      <c r="F21" s="533">
        <f>F22+F23+F24+F25+F26+F27+F28+F29+F30+F31+F32+F33</f>
        <v>67094984</v>
      </c>
      <c r="G21" s="534" t="s">
        <v>731</v>
      </c>
      <c r="H21" s="533">
        <f>H22+H23+H24+H25+H26+H27+H28+H29+H30+H31+H32+H33</f>
        <v>67094984</v>
      </c>
      <c r="I21" s="533">
        <f>I22+I23+I24+I25+I26+I27+I28+I29+I30+I31+I32+I33</f>
        <v>67094984</v>
      </c>
      <c r="J21" s="533">
        <f>J22+J23+J24+J25+J26+J27+J28+J29+J30+J31+J32+J33</f>
        <v>0</v>
      </c>
      <c r="K21" s="530" t="s">
        <v>731</v>
      </c>
    </row>
    <row r="22" spans="1:11" s="541" customFormat="1" ht="54" customHeight="1">
      <c r="A22" s="536">
        <v>2</v>
      </c>
      <c r="B22" s="537"/>
      <c r="C22" s="537" t="s">
        <v>422</v>
      </c>
      <c r="D22" s="538" t="s">
        <v>868</v>
      </c>
      <c r="E22" s="536">
        <v>2022</v>
      </c>
      <c r="F22" s="542">
        <v>200000</v>
      </c>
      <c r="G22" s="540" t="s">
        <v>731</v>
      </c>
      <c r="H22" s="539">
        <f t="shared" ref="H22:H28" si="0">I22+J22</f>
        <v>200000</v>
      </c>
      <c r="I22" s="542">
        <v>200000</v>
      </c>
      <c r="J22" s="542">
        <v>0</v>
      </c>
      <c r="K22" s="538" t="s">
        <v>771</v>
      </c>
    </row>
    <row r="23" spans="1:11" s="541" customFormat="1">
      <c r="A23" s="536">
        <v>3</v>
      </c>
      <c r="B23" s="537"/>
      <c r="C23" s="537" t="s">
        <v>369</v>
      </c>
      <c r="D23" s="538" t="s">
        <v>869</v>
      </c>
      <c r="E23" s="536">
        <v>2022</v>
      </c>
      <c r="F23" s="539">
        <v>15000000</v>
      </c>
      <c r="G23" s="540" t="s">
        <v>731</v>
      </c>
      <c r="H23" s="539">
        <f t="shared" si="0"/>
        <v>15000000</v>
      </c>
      <c r="I23" s="539">
        <v>15000000</v>
      </c>
      <c r="J23" s="539">
        <v>0</v>
      </c>
      <c r="K23" s="538" t="s">
        <v>870</v>
      </c>
    </row>
    <row r="24" spans="1:11" s="541" customFormat="1">
      <c r="A24" s="536">
        <v>4</v>
      </c>
      <c r="B24" s="537"/>
      <c r="C24" s="537" t="s">
        <v>369</v>
      </c>
      <c r="D24" s="538" t="s">
        <v>871</v>
      </c>
      <c r="E24" s="536">
        <v>2022</v>
      </c>
      <c r="F24" s="539">
        <v>3000000</v>
      </c>
      <c r="G24" s="540" t="s">
        <v>731</v>
      </c>
      <c r="H24" s="539">
        <f t="shared" si="0"/>
        <v>3000000</v>
      </c>
      <c r="I24" s="539">
        <v>3000000</v>
      </c>
      <c r="J24" s="539">
        <v>0</v>
      </c>
      <c r="K24" s="538" t="s">
        <v>870</v>
      </c>
    </row>
    <row r="25" spans="1:11" s="541" customFormat="1">
      <c r="A25" s="536">
        <v>5</v>
      </c>
      <c r="B25" s="537"/>
      <c r="C25" s="537" t="s">
        <v>369</v>
      </c>
      <c r="D25" s="538" t="s">
        <v>872</v>
      </c>
      <c r="E25" s="536">
        <v>2022</v>
      </c>
      <c r="F25" s="539">
        <v>1500000</v>
      </c>
      <c r="G25" s="540" t="s">
        <v>731</v>
      </c>
      <c r="H25" s="539">
        <f t="shared" si="0"/>
        <v>1500000</v>
      </c>
      <c r="I25" s="539">
        <v>1500000</v>
      </c>
      <c r="J25" s="539">
        <v>0</v>
      </c>
      <c r="K25" s="538" t="s">
        <v>870</v>
      </c>
    </row>
    <row r="26" spans="1:11" s="541" customFormat="1" ht="38.25">
      <c r="A26" s="536">
        <v>6</v>
      </c>
      <c r="B26" s="537"/>
      <c r="C26" s="537" t="s">
        <v>369</v>
      </c>
      <c r="D26" s="538" t="s">
        <v>873</v>
      </c>
      <c r="E26" s="536">
        <v>2022</v>
      </c>
      <c r="F26" s="539">
        <v>20000000</v>
      </c>
      <c r="G26" s="540" t="s">
        <v>731</v>
      </c>
      <c r="H26" s="539">
        <f t="shared" si="0"/>
        <v>20000000</v>
      </c>
      <c r="I26" s="539">
        <v>20000000</v>
      </c>
      <c r="J26" s="539">
        <v>0</v>
      </c>
      <c r="K26" s="538" t="s">
        <v>870</v>
      </c>
    </row>
    <row r="27" spans="1:11" s="541" customFormat="1" ht="38.25">
      <c r="A27" s="536">
        <v>7</v>
      </c>
      <c r="B27" s="537"/>
      <c r="C27" s="537" t="s">
        <v>369</v>
      </c>
      <c r="D27" s="538" t="s">
        <v>874</v>
      </c>
      <c r="E27" s="536">
        <v>2022</v>
      </c>
      <c r="F27" s="539">
        <v>20000000</v>
      </c>
      <c r="G27" s="540" t="s">
        <v>731</v>
      </c>
      <c r="H27" s="539">
        <f>I27+J27</f>
        <v>20000000</v>
      </c>
      <c r="I27" s="539">
        <v>20000000</v>
      </c>
      <c r="J27" s="539">
        <v>0</v>
      </c>
      <c r="K27" s="538" t="s">
        <v>870</v>
      </c>
    </row>
    <row r="28" spans="1:11" s="541" customFormat="1">
      <c r="A28" s="536">
        <v>8</v>
      </c>
      <c r="B28" s="537"/>
      <c r="C28" s="537" t="s">
        <v>369</v>
      </c>
      <c r="D28" s="538" t="s">
        <v>875</v>
      </c>
      <c r="E28" s="536">
        <v>2022</v>
      </c>
      <c r="F28" s="539">
        <v>2180000</v>
      </c>
      <c r="G28" s="540" t="s">
        <v>731</v>
      </c>
      <c r="H28" s="539">
        <f t="shared" si="0"/>
        <v>2180000</v>
      </c>
      <c r="I28" s="539">
        <v>2180000</v>
      </c>
      <c r="J28" s="539">
        <v>0</v>
      </c>
      <c r="K28" s="538" t="s">
        <v>870</v>
      </c>
    </row>
    <row r="29" spans="1:11" s="541" customFormat="1" ht="25.5">
      <c r="A29" s="536">
        <v>9</v>
      </c>
      <c r="B29" s="537"/>
      <c r="C29" s="537" t="s">
        <v>369</v>
      </c>
      <c r="D29" s="538" t="s">
        <v>876</v>
      </c>
      <c r="E29" s="536">
        <v>2022</v>
      </c>
      <c r="F29" s="539">
        <v>900000</v>
      </c>
      <c r="G29" s="540" t="s">
        <v>731</v>
      </c>
      <c r="H29" s="539">
        <f>I29+J29</f>
        <v>900000</v>
      </c>
      <c r="I29" s="539">
        <v>900000</v>
      </c>
      <c r="J29" s="539">
        <v>0</v>
      </c>
      <c r="K29" s="538" t="s">
        <v>870</v>
      </c>
    </row>
    <row r="30" spans="1:11" s="541" customFormat="1" ht="38.25">
      <c r="A30" s="536">
        <v>10</v>
      </c>
      <c r="B30" s="537"/>
      <c r="C30" s="537" t="s">
        <v>369</v>
      </c>
      <c r="D30" s="538" t="s">
        <v>877</v>
      </c>
      <c r="E30" s="536">
        <v>2022</v>
      </c>
      <c r="F30" s="539">
        <v>3500000</v>
      </c>
      <c r="G30" s="540" t="s">
        <v>731</v>
      </c>
      <c r="H30" s="539">
        <f>I30+J30</f>
        <v>3500000</v>
      </c>
      <c r="I30" s="539">
        <v>3500000</v>
      </c>
      <c r="J30" s="539">
        <v>0</v>
      </c>
      <c r="K30" s="538" t="s">
        <v>870</v>
      </c>
    </row>
    <row r="31" spans="1:11" s="541" customFormat="1" ht="38.25">
      <c r="A31" s="536">
        <v>11</v>
      </c>
      <c r="B31" s="537"/>
      <c r="C31" s="537" t="s">
        <v>369</v>
      </c>
      <c r="D31" s="538" t="s">
        <v>878</v>
      </c>
      <c r="E31" s="536">
        <v>2022</v>
      </c>
      <c r="F31" s="539">
        <v>340000</v>
      </c>
      <c r="G31" s="540" t="s">
        <v>731</v>
      </c>
      <c r="H31" s="539">
        <f>I31+J31</f>
        <v>340000</v>
      </c>
      <c r="I31" s="539">
        <v>340000</v>
      </c>
      <c r="J31" s="539">
        <v>0</v>
      </c>
      <c r="K31" s="538" t="s">
        <v>771</v>
      </c>
    </row>
    <row r="32" spans="1:11" s="541" customFormat="1" ht="51">
      <c r="A32" s="536">
        <v>12</v>
      </c>
      <c r="B32" s="537"/>
      <c r="C32" s="537" t="s">
        <v>369</v>
      </c>
      <c r="D32" s="538" t="s">
        <v>879</v>
      </c>
      <c r="E32" s="536">
        <v>2022</v>
      </c>
      <c r="F32" s="539">
        <v>260000</v>
      </c>
      <c r="G32" s="540" t="s">
        <v>731</v>
      </c>
      <c r="H32" s="539">
        <f>I32+J32</f>
        <v>260000</v>
      </c>
      <c r="I32" s="539">
        <v>260000</v>
      </c>
      <c r="J32" s="539">
        <v>0</v>
      </c>
      <c r="K32" s="538" t="s">
        <v>771</v>
      </c>
    </row>
    <row r="33" spans="1:11" s="541" customFormat="1" ht="38.25">
      <c r="A33" s="536">
        <v>13</v>
      </c>
      <c r="B33" s="537"/>
      <c r="C33" s="537" t="s">
        <v>880</v>
      </c>
      <c r="D33" s="538" t="s">
        <v>881</v>
      </c>
      <c r="E33" s="536">
        <v>2022</v>
      </c>
      <c r="F33" s="539">
        <v>214984</v>
      </c>
      <c r="G33" s="540" t="s">
        <v>731</v>
      </c>
      <c r="H33" s="539">
        <f>I33+J33</f>
        <v>214984</v>
      </c>
      <c r="I33" s="539">
        <v>214984</v>
      </c>
      <c r="J33" s="539">
        <v>0</v>
      </c>
      <c r="K33" s="538" t="s">
        <v>771</v>
      </c>
    </row>
    <row r="34" spans="1:11" s="535" customFormat="1" ht="19.149999999999999" customHeight="1">
      <c r="A34" s="530"/>
      <c r="B34" s="531" t="s">
        <v>25</v>
      </c>
      <c r="C34" s="531"/>
      <c r="D34" s="532" t="s">
        <v>26</v>
      </c>
      <c r="E34" s="530" t="s">
        <v>731</v>
      </c>
      <c r="F34" s="533">
        <f>F35+F36</f>
        <v>172755</v>
      </c>
      <c r="G34" s="534" t="s">
        <v>731</v>
      </c>
      <c r="H34" s="533">
        <f>H35+H36</f>
        <v>172755</v>
      </c>
      <c r="I34" s="533">
        <f>I35+I36</f>
        <v>172755</v>
      </c>
      <c r="J34" s="533">
        <f>J35+J36</f>
        <v>0</v>
      </c>
      <c r="K34" s="530" t="s">
        <v>731</v>
      </c>
    </row>
    <row r="35" spans="1:11" s="541" customFormat="1" ht="25.5">
      <c r="A35" s="536">
        <v>14</v>
      </c>
      <c r="B35" s="537"/>
      <c r="C35" s="537" t="s">
        <v>429</v>
      </c>
      <c r="D35" s="543" t="s">
        <v>882</v>
      </c>
      <c r="E35" s="536">
        <v>2022</v>
      </c>
      <c r="F35" s="539">
        <v>22755</v>
      </c>
      <c r="G35" s="540" t="s">
        <v>731</v>
      </c>
      <c r="H35" s="539">
        <f>I35+J35</f>
        <v>22755</v>
      </c>
      <c r="I35" s="539">
        <v>22755</v>
      </c>
      <c r="J35" s="539">
        <v>0</v>
      </c>
      <c r="K35" s="538" t="s">
        <v>771</v>
      </c>
    </row>
    <row r="36" spans="1:11" s="541" customFormat="1" ht="25.5">
      <c r="A36" s="536">
        <v>15</v>
      </c>
      <c r="B36" s="537"/>
      <c r="C36" s="537" t="s">
        <v>883</v>
      </c>
      <c r="D36" s="543" t="s">
        <v>884</v>
      </c>
      <c r="E36" s="536">
        <v>2022</v>
      </c>
      <c r="F36" s="539">
        <v>150000</v>
      </c>
      <c r="G36" s="540" t="s">
        <v>731</v>
      </c>
      <c r="H36" s="539">
        <f>I36+J36</f>
        <v>150000</v>
      </c>
      <c r="I36" s="539">
        <v>150000</v>
      </c>
      <c r="J36" s="539">
        <v>0</v>
      </c>
      <c r="K36" s="538" t="s">
        <v>771</v>
      </c>
    </row>
    <row r="37" spans="1:11" s="535" customFormat="1" ht="19.149999999999999" customHeight="1">
      <c r="A37" s="530"/>
      <c r="B37" s="531" t="s">
        <v>27</v>
      </c>
      <c r="C37" s="531"/>
      <c r="D37" s="532" t="s">
        <v>28</v>
      </c>
      <c r="E37" s="530" t="s">
        <v>731</v>
      </c>
      <c r="F37" s="533">
        <f>F38</f>
        <v>29000</v>
      </c>
      <c r="G37" s="534" t="s">
        <v>731</v>
      </c>
      <c r="H37" s="533">
        <f>H38</f>
        <v>29000</v>
      </c>
      <c r="I37" s="533">
        <f>I38</f>
        <v>29000</v>
      </c>
      <c r="J37" s="533">
        <f>J38</f>
        <v>0</v>
      </c>
      <c r="K37" s="530" t="s">
        <v>731</v>
      </c>
    </row>
    <row r="38" spans="1:11" s="541" customFormat="1" ht="38.25">
      <c r="A38" s="536">
        <v>16</v>
      </c>
      <c r="B38" s="537"/>
      <c r="C38" s="537" t="s">
        <v>430</v>
      </c>
      <c r="D38" s="538" t="s">
        <v>885</v>
      </c>
      <c r="E38" s="536">
        <v>2022</v>
      </c>
      <c r="F38" s="539">
        <v>29000</v>
      </c>
      <c r="G38" s="540" t="s">
        <v>731</v>
      </c>
      <c r="H38" s="539">
        <f>I38+J38</f>
        <v>29000</v>
      </c>
      <c r="I38" s="539">
        <v>29000</v>
      </c>
      <c r="J38" s="539">
        <v>0</v>
      </c>
      <c r="K38" s="538" t="s">
        <v>886</v>
      </c>
    </row>
    <row r="39" spans="1:11" s="535" customFormat="1" ht="18.600000000000001" customHeight="1">
      <c r="A39" s="530"/>
      <c r="B39" s="531" t="s">
        <v>29</v>
      </c>
      <c r="C39" s="531"/>
      <c r="D39" s="532" t="s">
        <v>30</v>
      </c>
      <c r="E39" s="530" t="s">
        <v>731</v>
      </c>
      <c r="F39" s="533">
        <f>F40+F41+F42</f>
        <v>1660000</v>
      </c>
      <c r="G39" s="534" t="s">
        <v>731</v>
      </c>
      <c r="H39" s="533">
        <f>H40+H41+H42</f>
        <v>1660000</v>
      </c>
      <c r="I39" s="533">
        <f>I40+I41+I42</f>
        <v>1660000</v>
      </c>
      <c r="J39" s="533">
        <f>J40+J41+J42</f>
        <v>0</v>
      </c>
      <c r="K39" s="530" t="s">
        <v>731</v>
      </c>
    </row>
    <row r="40" spans="1:11" s="541" customFormat="1">
      <c r="A40" s="536">
        <v>17</v>
      </c>
      <c r="B40" s="537"/>
      <c r="C40" s="537" t="s">
        <v>438</v>
      </c>
      <c r="D40" s="538" t="s">
        <v>875</v>
      </c>
      <c r="E40" s="536">
        <v>2022</v>
      </c>
      <c r="F40" s="539">
        <v>940000</v>
      </c>
      <c r="G40" s="540" t="s">
        <v>731</v>
      </c>
      <c r="H40" s="539">
        <f>I40+J40</f>
        <v>940000</v>
      </c>
      <c r="I40" s="539">
        <v>940000</v>
      </c>
      <c r="J40" s="539">
        <v>0</v>
      </c>
      <c r="K40" s="538" t="s">
        <v>771</v>
      </c>
    </row>
    <row r="41" spans="1:11" s="541" customFormat="1">
      <c r="A41" s="536">
        <v>18</v>
      </c>
      <c r="B41" s="537"/>
      <c r="C41" s="537" t="s">
        <v>438</v>
      </c>
      <c r="D41" s="538" t="s">
        <v>887</v>
      </c>
      <c r="E41" s="536">
        <v>2022</v>
      </c>
      <c r="F41" s="539">
        <v>500000</v>
      </c>
      <c r="G41" s="540" t="s">
        <v>731</v>
      </c>
      <c r="H41" s="539">
        <f>I41+J41</f>
        <v>500000</v>
      </c>
      <c r="I41" s="539">
        <v>500000</v>
      </c>
      <c r="J41" s="539">
        <v>0</v>
      </c>
      <c r="K41" s="538" t="s">
        <v>771</v>
      </c>
    </row>
    <row r="42" spans="1:11" s="541" customFormat="1">
      <c r="A42" s="536">
        <v>19</v>
      </c>
      <c r="B42" s="537"/>
      <c r="C42" s="537" t="s">
        <v>438</v>
      </c>
      <c r="D42" s="538" t="s">
        <v>875</v>
      </c>
      <c r="E42" s="536">
        <v>2022</v>
      </c>
      <c r="F42" s="539">
        <v>220000</v>
      </c>
      <c r="G42" s="540" t="s">
        <v>731</v>
      </c>
      <c r="H42" s="539">
        <f>I42+J42</f>
        <v>220000</v>
      </c>
      <c r="I42" s="539">
        <v>220000</v>
      </c>
      <c r="J42" s="539">
        <v>0</v>
      </c>
      <c r="K42" s="538" t="s">
        <v>870</v>
      </c>
    </row>
    <row r="43" spans="1:11" s="535" customFormat="1" ht="20.45" customHeight="1">
      <c r="A43" s="530"/>
      <c r="B43" s="531" t="s">
        <v>33</v>
      </c>
      <c r="C43" s="531"/>
      <c r="D43" s="532" t="s">
        <v>34</v>
      </c>
      <c r="E43" s="530" t="s">
        <v>731</v>
      </c>
      <c r="F43" s="533">
        <f>F44</f>
        <v>23000</v>
      </c>
      <c r="G43" s="534" t="str">
        <f>G44</f>
        <v>x</v>
      </c>
      <c r="H43" s="533">
        <f>H44</f>
        <v>23000</v>
      </c>
      <c r="I43" s="533">
        <f>I44</f>
        <v>23000</v>
      </c>
      <c r="J43" s="533">
        <f>J44</f>
        <v>0</v>
      </c>
      <c r="K43" s="530" t="s">
        <v>731</v>
      </c>
    </row>
    <row r="44" spans="1:11" s="541" customFormat="1" ht="25.5">
      <c r="A44" s="536">
        <v>20</v>
      </c>
      <c r="B44" s="537"/>
      <c r="C44" s="537" t="s">
        <v>458</v>
      </c>
      <c r="D44" s="538" t="s">
        <v>875</v>
      </c>
      <c r="E44" s="536">
        <v>2022</v>
      </c>
      <c r="F44" s="539">
        <v>23000</v>
      </c>
      <c r="G44" s="540" t="s">
        <v>731</v>
      </c>
      <c r="H44" s="539">
        <f>I44+J44</f>
        <v>23000</v>
      </c>
      <c r="I44" s="539">
        <v>23000</v>
      </c>
      <c r="J44" s="539">
        <v>0</v>
      </c>
      <c r="K44" s="538" t="s">
        <v>888</v>
      </c>
    </row>
    <row r="45" spans="1:11" s="535" customFormat="1" ht="19.149999999999999" customHeight="1">
      <c r="A45" s="530"/>
      <c r="B45" s="531" t="s">
        <v>35</v>
      </c>
      <c r="C45" s="531"/>
      <c r="D45" s="532" t="s">
        <v>36</v>
      </c>
      <c r="E45" s="530" t="s">
        <v>731</v>
      </c>
      <c r="F45" s="533">
        <f>F46</f>
        <v>2500000</v>
      </c>
      <c r="G45" s="534" t="str">
        <f>G46</f>
        <v>x</v>
      </c>
      <c r="H45" s="533">
        <f>H46</f>
        <v>2500000</v>
      </c>
      <c r="I45" s="533">
        <f>I46</f>
        <v>2500000</v>
      </c>
      <c r="J45" s="533">
        <f>J46</f>
        <v>0</v>
      </c>
      <c r="K45" s="530" t="s">
        <v>731</v>
      </c>
    </row>
    <row r="46" spans="1:11" s="541" customFormat="1" ht="54" customHeight="1">
      <c r="A46" s="536">
        <v>21</v>
      </c>
      <c r="B46" s="537"/>
      <c r="C46" s="537" t="s">
        <v>889</v>
      </c>
      <c r="D46" s="543" t="s">
        <v>890</v>
      </c>
      <c r="E46" s="536">
        <v>2022</v>
      </c>
      <c r="F46" s="539">
        <v>2500000</v>
      </c>
      <c r="G46" s="540" t="s">
        <v>731</v>
      </c>
      <c r="H46" s="539">
        <f>I46+J46</f>
        <v>2500000</v>
      </c>
      <c r="I46" s="539">
        <v>2500000</v>
      </c>
      <c r="J46" s="539">
        <v>0</v>
      </c>
      <c r="K46" s="543" t="s">
        <v>891</v>
      </c>
    </row>
    <row r="47" spans="1:11" s="535" customFormat="1" ht="19.149999999999999" customHeight="1">
      <c r="A47" s="530"/>
      <c r="B47" s="531" t="s">
        <v>146</v>
      </c>
      <c r="C47" s="531"/>
      <c r="D47" s="532" t="s">
        <v>117</v>
      </c>
      <c r="E47" s="530" t="s">
        <v>731</v>
      </c>
      <c r="F47" s="533">
        <f>F48</f>
        <v>103000</v>
      </c>
      <c r="G47" s="534" t="str">
        <f>G48</f>
        <v>x</v>
      </c>
      <c r="H47" s="533">
        <f>H48</f>
        <v>103000</v>
      </c>
      <c r="I47" s="533">
        <f>I48</f>
        <v>103000</v>
      </c>
      <c r="J47" s="533">
        <f>J48</f>
        <v>0</v>
      </c>
      <c r="K47" s="530" t="s">
        <v>731</v>
      </c>
    </row>
    <row r="48" spans="1:11" s="541" customFormat="1" ht="25.5">
      <c r="A48" s="536">
        <v>22</v>
      </c>
      <c r="B48" s="537"/>
      <c r="C48" s="537" t="s">
        <v>892</v>
      </c>
      <c r="D48" s="543" t="s">
        <v>893</v>
      </c>
      <c r="E48" s="536">
        <v>2022</v>
      </c>
      <c r="F48" s="539">
        <v>103000</v>
      </c>
      <c r="G48" s="540" t="s">
        <v>731</v>
      </c>
      <c r="H48" s="539">
        <f>I48+J48</f>
        <v>103000</v>
      </c>
      <c r="I48" s="539">
        <v>103000</v>
      </c>
      <c r="J48" s="539">
        <v>0</v>
      </c>
      <c r="K48" s="538" t="s">
        <v>894</v>
      </c>
    </row>
    <row r="49" spans="1:11" s="535" customFormat="1" ht="19.149999999999999" customHeight="1">
      <c r="A49" s="530"/>
      <c r="B49" s="531" t="s">
        <v>7</v>
      </c>
      <c r="C49" s="531"/>
      <c r="D49" s="532" t="s">
        <v>8</v>
      </c>
      <c r="E49" s="530" t="s">
        <v>731</v>
      </c>
      <c r="F49" s="533">
        <f>F50</f>
        <v>167000</v>
      </c>
      <c r="G49" s="534" t="str">
        <f>G50</f>
        <v>x</v>
      </c>
      <c r="H49" s="533">
        <f>H50</f>
        <v>167000</v>
      </c>
      <c r="I49" s="533">
        <f>I50</f>
        <v>167000</v>
      </c>
      <c r="J49" s="533">
        <f>J50</f>
        <v>0</v>
      </c>
      <c r="K49" s="530" t="s">
        <v>731</v>
      </c>
    </row>
    <row r="50" spans="1:11" s="541" customFormat="1" ht="38.25">
      <c r="A50" s="536">
        <v>23</v>
      </c>
      <c r="B50" s="537"/>
      <c r="C50" s="537" t="s">
        <v>895</v>
      </c>
      <c r="D50" s="538" t="s">
        <v>875</v>
      </c>
      <c r="E50" s="536">
        <v>2022</v>
      </c>
      <c r="F50" s="539">
        <v>167000</v>
      </c>
      <c r="G50" s="540" t="s">
        <v>731</v>
      </c>
      <c r="H50" s="539">
        <f>I50+J50</f>
        <v>167000</v>
      </c>
      <c r="I50" s="539">
        <v>167000</v>
      </c>
      <c r="J50" s="539">
        <v>0</v>
      </c>
      <c r="K50" s="543" t="s">
        <v>896</v>
      </c>
    </row>
    <row r="51" spans="1:11" s="535" customFormat="1" ht="33" customHeight="1">
      <c r="A51" s="530"/>
      <c r="B51" s="531" t="s">
        <v>38</v>
      </c>
      <c r="C51" s="531"/>
      <c r="D51" s="544" t="s">
        <v>39</v>
      </c>
      <c r="E51" s="530" t="s">
        <v>731</v>
      </c>
      <c r="F51" s="533">
        <f>F52</f>
        <v>700000</v>
      </c>
      <c r="G51" s="534" t="str">
        <f>G52</f>
        <v>x</v>
      </c>
      <c r="H51" s="533">
        <f>H52</f>
        <v>700000</v>
      </c>
      <c r="I51" s="533">
        <f>I52</f>
        <v>700000</v>
      </c>
      <c r="J51" s="533">
        <f>J52</f>
        <v>0</v>
      </c>
      <c r="K51" s="530" t="s">
        <v>731</v>
      </c>
    </row>
    <row r="52" spans="1:11" s="541" customFormat="1">
      <c r="A52" s="536">
        <v>24</v>
      </c>
      <c r="B52" s="537"/>
      <c r="C52" s="537" t="s">
        <v>897</v>
      </c>
      <c r="D52" s="543" t="s">
        <v>898</v>
      </c>
      <c r="E52" s="536">
        <v>2022</v>
      </c>
      <c r="F52" s="539">
        <v>700000</v>
      </c>
      <c r="G52" s="540" t="s">
        <v>731</v>
      </c>
      <c r="H52" s="539">
        <f>I52+J52</f>
        <v>700000</v>
      </c>
      <c r="I52" s="539">
        <v>700000</v>
      </c>
      <c r="J52" s="539"/>
      <c r="K52" s="538" t="s">
        <v>771</v>
      </c>
    </row>
    <row r="53" spans="1:11" s="535" customFormat="1" ht="33" customHeight="1">
      <c r="A53" s="530"/>
      <c r="B53" s="531" t="s">
        <v>40</v>
      </c>
      <c r="C53" s="531"/>
      <c r="D53" s="544" t="s">
        <v>41</v>
      </c>
      <c r="E53" s="530" t="s">
        <v>731</v>
      </c>
      <c r="F53" s="533">
        <f>F54+F55+F56+F57+F58+F59+F60+F61+F62</f>
        <v>2426272</v>
      </c>
      <c r="G53" s="534" t="str">
        <f>G54</f>
        <v>x</v>
      </c>
      <c r="H53" s="533">
        <f>H54+H55+H56+H57+H58+H59+H60+H61+H62</f>
        <v>2426272</v>
      </c>
      <c r="I53" s="533">
        <f>I54+I55+I56+I57+I58+I59+I60+I61+I62</f>
        <v>2426272</v>
      </c>
      <c r="J53" s="533">
        <f>J54+J55+J56+J57+J58+J59+J60+J61+J62</f>
        <v>0</v>
      </c>
      <c r="K53" s="530" t="s">
        <v>731</v>
      </c>
    </row>
    <row r="54" spans="1:11" s="541" customFormat="1">
      <c r="A54" s="536">
        <v>25</v>
      </c>
      <c r="B54" s="537"/>
      <c r="C54" s="537" t="s">
        <v>899</v>
      </c>
      <c r="D54" s="543" t="s">
        <v>875</v>
      </c>
      <c r="E54" s="536">
        <v>2022</v>
      </c>
      <c r="F54" s="539">
        <v>71047</v>
      </c>
      <c r="G54" s="540" t="s">
        <v>731</v>
      </c>
      <c r="H54" s="539">
        <f>I54+J54</f>
        <v>71047</v>
      </c>
      <c r="I54" s="539">
        <v>71047</v>
      </c>
      <c r="J54" s="539"/>
      <c r="K54" s="538" t="s">
        <v>900</v>
      </c>
    </row>
    <row r="55" spans="1:11" s="541" customFormat="1" ht="25.5">
      <c r="A55" s="536">
        <v>26</v>
      </c>
      <c r="B55" s="537"/>
      <c r="C55" s="537" t="s">
        <v>899</v>
      </c>
      <c r="D55" s="543" t="s">
        <v>901</v>
      </c>
      <c r="E55" s="536">
        <v>2022</v>
      </c>
      <c r="F55" s="539">
        <v>393588</v>
      </c>
      <c r="G55" s="540" t="s">
        <v>731</v>
      </c>
      <c r="H55" s="539">
        <f>I55+J55</f>
        <v>393588</v>
      </c>
      <c r="I55" s="539">
        <v>393588</v>
      </c>
      <c r="J55" s="539"/>
      <c r="K55" s="538" t="s">
        <v>900</v>
      </c>
    </row>
    <row r="56" spans="1:11" s="541" customFormat="1">
      <c r="A56" s="536">
        <v>27</v>
      </c>
      <c r="B56" s="537"/>
      <c r="C56" s="537" t="s">
        <v>899</v>
      </c>
      <c r="D56" s="543" t="s">
        <v>902</v>
      </c>
      <c r="E56" s="536">
        <v>2022</v>
      </c>
      <c r="F56" s="539">
        <v>14760</v>
      </c>
      <c r="G56" s="540" t="s">
        <v>731</v>
      </c>
      <c r="H56" s="539">
        <f>I56+J56</f>
        <v>14760</v>
      </c>
      <c r="I56" s="539">
        <v>14760</v>
      </c>
      <c r="J56" s="539">
        <v>0</v>
      </c>
      <c r="K56" s="538" t="s">
        <v>771</v>
      </c>
    </row>
    <row r="57" spans="1:11" s="541" customFormat="1" ht="29.45" customHeight="1">
      <c r="A57" s="536">
        <v>28</v>
      </c>
      <c r="B57" s="537"/>
      <c r="C57" s="537" t="s">
        <v>899</v>
      </c>
      <c r="D57" s="543" t="s">
        <v>903</v>
      </c>
      <c r="E57" s="536">
        <v>2022</v>
      </c>
      <c r="F57" s="539">
        <v>1365000</v>
      </c>
      <c r="G57" s="540" t="s">
        <v>731</v>
      </c>
      <c r="H57" s="539">
        <f t="shared" ref="H57:H62" si="1">I57+J57</f>
        <v>1365000</v>
      </c>
      <c r="I57" s="539">
        <v>1365000</v>
      </c>
      <c r="J57" s="539">
        <v>0</v>
      </c>
      <c r="K57" s="543" t="s">
        <v>904</v>
      </c>
    </row>
    <row r="58" spans="1:11" s="541" customFormat="1" ht="25.5">
      <c r="A58" s="536">
        <v>29</v>
      </c>
      <c r="B58" s="537"/>
      <c r="C58" s="537" t="s">
        <v>905</v>
      </c>
      <c r="D58" s="543" t="s">
        <v>906</v>
      </c>
      <c r="E58" s="536">
        <v>2022</v>
      </c>
      <c r="F58" s="539">
        <v>310000</v>
      </c>
      <c r="G58" s="540" t="s">
        <v>731</v>
      </c>
      <c r="H58" s="539">
        <f t="shared" si="1"/>
        <v>310000</v>
      </c>
      <c r="I58" s="539">
        <v>310000</v>
      </c>
      <c r="J58" s="539">
        <v>0</v>
      </c>
      <c r="K58" s="538" t="s">
        <v>907</v>
      </c>
    </row>
    <row r="59" spans="1:11" s="541" customFormat="1" ht="25.5">
      <c r="A59" s="536">
        <v>30</v>
      </c>
      <c r="B59" s="537"/>
      <c r="C59" s="537" t="s">
        <v>908</v>
      </c>
      <c r="D59" s="543" t="s">
        <v>909</v>
      </c>
      <c r="E59" s="536">
        <v>2022</v>
      </c>
      <c r="F59" s="539">
        <v>28290</v>
      </c>
      <c r="G59" s="540" t="s">
        <v>731</v>
      </c>
      <c r="H59" s="539">
        <f t="shared" si="1"/>
        <v>28290</v>
      </c>
      <c r="I59" s="539">
        <v>28290</v>
      </c>
      <c r="J59" s="539">
        <v>0</v>
      </c>
      <c r="K59" s="538" t="s">
        <v>910</v>
      </c>
    </row>
    <row r="60" spans="1:11" s="541" customFormat="1" ht="25.5">
      <c r="A60" s="536">
        <v>31</v>
      </c>
      <c r="B60" s="537"/>
      <c r="C60" s="537" t="s">
        <v>908</v>
      </c>
      <c r="D60" s="543" t="s">
        <v>911</v>
      </c>
      <c r="E60" s="536">
        <v>2022</v>
      </c>
      <c r="F60" s="539">
        <v>145700</v>
      </c>
      <c r="G60" s="540" t="s">
        <v>731</v>
      </c>
      <c r="H60" s="539">
        <f t="shared" si="1"/>
        <v>145700</v>
      </c>
      <c r="I60" s="539">
        <v>145700</v>
      </c>
      <c r="J60" s="539">
        <v>0</v>
      </c>
      <c r="K60" s="538" t="s">
        <v>910</v>
      </c>
    </row>
    <row r="61" spans="1:11" s="541" customFormat="1" ht="38.25">
      <c r="A61" s="536">
        <v>32</v>
      </c>
      <c r="B61" s="537"/>
      <c r="C61" s="537" t="s">
        <v>912</v>
      </c>
      <c r="D61" s="543" t="s">
        <v>913</v>
      </c>
      <c r="E61" s="536">
        <v>2022</v>
      </c>
      <c r="F61" s="539">
        <v>55887</v>
      </c>
      <c r="G61" s="540" t="s">
        <v>731</v>
      </c>
      <c r="H61" s="539">
        <f t="shared" si="1"/>
        <v>55887</v>
      </c>
      <c r="I61" s="539">
        <v>55887</v>
      </c>
      <c r="J61" s="539">
        <v>0</v>
      </c>
      <c r="K61" s="538" t="s">
        <v>914</v>
      </c>
    </row>
    <row r="62" spans="1:11" s="541" customFormat="1">
      <c r="A62" s="536">
        <v>33</v>
      </c>
      <c r="B62" s="537"/>
      <c r="C62" s="537" t="s">
        <v>912</v>
      </c>
      <c r="D62" s="543" t="s">
        <v>875</v>
      </c>
      <c r="E62" s="536">
        <v>2022</v>
      </c>
      <c r="F62" s="539">
        <v>42000</v>
      </c>
      <c r="G62" s="540" t="s">
        <v>731</v>
      </c>
      <c r="H62" s="539">
        <f t="shared" si="1"/>
        <v>42000</v>
      </c>
      <c r="I62" s="539">
        <v>42000</v>
      </c>
      <c r="J62" s="539">
        <v>0</v>
      </c>
      <c r="K62" s="538" t="s">
        <v>915</v>
      </c>
    </row>
    <row r="63" spans="1:11" s="535" customFormat="1">
      <c r="A63" s="530"/>
      <c r="B63" s="531" t="s">
        <v>147</v>
      </c>
      <c r="C63" s="531"/>
      <c r="D63" s="544" t="s">
        <v>148</v>
      </c>
      <c r="E63" s="530" t="s">
        <v>731</v>
      </c>
      <c r="F63" s="533">
        <f>F64</f>
        <v>3000000</v>
      </c>
      <c r="G63" s="534" t="str">
        <f>G64</f>
        <v>x</v>
      </c>
      <c r="H63" s="533">
        <f>H64</f>
        <v>3000000</v>
      </c>
      <c r="I63" s="533">
        <f>I64</f>
        <v>3000000</v>
      </c>
      <c r="J63" s="533">
        <f>J64</f>
        <v>0</v>
      </c>
      <c r="K63" s="530" t="s">
        <v>731</v>
      </c>
    </row>
    <row r="64" spans="1:11" s="541" customFormat="1" ht="25.5">
      <c r="A64" s="536">
        <v>34</v>
      </c>
      <c r="B64" s="537"/>
      <c r="C64" s="537" t="s">
        <v>916</v>
      </c>
      <c r="D64" s="538" t="s">
        <v>917</v>
      </c>
      <c r="E64" s="536">
        <v>2022</v>
      </c>
      <c r="F64" s="539">
        <v>3000000</v>
      </c>
      <c r="G64" s="540" t="s">
        <v>731</v>
      </c>
      <c r="H64" s="539">
        <f>I64+J64</f>
        <v>3000000</v>
      </c>
      <c r="I64" s="539">
        <v>3000000</v>
      </c>
      <c r="J64" s="539">
        <v>0</v>
      </c>
      <c r="K64" s="538" t="s">
        <v>771</v>
      </c>
    </row>
    <row r="65" spans="1:11" s="541" customFormat="1">
      <c r="A65" s="536"/>
      <c r="B65" s="537"/>
      <c r="C65" s="537"/>
      <c r="D65" s="538"/>
      <c r="E65" s="536"/>
      <c r="F65" s="539"/>
      <c r="G65" s="540"/>
      <c r="H65" s="539"/>
      <c r="I65" s="539"/>
      <c r="J65" s="539"/>
      <c r="K65" s="543"/>
    </row>
    <row r="66" spans="1:11" s="535" customFormat="1" ht="15.75">
      <c r="A66" s="1058" t="s">
        <v>918</v>
      </c>
      <c r="B66" s="1058"/>
      <c r="C66" s="1058"/>
      <c r="D66" s="1058"/>
      <c r="E66" s="522" t="s">
        <v>731</v>
      </c>
      <c r="F66" s="545">
        <f>F19+F21+F34+F37+F39+F43+F45+F47+F49+F51+F53+F63</f>
        <v>85652011</v>
      </c>
      <c r="G66" s="546" t="s">
        <v>731</v>
      </c>
      <c r="H66" s="545">
        <f>H19+H21+H34+H37+H39+H43+H45+H47+H49+H51+H53+H63</f>
        <v>85652011</v>
      </c>
      <c r="I66" s="545">
        <f>I19+I21+I34+I37+I39+I43+I45+I47+I49+I51+I53+I63</f>
        <v>85652011</v>
      </c>
      <c r="J66" s="545">
        <f>J19+J21+J34+J37+J39+J43+J45+J47+J49+J51+J53+J63</f>
        <v>0</v>
      </c>
      <c r="K66" s="547" t="s">
        <v>731</v>
      </c>
    </row>
    <row r="67" spans="1:11" s="541" customFormat="1" ht="5.0999999999999996" customHeight="1">
      <c r="A67" s="1059"/>
      <c r="B67" s="1059"/>
      <c r="C67" s="1059"/>
      <c r="D67" s="1059"/>
      <c r="E67" s="1059"/>
      <c r="F67" s="1059"/>
      <c r="G67" s="1059"/>
      <c r="H67" s="1059"/>
      <c r="I67" s="1059"/>
      <c r="J67" s="1059"/>
      <c r="K67" s="1059"/>
    </row>
    <row r="68" spans="1:11" s="528" customFormat="1" ht="20.45" customHeight="1">
      <c r="A68" s="522" t="s">
        <v>919</v>
      </c>
      <c r="B68" s="1055" t="s">
        <v>920</v>
      </c>
      <c r="C68" s="1055"/>
      <c r="D68" s="1055"/>
      <c r="E68" s="1055"/>
      <c r="F68" s="1055"/>
      <c r="G68" s="1055"/>
      <c r="H68" s="1055"/>
      <c r="I68" s="1055"/>
      <c r="J68" s="1055"/>
      <c r="K68" s="1055"/>
    </row>
    <row r="69" spans="1:11" s="541" customFormat="1" ht="5.0999999999999996" customHeight="1">
      <c r="A69" s="536"/>
      <c r="B69" s="537"/>
      <c r="C69" s="537"/>
      <c r="D69" s="538"/>
      <c r="E69" s="536"/>
      <c r="F69" s="539"/>
      <c r="G69" s="540"/>
      <c r="H69" s="539"/>
      <c r="I69" s="539"/>
      <c r="J69" s="539"/>
      <c r="K69" s="543"/>
    </row>
    <row r="70" spans="1:11" s="535" customFormat="1" ht="19.899999999999999" customHeight="1">
      <c r="A70" s="530"/>
      <c r="B70" s="531" t="s">
        <v>23</v>
      </c>
      <c r="C70" s="531"/>
      <c r="D70" s="532" t="s">
        <v>24</v>
      </c>
      <c r="E70" s="530" t="s">
        <v>731</v>
      </c>
      <c r="F70" s="533">
        <f>F71+F72+F73+F74+F75+F76+F77+F78+F79+F80+F81+F82+F83+F84+F85+F86+F87+F88+F89+F90+F91</f>
        <v>403451719</v>
      </c>
      <c r="G70" s="533">
        <f>G71+G72+G73+G74+G75+G76+G77+G78+G79+G80+G81+G82+G83+G84+G85+G86+G87+G88+G89+G90+G91</f>
        <v>103209802</v>
      </c>
      <c r="H70" s="533">
        <f>H71+H72+H73+H74+H75+H76+H77+H78+H79+H80+H81+H82+H83+H84+H85+H86+H87+H88+H89+H90+H91</f>
        <v>118112214</v>
      </c>
      <c r="I70" s="533">
        <f>I71+I72+I73+I74+I75+I76+I77+I78+I79+I80+I81+I82+I83+I84+I85+I86+I87+I88+I89+I90+I91</f>
        <v>74101482</v>
      </c>
      <c r="J70" s="533">
        <f>J71+J72+J73+J74+J75+J76+J77+J78+J79+J80+J81+J82+J83+J84+J85+J86+J87+J88+J89+J90+J91</f>
        <v>44010732</v>
      </c>
      <c r="K70" s="530" t="s">
        <v>731</v>
      </c>
    </row>
    <row r="71" spans="1:11" s="541" customFormat="1">
      <c r="A71" s="536">
        <v>1</v>
      </c>
      <c r="B71" s="537"/>
      <c r="C71" s="537" t="s">
        <v>421</v>
      </c>
      <c r="D71" s="538" t="s">
        <v>921</v>
      </c>
      <c r="E71" s="536" t="s">
        <v>922</v>
      </c>
      <c r="F71" s="539">
        <v>11070000</v>
      </c>
      <c r="G71" s="542">
        <v>100000</v>
      </c>
      <c r="H71" s="539">
        <f t="shared" ref="H71:H91" si="2">I71+J71</f>
        <v>10970000</v>
      </c>
      <c r="I71" s="539">
        <v>10970000</v>
      </c>
      <c r="J71" s="539">
        <v>0</v>
      </c>
      <c r="K71" s="538" t="s">
        <v>771</v>
      </c>
    </row>
    <row r="72" spans="1:11" s="541" customFormat="1" ht="38.25">
      <c r="A72" s="536">
        <v>2</v>
      </c>
      <c r="B72" s="537"/>
      <c r="C72" s="537" t="s">
        <v>369</v>
      </c>
      <c r="D72" s="538" t="s">
        <v>923</v>
      </c>
      <c r="E72" s="536" t="s">
        <v>924</v>
      </c>
      <c r="F72" s="539">
        <v>66027300</v>
      </c>
      <c r="G72" s="542">
        <f>774385+10746026+21524618+31982271</f>
        <v>65027300</v>
      </c>
      <c r="H72" s="539">
        <f t="shared" si="2"/>
        <v>1000000</v>
      </c>
      <c r="I72" s="539">
        <v>1000000</v>
      </c>
      <c r="J72" s="539">
        <v>0</v>
      </c>
      <c r="K72" s="538" t="s">
        <v>925</v>
      </c>
    </row>
    <row r="73" spans="1:11" s="541" customFormat="1" ht="63.75">
      <c r="A73" s="536">
        <v>3</v>
      </c>
      <c r="B73" s="537"/>
      <c r="C73" s="537" t="s">
        <v>369</v>
      </c>
      <c r="D73" s="538" t="s">
        <v>926</v>
      </c>
      <c r="E73" s="536" t="s">
        <v>655</v>
      </c>
      <c r="F73" s="539">
        <v>1000000</v>
      </c>
      <c r="G73" s="542">
        <v>40221</v>
      </c>
      <c r="H73" s="539">
        <f t="shared" si="2"/>
        <v>959779</v>
      </c>
      <c r="I73" s="539">
        <v>959779</v>
      </c>
      <c r="J73" s="539">
        <v>0</v>
      </c>
      <c r="K73" s="538" t="s">
        <v>925</v>
      </c>
    </row>
    <row r="74" spans="1:11" s="541" customFormat="1" ht="25.5">
      <c r="A74" s="536">
        <v>4</v>
      </c>
      <c r="B74" s="537"/>
      <c r="C74" s="537" t="s">
        <v>369</v>
      </c>
      <c r="D74" s="538" t="s">
        <v>927</v>
      </c>
      <c r="E74" s="536" t="s">
        <v>928</v>
      </c>
      <c r="F74" s="539">
        <v>196200000</v>
      </c>
      <c r="G74" s="542">
        <f>142214+1038844</f>
        <v>1181058</v>
      </c>
      <c r="H74" s="539">
        <f t="shared" si="2"/>
        <v>41891542</v>
      </c>
      <c r="I74" s="539">
        <v>0</v>
      </c>
      <c r="J74" s="539">
        <v>41891542</v>
      </c>
      <c r="K74" s="538" t="s">
        <v>925</v>
      </c>
    </row>
    <row r="75" spans="1:11" s="541" customFormat="1" ht="41.25" customHeight="1">
      <c r="A75" s="536">
        <v>5</v>
      </c>
      <c r="B75" s="537"/>
      <c r="C75" s="537" t="s">
        <v>369</v>
      </c>
      <c r="D75" s="538" t="s">
        <v>929</v>
      </c>
      <c r="E75" s="536" t="s">
        <v>930</v>
      </c>
      <c r="F75" s="539">
        <v>11538750</v>
      </c>
      <c r="G75" s="542">
        <v>0</v>
      </c>
      <c r="H75" s="539">
        <f t="shared" si="2"/>
        <v>6538750</v>
      </c>
      <c r="I75" s="539">
        <v>5538750</v>
      </c>
      <c r="J75" s="539">
        <v>1000000</v>
      </c>
      <c r="K75" s="538" t="s">
        <v>925</v>
      </c>
    </row>
    <row r="76" spans="1:11" s="541" customFormat="1" ht="63.75">
      <c r="A76" s="536">
        <v>6</v>
      </c>
      <c r="B76" s="537"/>
      <c r="C76" s="537" t="s">
        <v>369</v>
      </c>
      <c r="D76" s="548" t="s">
        <v>931</v>
      </c>
      <c r="E76" s="536" t="s">
        <v>932</v>
      </c>
      <c r="F76" s="539">
        <v>6103240</v>
      </c>
      <c r="G76" s="542">
        <v>0</v>
      </c>
      <c r="H76" s="539">
        <f t="shared" si="2"/>
        <v>300000</v>
      </c>
      <c r="I76" s="539">
        <v>180810</v>
      </c>
      <c r="J76" s="539">
        <v>119190</v>
      </c>
      <c r="K76" s="538" t="s">
        <v>925</v>
      </c>
    </row>
    <row r="77" spans="1:11" s="541" customFormat="1" ht="40.5" customHeight="1">
      <c r="A77" s="536">
        <v>7</v>
      </c>
      <c r="B77" s="537"/>
      <c r="C77" s="537" t="s">
        <v>369</v>
      </c>
      <c r="D77" s="538" t="s">
        <v>933</v>
      </c>
      <c r="E77" s="536" t="s">
        <v>922</v>
      </c>
      <c r="F77" s="539">
        <v>5200000</v>
      </c>
      <c r="G77" s="542">
        <v>4000000</v>
      </c>
      <c r="H77" s="539">
        <f t="shared" si="2"/>
        <v>1200000</v>
      </c>
      <c r="I77" s="539">
        <v>1200000</v>
      </c>
      <c r="J77" s="539">
        <v>0</v>
      </c>
      <c r="K77" s="538" t="s">
        <v>925</v>
      </c>
    </row>
    <row r="78" spans="1:11" s="541" customFormat="1" ht="40.5" customHeight="1">
      <c r="A78" s="536">
        <v>8</v>
      </c>
      <c r="B78" s="537"/>
      <c r="C78" s="537" t="s">
        <v>369</v>
      </c>
      <c r="D78" s="538" t="s">
        <v>934</v>
      </c>
      <c r="E78" s="536" t="s">
        <v>922</v>
      </c>
      <c r="F78" s="539">
        <v>26175000</v>
      </c>
      <c r="G78" s="542">
        <v>7843000</v>
      </c>
      <c r="H78" s="539">
        <f t="shared" si="2"/>
        <v>18332000</v>
      </c>
      <c r="I78" s="539">
        <v>18332000</v>
      </c>
      <c r="J78" s="539">
        <v>0</v>
      </c>
      <c r="K78" s="538" t="s">
        <v>925</v>
      </c>
    </row>
    <row r="79" spans="1:11" s="541" customFormat="1" ht="27.75" customHeight="1">
      <c r="A79" s="536">
        <v>9</v>
      </c>
      <c r="B79" s="537"/>
      <c r="C79" s="537" t="s">
        <v>369</v>
      </c>
      <c r="D79" s="538" t="s">
        <v>935</v>
      </c>
      <c r="E79" s="536" t="s">
        <v>930</v>
      </c>
      <c r="F79" s="539">
        <v>3000000</v>
      </c>
      <c r="G79" s="542">
        <f>0</f>
        <v>0</v>
      </c>
      <c r="H79" s="539">
        <f t="shared" si="2"/>
        <v>1500000</v>
      </c>
      <c r="I79" s="539">
        <v>1500000</v>
      </c>
      <c r="J79" s="539"/>
      <c r="K79" s="538" t="s">
        <v>925</v>
      </c>
    </row>
    <row r="80" spans="1:11" s="541" customFormat="1" ht="107.25" customHeight="1">
      <c r="A80" s="536">
        <v>10</v>
      </c>
      <c r="B80" s="537"/>
      <c r="C80" s="537" t="s">
        <v>369</v>
      </c>
      <c r="D80" s="548" t="s">
        <v>936</v>
      </c>
      <c r="E80" s="536" t="s">
        <v>922</v>
      </c>
      <c r="F80" s="539">
        <v>12000000</v>
      </c>
      <c r="G80" s="542">
        <v>4000000</v>
      </c>
      <c r="H80" s="539">
        <f t="shared" si="2"/>
        <v>8000000</v>
      </c>
      <c r="I80" s="539">
        <v>8000000</v>
      </c>
      <c r="J80" s="539">
        <v>0</v>
      </c>
      <c r="K80" s="538" t="s">
        <v>925</v>
      </c>
    </row>
    <row r="81" spans="1:11" s="541" customFormat="1" ht="39.75" customHeight="1">
      <c r="A81" s="536">
        <v>11</v>
      </c>
      <c r="B81" s="537"/>
      <c r="C81" s="537" t="s">
        <v>369</v>
      </c>
      <c r="D81" s="543" t="s">
        <v>937</v>
      </c>
      <c r="E81" s="536" t="s">
        <v>930</v>
      </c>
      <c r="F81" s="539">
        <v>9350000</v>
      </c>
      <c r="G81" s="542">
        <v>0</v>
      </c>
      <c r="H81" s="539">
        <f t="shared" si="2"/>
        <v>7350000</v>
      </c>
      <c r="I81" s="539">
        <v>7350000</v>
      </c>
      <c r="J81" s="539">
        <v>0</v>
      </c>
      <c r="K81" s="538" t="s">
        <v>925</v>
      </c>
    </row>
    <row r="82" spans="1:11" s="541" customFormat="1" ht="25.5">
      <c r="A82" s="536">
        <v>12</v>
      </c>
      <c r="B82" s="537"/>
      <c r="C82" s="537" t="s">
        <v>369</v>
      </c>
      <c r="D82" s="543" t="s">
        <v>938</v>
      </c>
      <c r="E82" s="536" t="s">
        <v>922</v>
      </c>
      <c r="F82" s="539">
        <v>8150000</v>
      </c>
      <c r="G82" s="542">
        <v>3500000</v>
      </c>
      <c r="H82" s="539">
        <f t="shared" si="2"/>
        <v>4650000</v>
      </c>
      <c r="I82" s="539">
        <v>4650000</v>
      </c>
      <c r="J82" s="539">
        <v>0</v>
      </c>
      <c r="K82" s="538" t="s">
        <v>925</v>
      </c>
    </row>
    <row r="83" spans="1:11" s="541" customFormat="1" ht="15" customHeight="1">
      <c r="A83" s="536">
        <v>13</v>
      </c>
      <c r="B83" s="537"/>
      <c r="C83" s="537" t="s">
        <v>369</v>
      </c>
      <c r="D83" s="543" t="s">
        <v>939</v>
      </c>
      <c r="E83" s="536" t="s">
        <v>922</v>
      </c>
      <c r="F83" s="539">
        <v>2010000</v>
      </c>
      <c r="G83" s="542">
        <v>1510000</v>
      </c>
      <c r="H83" s="539">
        <f t="shared" si="2"/>
        <v>500000</v>
      </c>
      <c r="I83" s="539">
        <v>500000</v>
      </c>
      <c r="J83" s="539">
        <v>0</v>
      </c>
      <c r="K83" s="538" t="s">
        <v>925</v>
      </c>
    </row>
    <row r="84" spans="1:11" s="541" customFormat="1">
      <c r="A84" s="536">
        <v>14</v>
      </c>
      <c r="B84" s="537"/>
      <c r="C84" s="537" t="s">
        <v>369</v>
      </c>
      <c r="D84" s="543" t="s">
        <v>940</v>
      </c>
      <c r="E84" s="536" t="s">
        <v>922</v>
      </c>
      <c r="F84" s="539">
        <v>400000</v>
      </c>
      <c r="G84" s="542">
        <v>0</v>
      </c>
      <c r="H84" s="539">
        <f t="shared" si="2"/>
        <v>400000</v>
      </c>
      <c r="I84" s="539">
        <v>400000</v>
      </c>
      <c r="J84" s="539">
        <v>0</v>
      </c>
      <c r="K84" s="538" t="s">
        <v>925</v>
      </c>
    </row>
    <row r="85" spans="1:11" s="541" customFormat="1" ht="51">
      <c r="A85" s="536">
        <v>15</v>
      </c>
      <c r="B85" s="537"/>
      <c r="C85" s="537" t="s">
        <v>369</v>
      </c>
      <c r="D85" s="543" t="s">
        <v>941</v>
      </c>
      <c r="E85" s="536" t="s">
        <v>922</v>
      </c>
      <c r="F85" s="539">
        <v>1000000</v>
      </c>
      <c r="G85" s="542">
        <v>0</v>
      </c>
      <c r="H85" s="539">
        <f t="shared" si="2"/>
        <v>1000000</v>
      </c>
      <c r="I85" s="539">
        <v>0</v>
      </c>
      <c r="J85" s="539">
        <v>1000000</v>
      </c>
      <c r="K85" s="538" t="s">
        <v>925</v>
      </c>
    </row>
    <row r="86" spans="1:11" s="541" customFormat="1" ht="39" customHeight="1">
      <c r="A86" s="536">
        <v>16</v>
      </c>
      <c r="B86" s="537"/>
      <c r="C86" s="537" t="s">
        <v>369</v>
      </c>
      <c r="D86" s="543" t="s">
        <v>942</v>
      </c>
      <c r="E86" s="536" t="s">
        <v>930</v>
      </c>
      <c r="F86" s="539">
        <v>10200000</v>
      </c>
      <c r="G86" s="542">
        <v>0</v>
      </c>
      <c r="H86" s="539">
        <f t="shared" si="2"/>
        <v>5200000</v>
      </c>
      <c r="I86" s="539">
        <v>5200000</v>
      </c>
      <c r="J86" s="539">
        <v>0</v>
      </c>
      <c r="K86" s="538" t="s">
        <v>925</v>
      </c>
    </row>
    <row r="87" spans="1:11" s="541" customFormat="1" ht="40.5" customHeight="1">
      <c r="A87" s="536">
        <v>17</v>
      </c>
      <c r="B87" s="537"/>
      <c r="C87" s="537" t="s">
        <v>369</v>
      </c>
      <c r="D87" s="538" t="s">
        <v>943</v>
      </c>
      <c r="E87" s="536" t="s">
        <v>944</v>
      </c>
      <c r="F87" s="539">
        <v>1750000</v>
      </c>
      <c r="G87" s="542">
        <v>0</v>
      </c>
      <c r="H87" s="539">
        <f t="shared" si="2"/>
        <v>875000</v>
      </c>
      <c r="I87" s="539">
        <v>875000</v>
      </c>
      <c r="J87" s="539">
        <v>0</v>
      </c>
      <c r="K87" s="538" t="s">
        <v>771</v>
      </c>
    </row>
    <row r="88" spans="1:11" s="541" customFormat="1" ht="66.75" customHeight="1">
      <c r="A88" s="536">
        <v>18</v>
      </c>
      <c r="B88" s="537"/>
      <c r="C88" s="537" t="s">
        <v>369</v>
      </c>
      <c r="D88" s="543" t="s">
        <v>945</v>
      </c>
      <c r="E88" s="536" t="s">
        <v>922</v>
      </c>
      <c r="F88" s="539">
        <v>45654</v>
      </c>
      <c r="G88" s="542">
        <v>25110</v>
      </c>
      <c r="H88" s="539">
        <f t="shared" si="2"/>
        <v>20544</v>
      </c>
      <c r="I88" s="539">
        <v>20544</v>
      </c>
      <c r="J88" s="539">
        <v>0</v>
      </c>
      <c r="K88" s="538" t="s">
        <v>771</v>
      </c>
    </row>
    <row r="89" spans="1:11" s="541" customFormat="1" ht="82.5" customHeight="1">
      <c r="A89" s="536">
        <v>19</v>
      </c>
      <c r="B89" s="537"/>
      <c r="C89" s="537" t="s">
        <v>424</v>
      </c>
      <c r="D89" s="538" t="s">
        <v>946</v>
      </c>
      <c r="E89" s="536" t="s">
        <v>947</v>
      </c>
      <c r="F89" s="539">
        <v>19577099</v>
      </c>
      <c r="G89" s="542">
        <f>907653+5584150+4685296+4800000</f>
        <v>15977099</v>
      </c>
      <c r="H89" s="539">
        <f t="shared" si="2"/>
        <v>3600000</v>
      </c>
      <c r="I89" s="539">
        <v>3600000</v>
      </c>
      <c r="J89" s="539">
        <v>0</v>
      </c>
      <c r="K89" s="538" t="s">
        <v>771</v>
      </c>
    </row>
    <row r="90" spans="1:11" s="541" customFormat="1" ht="67.5" customHeight="1">
      <c r="A90" s="536">
        <v>20</v>
      </c>
      <c r="B90" s="537"/>
      <c r="C90" s="537" t="s">
        <v>880</v>
      </c>
      <c r="D90" s="543" t="s">
        <v>948</v>
      </c>
      <c r="E90" s="536" t="s">
        <v>949</v>
      </c>
      <c r="F90" s="539">
        <v>150000</v>
      </c>
      <c r="G90" s="542">
        <v>0</v>
      </c>
      <c r="H90" s="539">
        <f t="shared" si="2"/>
        <v>75000</v>
      </c>
      <c r="I90" s="539">
        <v>75000</v>
      </c>
      <c r="J90" s="539">
        <v>0</v>
      </c>
      <c r="K90" s="538" t="s">
        <v>771</v>
      </c>
    </row>
    <row r="91" spans="1:11" s="541" customFormat="1">
      <c r="A91" s="536">
        <v>21</v>
      </c>
      <c r="B91" s="537"/>
      <c r="C91" s="537" t="s">
        <v>425</v>
      </c>
      <c r="D91" s="543" t="s">
        <v>950</v>
      </c>
      <c r="E91" s="536" t="s">
        <v>951</v>
      </c>
      <c r="F91" s="539">
        <v>12504676</v>
      </c>
      <c r="G91" s="542">
        <f>6014</f>
        <v>6014</v>
      </c>
      <c r="H91" s="539">
        <f t="shared" si="2"/>
        <v>3749599</v>
      </c>
      <c r="I91" s="539">
        <v>3749599</v>
      </c>
      <c r="J91" s="539">
        <v>0</v>
      </c>
      <c r="K91" s="538" t="s">
        <v>900</v>
      </c>
    </row>
    <row r="92" spans="1:11" s="535" customFormat="1" ht="19.899999999999999" customHeight="1">
      <c r="A92" s="530"/>
      <c r="B92" s="531" t="s">
        <v>25</v>
      </c>
      <c r="C92" s="531"/>
      <c r="D92" s="532" t="s">
        <v>26</v>
      </c>
      <c r="E92" s="530" t="s">
        <v>731</v>
      </c>
      <c r="F92" s="533">
        <f>F93+F94</f>
        <v>520586</v>
      </c>
      <c r="G92" s="533">
        <f>G93+G94</f>
        <v>116980</v>
      </c>
      <c r="H92" s="533">
        <f>H93+H94</f>
        <v>33640</v>
      </c>
      <c r="I92" s="533">
        <f>I93+I94</f>
        <v>33640</v>
      </c>
      <c r="J92" s="533">
        <f>J93+J94</f>
        <v>0</v>
      </c>
      <c r="K92" s="530" t="s">
        <v>731</v>
      </c>
    </row>
    <row r="93" spans="1:11" s="541" customFormat="1" ht="38.25">
      <c r="A93" s="536">
        <v>22</v>
      </c>
      <c r="B93" s="537"/>
      <c r="C93" s="537" t="s">
        <v>429</v>
      </c>
      <c r="D93" s="538" t="s">
        <v>952</v>
      </c>
      <c r="E93" s="536" t="s">
        <v>953</v>
      </c>
      <c r="F93" s="539">
        <v>339600</v>
      </c>
      <c r="G93" s="542">
        <f>3780+22640+22640+22640+22640+22640</f>
        <v>116980</v>
      </c>
      <c r="H93" s="539">
        <f>I93+J93</f>
        <v>22640</v>
      </c>
      <c r="I93" s="539">
        <v>22640</v>
      </c>
      <c r="J93" s="539">
        <v>0</v>
      </c>
      <c r="K93" s="538" t="s">
        <v>771</v>
      </c>
    </row>
    <row r="94" spans="1:11" s="541" customFormat="1" ht="25.5">
      <c r="A94" s="536">
        <v>23</v>
      </c>
      <c r="B94" s="537"/>
      <c r="C94" s="537" t="s">
        <v>429</v>
      </c>
      <c r="D94" s="538" t="s">
        <v>954</v>
      </c>
      <c r="E94" s="536" t="s">
        <v>930</v>
      </c>
      <c r="F94" s="539">
        <v>180986</v>
      </c>
      <c r="G94" s="542">
        <v>0</v>
      </c>
      <c r="H94" s="539">
        <f>I94+J94</f>
        <v>11000</v>
      </c>
      <c r="I94" s="539">
        <v>11000</v>
      </c>
      <c r="J94" s="539">
        <v>0</v>
      </c>
      <c r="K94" s="538" t="s">
        <v>771</v>
      </c>
    </row>
    <row r="95" spans="1:11" s="535" customFormat="1" ht="18.600000000000001" customHeight="1">
      <c r="A95" s="530"/>
      <c r="B95" s="531" t="s">
        <v>85</v>
      </c>
      <c r="C95" s="531"/>
      <c r="D95" s="532" t="s">
        <v>86</v>
      </c>
      <c r="E95" s="530" t="s">
        <v>731</v>
      </c>
      <c r="F95" s="549">
        <f>F96</f>
        <v>914225</v>
      </c>
      <c r="G95" s="549">
        <f>G96</f>
        <v>654783</v>
      </c>
      <c r="H95" s="549">
        <f>H96</f>
        <v>259442</v>
      </c>
      <c r="I95" s="549">
        <f>I96</f>
        <v>259442</v>
      </c>
      <c r="J95" s="549">
        <f>J96</f>
        <v>0</v>
      </c>
      <c r="K95" s="550" t="s">
        <v>731</v>
      </c>
    </row>
    <row r="96" spans="1:11" s="541" customFormat="1" ht="25.5">
      <c r="A96" s="536">
        <v>24</v>
      </c>
      <c r="B96" s="537"/>
      <c r="C96" s="537" t="s">
        <v>434</v>
      </c>
      <c r="D96" s="538" t="s">
        <v>955</v>
      </c>
      <c r="E96" s="536" t="s">
        <v>924</v>
      </c>
      <c r="F96" s="539">
        <v>914225</v>
      </c>
      <c r="G96" s="542">
        <f>17553+97009+74015+466206</f>
        <v>654783</v>
      </c>
      <c r="H96" s="539">
        <f>I96+J96</f>
        <v>259442</v>
      </c>
      <c r="I96" s="539">
        <v>259442</v>
      </c>
      <c r="J96" s="539">
        <v>0</v>
      </c>
      <c r="K96" s="538" t="s">
        <v>771</v>
      </c>
    </row>
    <row r="97" spans="1:11" s="535" customFormat="1" ht="19.899999999999999" customHeight="1">
      <c r="A97" s="530"/>
      <c r="B97" s="531" t="s">
        <v>87</v>
      </c>
      <c r="C97" s="531"/>
      <c r="D97" s="532" t="s">
        <v>88</v>
      </c>
      <c r="E97" s="530" t="s">
        <v>731</v>
      </c>
      <c r="F97" s="533">
        <f>F98</f>
        <v>9100214</v>
      </c>
      <c r="G97" s="533">
        <f>G98</f>
        <v>4445937</v>
      </c>
      <c r="H97" s="533">
        <f>H98</f>
        <v>4654277</v>
      </c>
      <c r="I97" s="533">
        <f>I98</f>
        <v>4654277</v>
      </c>
      <c r="J97" s="533">
        <f>J98</f>
        <v>0</v>
      </c>
      <c r="K97" s="530" t="s">
        <v>731</v>
      </c>
    </row>
    <row r="98" spans="1:11" s="541" customFormat="1" ht="38.25">
      <c r="A98" s="536">
        <v>25</v>
      </c>
      <c r="B98" s="537"/>
      <c r="C98" s="537" t="s">
        <v>436</v>
      </c>
      <c r="D98" s="538" t="s">
        <v>956</v>
      </c>
      <c r="E98" s="536" t="s">
        <v>924</v>
      </c>
      <c r="F98" s="539">
        <v>9100214</v>
      </c>
      <c r="G98" s="542">
        <f>15000+202781+79399+4148757</f>
        <v>4445937</v>
      </c>
      <c r="H98" s="539">
        <f>I98+J98</f>
        <v>4654277</v>
      </c>
      <c r="I98" s="539">
        <v>4654277</v>
      </c>
      <c r="J98" s="539">
        <v>0</v>
      </c>
      <c r="K98" s="538" t="s">
        <v>771</v>
      </c>
    </row>
    <row r="99" spans="1:11" s="535" customFormat="1" ht="21" customHeight="1">
      <c r="A99" s="530"/>
      <c r="B99" s="531" t="s">
        <v>29</v>
      </c>
      <c r="C99" s="531"/>
      <c r="D99" s="532" t="s">
        <v>30</v>
      </c>
      <c r="E99" s="530" t="s">
        <v>731</v>
      </c>
      <c r="F99" s="533">
        <f>F100</f>
        <v>27625259</v>
      </c>
      <c r="G99" s="533">
        <f>G100</f>
        <v>6625259</v>
      </c>
      <c r="H99" s="533">
        <f>H100</f>
        <v>5000000</v>
      </c>
      <c r="I99" s="533">
        <f>I100</f>
        <v>5000000</v>
      </c>
      <c r="J99" s="533">
        <f>J100</f>
        <v>0</v>
      </c>
      <c r="K99" s="530" t="s">
        <v>731</v>
      </c>
    </row>
    <row r="100" spans="1:11" s="541" customFormat="1" ht="25.5">
      <c r="A100" s="536">
        <v>26</v>
      </c>
      <c r="B100" s="537"/>
      <c r="C100" s="537" t="s">
        <v>438</v>
      </c>
      <c r="D100" s="538" t="s">
        <v>957</v>
      </c>
      <c r="E100" s="536" t="s">
        <v>958</v>
      </c>
      <c r="F100" s="539">
        <v>27625259</v>
      </c>
      <c r="G100" s="542">
        <v>6625259</v>
      </c>
      <c r="H100" s="539">
        <f>I100+J100</f>
        <v>5000000</v>
      </c>
      <c r="I100" s="539">
        <v>5000000</v>
      </c>
      <c r="J100" s="539">
        <v>0</v>
      </c>
      <c r="K100" s="538" t="s">
        <v>771</v>
      </c>
    </row>
    <row r="101" spans="1:11" s="535" customFormat="1" ht="21" customHeight="1">
      <c r="A101" s="530"/>
      <c r="B101" s="531" t="s">
        <v>33</v>
      </c>
      <c r="C101" s="531"/>
      <c r="D101" s="532" t="s">
        <v>34</v>
      </c>
      <c r="E101" s="530" t="s">
        <v>731</v>
      </c>
      <c r="F101" s="533">
        <f>F102</f>
        <v>7500000</v>
      </c>
      <c r="G101" s="533">
        <f>G102</f>
        <v>0</v>
      </c>
      <c r="H101" s="533">
        <f>H102</f>
        <v>750000</v>
      </c>
      <c r="I101" s="533">
        <f>I102</f>
        <v>750000</v>
      </c>
      <c r="J101" s="533">
        <f>J102</f>
        <v>0</v>
      </c>
      <c r="K101" s="530" t="s">
        <v>731</v>
      </c>
    </row>
    <row r="102" spans="1:11" s="541" customFormat="1">
      <c r="A102" s="536">
        <v>27</v>
      </c>
      <c r="B102" s="537"/>
      <c r="C102" s="537" t="s">
        <v>458</v>
      </c>
      <c r="D102" s="538" t="s">
        <v>959</v>
      </c>
      <c r="E102" s="536" t="s">
        <v>960</v>
      </c>
      <c r="F102" s="539">
        <v>7500000</v>
      </c>
      <c r="G102" s="542">
        <v>0</v>
      </c>
      <c r="H102" s="539">
        <f>I102+J102</f>
        <v>750000</v>
      </c>
      <c r="I102" s="539">
        <v>750000</v>
      </c>
      <c r="J102" s="539">
        <v>0</v>
      </c>
      <c r="K102" s="538" t="s">
        <v>771</v>
      </c>
    </row>
    <row r="103" spans="1:11" s="535" customFormat="1">
      <c r="A103" s="530"/>
      <c r="B103" s="531" t="s">
        <v>40</v>
      </c>
      <c r="C103" s="531"/>
      <c r="D103" s="544" t="s">
        <v>41</v>
      </c>
      <c r="E103" s="530" t="s">
        <v>731</v>
      </c>
      <c r="F103" s="533">
        <f>F104+F105+F106+F107+F108+F109+F110+F111</f>
        <v>139388937</v>
      </c>
      <c r="G103" s="533">
        <f>G104+G105+G106+G107+G108+G109+G110+G111</f>
        <v>21192504</v>
      </c>
      <c r="H103" s="533">
        <f>H104+H105+H106+H107+H108+H109+H110+H111</f>
        <v>49117007</v>
      </c>
      <c r="I103" s="533">
        <f>I104+I105+I106+I107+I108+I109+I110+I111</f>
        <v>35719631</v>
      </c>
      <c r="J103" s="533">
        <f>J104+J105+J106+J107+J108+J109+J110+J111</f>
        <v>13397376</v>
      </c>
      <c r="K103" s="530" t="s">
        <v>731</v>
      </c>
    </row>
    <row r="104" spans="1:11" s="541" customFormat="1" ht="76.5">
      <c r="A104" s="536">
        <v>28</v>
      </c>
      <c r="B104" s="537"/>
      <c r="C104" s="537" t="s">
        <v>899</v>
      </c>
      <c r="D104" s="538" t="s">
        <v>961</v>
      </c>
      <c r="E104" s="536" t="s">
        <v>944</v>
      </c>
      <c r="F104" s="539">
        <v>7597266</v>
      </c>
      <c r="G104" s="542">
        <v>1312760</v>
      </c>
      <c r="H104" s="539">
        <f t="shared" ref="H104:H111" si="3">I104+J104</f>
        <v>3602928</v>
      </c>
      <c r="I104" s="539">
        <v>3602928</v>
      </c>
      <c r="J104" s="539">
        <v>0</v>
      </c>
      <c r="K104" s="543" t="s">
        <v>962</v>
      </c>
    </row>
    <row r="105" spans="1:11" s="541" customFormat="1" ht="25.5">
      <c r="A105" s="536">
        <v>29</v>
      </c>
      <c r="B105" s="537"/>
      <c r="C105" s="537" t="s">
        <v>899</v>
      </c>
      <c r="D105" s="538" t="s">
        <v>963</v>
      </c>
      <c r="E105" s="536" t="s">
        <v>964</v>
      </c>
      <c r="F105" s="539">
        <v>6883153</v>
      </c>
      <c r="G105" s="542">
        <f>12300+110700+1005427+3024677+2398251+99970+203313</f>
        <v>6854638</v>
      </c>
      <c r="H105" s="539">
        <f t="shared" si="3"/>
        <v>28515</v>
      </c>
      <c r="I105" s="539">
        <v>28515</v>
      </c>
      <c r="J105" s="539">
        <v>0</v>
      </c>
      <c r="K105" s="543" t="s">
        <v>962</v>
      </c>
    </row>
    <row r="106" spans="1:11" s="541" customFormat="1">
      <c r="A106" s="536">
        <v>30</v>
      </c>
      <c r="B106" s="537"/>
      <c r="C106" s="537" t="s">
        <v>899</v>
      </c>
      <c r="D106" s="538" t="s">
        <v>965</v>
      </c>
      <c r="E106" s="536" t="s">
        <v>951</v>
      </c>
      <c r="F106" s="539">
        <v>89358814</v>
      </c>
      <c r="G106" s="542">
        <f>42972</f>
        <v>42972</v>
      </c>
      <c r="H106" s="539">
        <f t="shared" si="3"/>
        <v>26794752</v>
      </c>
      <c r="I106" s="539">
        <v>13397376</v>
      </c>
      <c r="J106" s="539">
        <v>13397376</v>
      </c>
      <c r="K106" s="538" t="s">
        <v>900</v>
      </c>
    </row>
    <row r="107" spans="1:11" s="541" customFormat="1" ht="68.25" customHeight="1">
      <c r="A107" s="536">
        <v>31</v>
      </c>
      <c r="B107" s="537"/>
      <c r="C107" s="537" t="s">
        <v>899</v>
      </c>
      <c r="D107" s="538" t="s">
        <v>966</v>
      </c>
      <c r="E107" s="536" t="s">
        <v>967</v>
      </c>
      <c r="F107" s="539">
        <v>15713303</v>
      </c>
      <c r="G107" s="542">
        <f>480234+3531878+4476455</f>
        <v>8488567</v>
      </c>
      <c r="H107" s="539">
        <f t="shared" si="3"/>
        <v>7224736</v>
      </c>
      <c r="I107" s="539">
        <v>7224736</v>
      </c>
      <c r="J107" s="539">
        <v>0</v>
      </c>
      <c r="K107" s="543" t="s">
        <v>962</v>
      </c>
    </row>
    <row r="108" spans="1:11" s="541" customFormat="1" ht="27" customHeight="1">
      <c r="A108" s="536">
        <v>32</v>
      </c>
      <c r="B108" s="537"/>
      <c r="C108" s="537" t="s">
        <v>899</v>
      </c>
      <c r="D108" s="543" t="s">
        <v>968</v>
      </c>
      <c r="E108" s="536" t="s">
        <v>930</v>
      </c>
      <c r="F108" s="539">
        <v>882765</v>
      </c>
      <c r="G108" s="542">
        <v>2498</v>
      </c>
      <c r="H108" s="539">
        <f t="shared" si="3"/>
        <v>496267</v>
      </c>
      <c r="I108" s="539">
        <v>496267</v>
      </c>
      <c r="J108" s="539">
        <v>0</v>
      </c>
      <c r="K108" s="543" t="s">
        <v>962</v>
      </c>
    </row>
    <row r="109" spans="1:11" s="541" customFormat="1" ht="41.25" customHeight="1">
      <c r="A109" s="536">
        <v>33</v>
      </c>
      <c r="B109" s="537"/>
      <c r="C109" s="537" t="s">
        <v>899</v>
      </c>
      <c r="D109" s="543" t="s">
        <v>969</v>
      </c>
      <c r="E109" s="536" t="s">
        <v>970</v>
      </c>
      <c r="F109" s="539">
        <v>4412572</v>
      </c>
      <c r="G109" s="542">
        <f>1155000+1800</f>
        <v>1156800</v>
      </c>
      <c r="H109" s="539">
        <f t="shared" si="3"/>
        <v>1516402</v>
      </c>
      <c r="I109" s="539">
        <v>1516402</v>
      </c>
      <c r="J109" s="539">
        <v>0</v>
      </c>
      <c r="K109" s="543" t="s">
        <v>962</v>
      </c>
    </row>
    <row r="110" spans="1:11" s="541" customFormat="1" ht="25.5">
      <c r="A110" s="536">
        <v>34</v>
      </c>
      <c r="B110" s="537"/>
      <c r="C110" s="537" t="s">
        <v>905</v>
      </c>
      <c r="D110" s="543" t="s">
        <v>971</v>
      </c>
      <c r="E110" s="536" t="s">
        <v>972</v>
      </c>
      <c r="F110" s="539">
        <v>13651901</v>
      </c>
      <c r="G110" s="542">
        <f>180163+350000+376484+471197+1920475</f>
        <v>3298319</v>
      </c>
      <c r="H110" s="539">
        <f t="shared" si="3"/>
        <v>8600194</v>
      </c>
      <c r="I110" s="539">
        <v>8600194</v>
      </c>
      <c r="J110" s="539">
        <v>0</v>
      </c>
      <c r="K110" s="538" t="s">
        <v>973</v>
      </c>
    </row>
    <row r="111" spans="1:11" s="541" customFormat="1" ht="38.25">
      <c r="A111" s="536">
        <v>35</v>
      </c>
      <c r="B111" s="537"/>
      <c r="C111" s="537" t="s">
        <v>905</v>
      </c>
      <c r="D111" s="551" t="s">
        <v>974</v>
      </c>
      <c r="E111" s="536" t="s">
        <v>922</v>
      </c>
      <c r="F111" s="539">
        <v>889163</v>
      </c>
      <c r="G111" s="542">
        <v>35950</v>
      </c>
      <c r="H111" s="539">
        <f t="shared" si="3"/>
        <v>853213</v>
      </c>
      <c r="I111" s="539">
        <v>853213</v>
      </c>
      <c r="J111" s="539">
        <v>0</v>
      </c>
      <c r="K111" s="538" t="s">
        <v>975</v>
      </c>
    </row>
    <row r="112" spans="1:11" s="541" customFormat="1" ht="5.0999999999999996" customHeight="1">
      <c r="A112" s="536"/>
      <c r="B112" s="537"/>
      <c r="C112" s="537"/>
      <c r="D112" s="538"/>
      <c r="E112" s="536"/>
      <c r="F112" s="539"/>
      <c r="G112" s="542"/>
      <c r="H112" s="539"/>
      <c r="I112" s="539"/>
      <c r="J112" s="539"/>
      <c r="K112" s="543"/>
    </row>
    <row r="113" spans="1:11" s="535" customFormat="1" ht="15.75">
      <c r="A113" s="1058" t="s">
        <v>918</v>
      </c>
      <c r="B113" s="1058"/>
      <c r="C113" s="1058"/>
      <c r="D113" s="1058"/>
      <c r="E113" s="522" t="s">
        <v>731</v>
      </c>
      <c r="F113" s="545">
        <f>F70+F92+F95+F97+F99+F103+F101</f>
        <v>588500940</v>
      </c>
      <c r="G113" s="545">
        <f>G70+G92+G95+G97+G99+G103+G101</f>
        <v>136245265</v>
      </c>
      <c r="H113" s="545">
        <f>H70+H92+H95+H97+H99+H103+H101</f>
        <v>177926580</v>
      </c>
      <c r="I113" s="545">
        <f>I70+I92+I95+I97+I99+I103+I101</f>
        <v>120518472</v>
      </c>
      <c r="J113" s="545">
        <f>J70+J92+J95+J97+J99+J103+J101</f>
        <v>57408108</v>
      </c>
      <c r="K113" s="547" t="s">
        <v>731</v>
      </c>
    </row>
    <row r="114" spans="1:11" s="541" customFormat="1" ht="5.0999999999999996" customHeight="1">
      <c r="A114" s="1060"/>
      <c r="B114" s="1060"/>
      <c r="C114" s="1060"/>
      <c r="D114" s="1060"/>
      <c r="E114" s="1060"/>
      <c r="F114" s="1060"/>
      <c r="G114" s="1060"/>
      <c r="H114" s="1060"/>
      <c r="I114" s="1060"/>
      <c r="J114" s="1060"/>
      <c r="K114" s="1060"/>
    </row>
    <row r="115" spans="1:11" s="552" customFormat="1" ht="15.75">
      <c r="A115" s="522" t="s">
        <v>976</v>
      </c>
      <c r="B115" s="1055" t="s">
        <v>977</v>
      </c>
      <c r="C115" s="1055"/>
      <c r="D115" s="1055"/>
      <c r="E115" s="1055"/>
      <c r="F115" s="1055"/>
      <c r="G115" s="1055"/>
      <c r="H115" s="1055"/>
      <c r="I115" s="1055"/>
      <c r="J115" s="1055"/>
      <c r="K115" s="1055"/>
    </row>
    <row r="116" spans="1:11" s="535" customFormat="1" ht="5.0999999999999996" customHeight="1">
      <c r="A116" s="1053"/>
      <c r="B116" s="1053"/>
      <c r="C116" s="1053"/>
      <c r="D116" s="1053"/>
      <c r="E116" s="1053"/>
      <c r="F116" s="1053"/>
      <c r="G116" s="1053"/>
      <c r="H116" s="1053"/>
      <c r="I116" s="1053"/>
      <c r="J116" s="1053"/>
      <c r="K116" s="1053"/>
    </row>
    <row r="117" spans="1:11" s="535" customFormat="1">
      <c r="A117" s="530" t="s">
        <v>731</v>
      </c>
      <c r="B117" s="530" t="s">
        <v>731</v>
      </c>
      <c r="C117" s="530" t="s">
        <v>731</v>
      </c>
      <c r="D117" s="530" t="s">
        <v>731</v>
      </c>
      <c r="E117" s="530" t="s">
        <v>731</v>
      </c>
      <c r="F117" s="530" t="s">
        <v>731</v>
      </c>
      <c r="G117" s="530" t="s">
        <v>731</v>
      </c>
      <c r="H117" s="549">
        <f>I117+J117</f>
        <v>402106394</v>
      </c>
      <c r="I117" s="549">
        <v>44820870</v>
      </c>
      <c r="J117" s="549">
        <v>357285524</v>
      </c>
      <c r="K117" s="530" t="s">
        <v>731</v>
      </c>
    </row>
    <row r="118" spans="1:11" s="535" customFormat="1" ht="5.0999999999999996" customHeight="1">
      <c r="A118" s="1054" t="s">
        <v>978</v>
      </c>
      <c r="B118" s="1054"/>
      <c r="C118" s="1054"/>
      <c r="D118" s="1054"/>
      <c r="E118" s="1054"/>
      <c r="F118" s="1054"/>
      <c r="G118" s="1054"/>
      <c r="H118" s="1054"/>
      <c r="I118" s="1054"/>
      <c r="J118" s="1054"/>
      <c r="K118" s="1054"/>
    </row>
    <row r="119" spans="1:11" s="552" customFormat="1" ht="15.75">
      <c r="A119" s="522" t="s">
        <v>979</v>
      </c>
      <c r="B119" s="1055" t="s">
        <v>980</v>
      </c>
      <c r="C119" s="1055"/>
      <c r="D119" s="1055"/>
      <c r="E119" s="1055"/>
      <c r="F119" s="1055"/>
      <c r="G119" s="1055"/>
      <c r="H119" s="1055"/>
      <c r="I119" s="1055"/>
      <c r="J119" s="1055"/>
      <c r="K119" s="1055"/>
    </row>
    <row r="120" spans="1:11" s="535" customFormat="1" ht="5.0999999999999996" customHeight="1">
      <c r="A120" s="1053"/>
      <c r="B120" s="1053"/>
      <c r="C120" s="1053"/>
      <c r="D120" s="1053"/>
      <c r="E120" s="1053"/>
      <c r="F120" s="1053"/>
      <c r="G120" s="1053"/>
      <c r="H120" s="1053"/>
      <c r="I120" s="1053"/>
      <c r="J120" s="1053"/>
      <c r="K120" s="1053"/>
    </row>
    <row r="121" spans="1:11" s="535" customFormat="1">
      <c r="A121" s="530" t="s">
        <v>731</v>
      </c>
      <c r="B121" s="530" t="s">
        <v>731</v>
      </c>
      <c r="C121" s="530" t="s">
        <v>731</v>
      </c>
      <c r="D121" s="530" t="s">
        <v>731</v>
      </c>
      <c r="E121" s="530" t="s">
        <v>731</v>
      </c>
      <c r="F121" s="530" t="s">
        <v>731</v>
      </c>
      <c r="G121" s="530" t="s">
        <v>731</v>
      </c>
      <c r="H121" s="549">
        <f>I121+J121</f>
        <v>1270223</v>
      </c>
      <c r="I121" s="549">
        <v>1220223</v>
      </c>
      <c r="J121" s="549">
        <v>50000</v>
      </c>
      <c r="K121" s="530" t="s">
        <v>731</v>
      </c>
    </row>
    <row r="122" spans="1:11" s="535" customFormat="1" ht="5.0999999999999996" customHeight="1">
      <c r="A122" s="1054" t="s">
        <v>978</v>
      </c>
      <c r="B122" s="1054"/>
      <c r="C122" s="1054"/>
      <c r="D122" s="1054"/>
      <c r="E122" s="1054"/>
      <c r="F122" s="1054"/>
      <c r="G122" s="1054"/>
      <c r="H122" s="1054"/>
      <c r="I122" s="1054"/>
      <c r="J122" s="1054"/>
      <c r="K122" s="1054"/>
    </row>
    <row r="123" spans="1:11" s="525" customFormat="1" ht="17.25">
      <c r="A123" s="1058" t="s">
        <v>416</v>
      </c>
      <c r="B123" s="1058"/>
      <c r="C123" s="1058"/>
      <c r="D123" s="1058"/>
      <c r="E123" s="522" t="s">
        <v>731</v>
      </c>
      <c r="F123" s="522" t="s">
        <v>731</v>
      </c>
      <c r="G123" s="522" t="s">
        <v>731</v>
      </c>
      <c r="H123" s="524">
        <f>H15</f>
        <v>666955208</v>
      </c>
      <c r="I123" s="524">
        <f>I15</f>
        <v>252211576</v>
      </c>
      <c r="J123" s="524">
        <f>J15</f>
        <v>414743632</v>
      </c>
      <c r="K123" s="547" t="s">
        <v>731</v>
      </c>
    </row>
    <row r="124" spans="1:11" ht="6" customHeight="1"/>
  </sheetData>
  <sheetProtection algorithmName="SHA-512" hashValue="Yy8WPiob2c3wVlsLyY1GeezBsSCU710IErQ8/u+/qlUmn5zZqtmFlLZtMHBfodrPsveDWAB5j+EQt/3fXH+AQQ==" saltValue="nOA0Umt9TEqvIJxN8V+rFw==" spinCount="100000" sheet="1" objects="1" scenarios="1"/>
  <mergeCells count="29">
    <mergeCell ref="D9:D12"/>
    <mergeCell ref="E9:E12"/>
    <mergeCell ref="F9:F12"/>
    <mergeCell ref="G9:G12"/>
    <mergeCell ref="H9:J9"/>
    <mergeCell ref="A122:K122"/>
    <mergeCell ref="A123:D123"/>
    <mergeCell ref="A66:D66"/>
    <mergeCell ref="A67:K67"/>
    <mergeCell ref="B68:K68"/>
    <mergeCell ref="A113:D113"/>
    <mergeCell ref="A114:K114"/>
    <mergeCell ref="B115:K115"/>
    <mergeCell ref="H1:J1"/>
    <mergeCell ref="A116:K116"/>
    <mergeCell ref="A118:K118"/>
    <mergeCell ref="B119:K119"/>
    <mergeCell ref="A120:K120"/>
    <mergeCell ref="K9:K12"/>
    <mergeCell ref="H10:H12"/>
    <mergeCell ref="I10:J10"/>
    <mergeCell ref="I11:I12"/>
    <mergeCell ref="J11:J12"/>
    <mergeCell ref="B17:K17"/>
    <mergeCell ref="A5:K5"/>
    <mergeCell ref="A6:K6"/>
    <mergeCell ref="A9:A12"/>
    <mergeCell ref="B9:B12"/>
    <mergeCell ref="C9:C12"/>
  </mergeCells>
  <printOptions horizontalCentered="1"/>
  <pageMargins left="0.74803149606299213" right="0.74803149606299213" top="0.98425196850393704" bottom="0.74803149606299213" header="0.31496062992125984" footer="0.31496062992125984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23"/>
  <sheetViews>
    <sheetView view="pageBreakPreview" topLeftCell="A206" zoomScaleNormal="75" zoomScaleSheetLayoutView="100" workbookViewId="0">
      <selection activeCell="F228" sqref="F228"/>
    </sheetView>
  </sheetViews>
  <sheetFormatPr defaultColWidth="8" defaultRowHeight="15"/>
  <cols>
    <col min="1" max="1" width="2.25" style="664" customWidth="1"/>
    <col min="2" max="2" width="3.375" style="664" customWidth="1"/>
    <col min="3" max="3" width="3.5" style="664" customWidth="1"/>
    <col min="4" max="4" width="5.375" style="664" customWidth="1"/>
    <col min="5" max="5" width="9.625" style="665" customWidth="1"/>
    <col min="6" max="6" width="49.375" style="659" customWidth="1"/>
    <col min="7" max="7" width="12.375" style="658" customWidth="1"/>
    <col min="8" max="8" width="12.625" style="660" customWidth="1"/>
    <col min="9" max="13" width="12.25" style="660" customWidth="1"/>
    <col min="14" max="16384" width="8" style="661"/>
  </cols>
  <sheetData>
    <row r="1" spans="1:13" s="553" customFormat="1" ht="15" customHeight="1">
      <c r="D1" s="554"/>
      <c r="E1" s="555"/>
      <c r="F1" s="556"/>
      <c r="G1" s="557"/>
      <c r="H1" s="1052"/>
      <c r="I1" s="1052"/>
      <c r="J1" s="1052"/>
      <c r="K1" s="1052" t="s">
        <v>981</v>
      </c>
      <c r="L1" s="1052"/>
      <c r="M1" s="1052"/>
    </row>
    <row r="2" spans="1:13" s="553" customFormat="1" ht="12.75" customHeight="1">
      <c r="C2" s="558" t="s">
        <v>982</v>
      </c>
      <c r="D2" s="558"/>
      <c r="E2" s="555"/>
      <c r="F2" s="556"/>
      <c r="G2" s="557"/>
      <c r="H2" s="556"/>
      <c r="I2" s="559"/>
      <c r="J2" s="559"/>
      <c r="K2" s="556" t="s">
        <v>983</v>
      </c>
      <c r="L2" s="559"/>
      <c r="M2" s="559"/>
    </row>
    <row r="3" spans="1:13" s="553" customFormat="1" ht="15" customHeight="1">
      <c r="D3" s="558"/>
      <c r="E3" s="555"/>
      <c r="F3" s="556"/>
      <c r="G3" s="557"/>
      <c r="H3" s="556"/>
      <c r="I3" s="559"/>
      <c r="J3" s="559"/>
      <c r="K3" s="556" t="s">
        <v>984</v>
      </c>
      <c r="L3" s="559"/>
      <c r="M3" s="559"/>
    </row>
    <row r="4" spans="1:13" s="553" customFormat="1" ht="15.75" customHeight="1">
      <c r="A4" s="1109" t="s">
        <v>986</v>
      </c>
      <c r="B4" s="1109"/>
      <c r="C4" s="1109"/>
      <c r="D4" s="1109"/>
      <c r="E4" s="1109"/>
      <c r="F4" s="1109"/>
      <c r="G4" s="1109"/>
      <c r="H4" s="1109"/>
      <c r="I4" s="1109"/>
      <c r="J4" s="1109"/>
      <c r="K4" s="1109"/>
      <c r="L4" s="1109"/>
      <c r="M4" s="1109"/>
    </row>
    <row r="5" spans="1:13" s="553" customFormat="1" ht="15" customHeight="1">
      <c r="A5" s="1109" t="s">
        <v>362</v>
      </c>
      <c r="B5" s="1109"/>
      <c r="C5" s="1109"/>
      <c r="D5" s="1109"/>
      <c r="E5" s="1109"/>
      <c r="F5" s="1109"/>
      <c r="G5" s="1109"/>
      <c r="H5" s="1109"/>
      <c r="I5" s="1109"/>
      <c r="J5" s="1109"/>
      <c r="K5" s="1109"/>
      <c r="L5" s="1109"/>
      <c r="M5" s="1109"/>
    </row>
    <row r="6" spans="1:13" s="553" customFormat="1" ht="10.5" customHeight="1">
      <c r="A6" s="560"/>
      <c r="B6" s="560"/>
      <c r="C6" s="560"/>
      <c r="D6" s="560"/>
      <c r="E6" s="561"/>
      <c r="F6" s="559"/>
      <c r="G6" s="562"/>
      <c r="H6" s="554"/>
      <c r="I6" s="554"/>
      <c r="J6" s="554"/>
      <c r="K6" s="554"/>
      <c r="L6" s="554"/>
      <c r="M6" s="554" t="s">
        <v>15</v>
      </c>
    </row>
    <row r="7" spans="1:13" s="563" customFormat="1" ht="30.75" customHeight="1">
      <c r="A7" s="1110" t="s">
        <v>987</v>
      </c>
      <c r="B7" s="1111"/>
      <c r="C7" s="1110" t="s">
        <v>855</v>
      </c>
      <c r="D7" s="1111"/>
      <c r="E7" s="1110" t="s">
        <v>988</v>
      </c>
      <c r="F7" s="1116"/>
      <c r="G7" s="1119" t="s">
        <v>17</v>
      </c>
      <c r="H7" s="1122" t="s">
        <v>989</v>
      </c>
      <c r="I7" s="1123"/>
      <c r="J7" s="1124"/>
      <c r="K7" s="1122" t="s">
        <v>990</v>
      </c>
      <c r="L7" s="1123"/>
      <c r="M7" s="1124"/>
    </row>
    <row r="8" spans="1:13" s="563" customFormat="1" ht="15.75" customHeight="1">
      <c r="A8" s="1112"/>
      <c r="B8" s="1113"/>
      <c r="C8" s="1112"/>
      <c r="D8" s="1113"/>
      <c r="E8" s="1117"/>
      <c r="F8" s="1118"/>
      <c r="G8" s="1120"/>
      <c r="H8" s="1105" t="s">
        <v>991</v>
      </c>
      <c r="I8" s="564" t="s">
        <v>405</v>
      </c>
      <c r="J8" s="565"/>
      <c r="K8" s="1105" t="s">
        <v>991</v>
      </c>
      <c r="L8" s="564" t="s">
        <v>405</v>
      </c>
      <c r="M8" s="565"/>
    </row>
    <row r="9" spans="1:13" s="563" customFormat="1" ht="17.25" customHeight="1">
      <c r="A9" s="1114"/>
      <c r="B9" s="1115"/>
      <c r="C9" s="1114"/>
      <c r="D9" s="1115"/>
      <c r="E9" s="566" t="s">
        <v>538</v>
      </c>
      <c r="F9" s="567"/>
      <c r="G9" s="1121"/>
      <c r="H9" s="1106"/>
      <c r="I9" s="565" t="s">
        <v>992</v>
      </c>
      <c r="J9" s="568" t="s">
        <v>993</v>
      </c>
      <c r="K9" s="1106"/>
      <c r="L9" s="565" t="s">
        <v>992</v>
      </c>
      <c r="M9" s="568" t="s">
        <v>993</v>
      </c>
    </row>
    <row r="10" spans="1:13" s="571" customFormat="1" ht="11.25">
      <c r="A10" s="1107">
        <v>1</v>
      </c>
      <c r="B10" s="1108"/>
      <c r="C10" s="1107">
        <v>2</v>
      </c>
      <c r="D10" s="1108"/>
      <c r="E10" s="569">
        <v>3</v>
      </c>
      <c r="F10" s="569">
        <v>4</v>
      </c>
      <c r="G10" s="569">
        <v>5</v>
      </c>
      <c r="H10" s="570">
        <v>6</v>
      </c>
      <c r="I10" s="570">
        <v>7</v>
      </c>
      <c r="J10" s="570">
        <v>8</v>
      </c>
      <c r="K10" s="570">
        <v>9</v>
      </c>
      <c r="L10" s="570">
        <v>10</v>
      </c>
      <c r="M10" s="570">
        <v>11</v>
      </c>
    </row>
    <row r="11" spans="1:13" s="578" customFormat="1" ht="5.25" customHeight="1">
      <c r="A11" s="572"/>
      <c r="B11" s="573"/>
      <c r="C11" s="573"/>
      <c r="D11" s="573"/>
      <c r="E11" s="574"/>
      <c r="F11" s="574"/>
      <c r="G11" s="575"/>
      <c r="H11" s="576"/>
      <c r="I11" s="576"/>
      <c r="J11" s="576"/>
      <c r="K11" s="576"/>
      <c r="L11" s="576"/>
      <c r="M11" s="577"/>
    </row>
    <row r="12" spans="1:13" s="581" customFormat="1" ht="20.25" customHeight="1">
      <c r="A12" s="1068" t="s">
        <v>416</v>
      </c>
      <c r="B12" s="1069"/>
      <c r="C12" s="1069"/>
      <c r="D12" s="1069"/>
      <c r="E12" s="1069"/>
      <c r="F12" s="1070"/>
      <c r="G12" s="579">
        <f>H12+K12</f>
        <v>523667964</v>
      </c>
      <c r="H12" s="580">
        <f>I12+J12</f>
        <v>296587743</v>
      </c>
      <c r="I12" s="580">
        <f>I14+I28+I77</f>
        <v>168963655</v>
      </c>
      <c r="J12" s="580">
        <f>J14+J28+J77</f>
        <v>127624088</v>
      </c>
      <c r="K12" s="580">
        <f>L12+M12</f>
        <v>227080221</v>
      </c>
      <c r="L12" s="580">
        <f>L14+L28+L77</f>
        <v>11968991</v>
      </c>
      <c r="M12" s="580">
        <f>M14+M28+M77</f>
        <v>215111230</v>
      </c>
    </row>
    <row r="13" spans="1:13" s="589" customFormat="1" ht="5.25" customHeight="1">
      <c r="A13" s="582"/>
      <c r="B13" s="583"/>
      <c r="C13" s="583"/>
      <c r="D13" s="583"/>
      <c r="E13" s="584"/>
      <c r="F13" s="585"/>
      <c r="G13" s="586"/>
      <c r="H13" s="587"/>
      <c r="I13" s="587"/>
      <c r="J13" s="587"/>
      <c r="K13" s="587"/>
      <c r="L13" s="587"/>
      <c r="M13" s="588"/>
    </row>
    <row r="14" spans="1:13" s="592" customFormat="1" ht="18" customHeight="1">
      <c r="A14" s="1093" t="s">
        <v>994</v>
      </c>
      <c r="B14" s="1094"/>
      <c r="C14" s="1094"/>
      <c r="D14" s="1094"/>
      <c r="E14" s="1094"/>
      <c r="F14" s="1094"/>
      <c r="G14" s="590">
        <f>H14+K14</f>
        <v>135761000</v>
      </c>
      <c r="H14" s="591">
        <f>I14+J14</f>
        <v>0</v>
      </c>
      <c r="I14" s="590">
        <f>I16+I17+I18+I19+I20+I21+I22+I23+I24+I25+I26</f>
        <v>0</v>
      </c>
      <c r="J14" s="590">
        <f>J16+J17+J18+J19+J20+J21+J22+J23+J24+J25+J26</f>
        <v>0</v>
      </c>
      <c r="K14" s="590">
        <f>L14+M14</f>
        <v>135761000</v>
      </c>
      <c r="L14" s="590">
        <f>L16+L17+L18+L19+L20+L21+L22+L23+L24+L25+L26</f>
        <v>0</v>
      </c>
      <c r="M14" s="590">
        <f>M16+M17+M18+M19+M20+M21+M22+M23+M24+M25+M26</f>
        <v>135761000</v>
      </c>
    </row>
    <row r="15" spans="1:13" s="589" customFormat="1" ht="5.25" customHeight="1">
      <c r="A15" s="593"/>
      <c r="B15" s="594"/>
      <c r="C15" s="594"/>
      <c r="D15" s="594"/>
      <c r="E15" s="595"/>
      <c r="F15" s="595"/>
      <c r="G15" s="596"/>
      <c r="H15" s="597"/>
      <c r="I15" s="597"/>
      <c r="J15" s="597"/>
      <c r="K15" s="597"/>
      <c r="L15" s="597"/>
      <c r="M15" s="598"/>
    </row>
    <row r="16" spans="1:13" s="600" customFormat="1" ht="18" customHeight="1">
      <c r="A16" s="1077" t="s">
        <v>23</v>
      </c>
      <c r="B16" s="1078"/>
      <c r="C16" s="1077" t="s">
        <v>421</v>
      </c>
      <c r="D16" s="1078"/>
      <c r="E16" s="1066" t="s">
        <v>995</v>
      </c>
      <c r="F16" s="1067"/>
      <c r="G16" s="599">
        <f t="shared" ref="G16:G26" si="0">H16+K16</f>
        <v>130000000</v>
      </c>
      <c r="H16" s="599">
        <f t="shared" ref="H16:H26" si="1">I16+J16</f>
        <v>0</v>
      </c>
      <c r="I16" s="599">
        <v>0</v>
      </c>
      <c r="J16" s="599">
        <v>0</v>
      </c>
      <c r="K16" s="599">
        <f>L16+M16</f>
        <v>130000000</v>
      </c>
      <c r="L16" s="599">
        <v>0</v>
      </c>
      <c r="M16" s="599">
        <v>130000000</v>
      </c>
    </row>
    <row r="17" spans="1:13" s="600" customFormat="1" ht="18" customHeight="1">
      <c r="A17" s="1062"/>
      <c r="B17" s="1063"/>
      <c r="C17" s="1062"/>
      <c r="D17" s="1063"/>
      <c r="E17" s="1066" t="s">
        <v>996</v>
      </c>
      <c r="F17" s="1067"/>
      <c r="G17" s="599">
        <f t="shared" si="0"/>
        <v>1875000</v>
      </c>
      <c r="H17" s="599">
        <f t="shared" si="1"/>
        <v>0</v>
      </c>
      <c r="I17" s="599">
        <v>0</v>
      </c>
      <c r="J17" s="599">
        <v>0</v>
      </c>
      <c r="K17" s="599">
        <f>L17+M17</f>
        <v>1875000</v>
      </c>
      <c r="L17" s="599">
        <v>0</v>
      </c>
      <c r="M17" s="599">
        <v>1875000</v>
      </c>
    </row>
    <row r="18" spans="1:13" s="600" customFormat="1" ht="18" customHeight="1">
      <c r="A18" s="1062"/>
      <c r="B18" s="1063"/>
      <c r="C18" s="1062"/>
      <c r="D18" s="1063"/>
      <c r="E18" s="1066" t="s">
        <v>997</v>
      </c>
      <c r="F18" s="1067"/>
      <c r="G18" s="599">
        <f t="shared" si="0"/>
        <v>819000</v>
      </c>
      <c r="H18" s="599">
        <f t="shared" si="1"/>
        <v>0</v>
      </c>
      <c r="I18" s="599">
        <v>0</v>
      </c>
      <c r="J18" s="599">
        <v>0</v>
      </c>
      <c r="K18" s="599">
        <f>L18+M18</f>
        <v>819000</v>
      </c>
      <c r="L18" s="599">
        <v>0</v>
      </c>
      <c r="M18" s="599">
        <v>819000</v>
      </c>
    </row>
    <row r="19" spans="1:13" s="600" customFormat="1" ht="18" customHeight="1">
      <c r="A19" s="1062"/>
      <c r="B19" s="1063"/>
      <c r="C19" s="1062"/>
      <c r="D19" s="1063"/>
      <c r="E19" s="1066" t="s">
        <v>998</v>
      </c>
      <c r="F19" s="1067"/>
      <c r="G19" s="599">
        <f t="shared" si="0"/>
        <v>662000</v>
      </c>
      <c r="H19" s="599">
        <f t="shared" si="1"/>
        <v>0</v>
      </c>
      <c r="I19" s="599">
        <v>0</v>
      </c>
      <c r="J19" s="599">
        <v>0</v>
      </c>
      <c r="K19" s="599">
        <f t="shared" ref="K19:K26" si="2">L19+M19</f>
        <v>662000</v>
      </c>
      <c r="L19" s="599">
        <v>0</v>
      </c>
      <c r="M19" s="599">
        <v>662000</v>
      </c>
    </row>
    <row r="20" spans="1:13" s="600" customFormat="1" ht="18" customHeight="1">
      <c r="A20" s="1062"/>
      <c r="B20" s="1063"/>
      <c r="C20" s="1062"/>
      <c r="D20" s="1063"/>
      <c r="E20" s="1066" t="s">
        <v>999</v>
      </c>
      <c r="F20" s="1067"/>
      <c r="G20" s="599">
        <f t="shared" si="0"/>
        <v>633000</v>
      </c>
      <c r="H20" s="599">
        <f t="shared" si="1"/>
        <v>0</v>
      </c>
      <c r="I20" s="599">
        <v>0</v>
      </c>
      <c r="J20" s="599">
        <v>0</v>
      </c>
      <c r="K20" s="599">
        <f t="shared" si="2"/>
        <v>633000</v>
      </c>
      <c r="L20" s="599">
        <v>0</v>
      </c>
      <c r="M20" s="599">
        <v>633000</v>
      </c>
    </row>
    <row r="21" spans="1:13" s="600" customFormat="1" ht="18" customHeight="1">
      <c r="A21" s="1062"/>
      <c r="B21" s="1063"/>
      <c r="C21" s="1062"/>
      <c r="D21" s="1063"/>
      <c r="E21" s="1066" t="s">
        <v>1000</v>
      </c>
      <c r="F21" s="1067"/>
      <c r="G21" s="599">
        <f t="shared" si="0"/>
        <v>468000</v>
      </c>
      <c r="H21" s="599">
        <f t="shared" si="1"/>
        <v>0</v>
      </c>
      <c r="I21" s="599">
        <v>0</v>
      </c>
      <c r="J21" s="599">
        <v>0</v>
      </c>
      <c r="K21" s="599">
        <f t="shared" si="2"/>
        <v>468000</v>
      </c>
      <c r="L21" s="599">
        <v>0</v>
      </c>
      <c r="M21" s="599">
        <v>468000</v>
      </c>
    </row>
    <row r="22" spans="1:13" s="600" customFormat="1" ht="18" customHeight="1">
      <c r="A22" s="1062"/>
      <c r="B22" s="1063"/>
      <c r="C22" s="1062"/>
      <c r="D22" s="1063"/>
      <c r="E22" s="1066" t="s">
        <v>1001</v>
      </c>
      <c r="F22" s="1067"/>
      <c r="G22" s="599">
        <f t="shared" si="0"/>
        <v>482000</v>
      </c>
      <c r="H22" s="599">
        <f t="shared" si="1"/>
        <v>0</v>
      </c>
      <c r="I22" s="599">
        <v>0</v>
      </c>
      <c r="J22" s="599">
        <v>0</v>
      </c>
      <c r="K22" s="599">
        <f t="shared" si="2"/>
        <v>482000</v>
      </c>
      <c r="L22" s="599">
        <v>0</v>
      </c>
      <c r="M22" s="599">
        <v>482000</v>
      </c>
    </row>
    <row r="23" spans="1:13" s="600" customFormat="1" ht="18" customHeight="1">
      <c r="A23" s="1062"/>
      <c r="B23" s="1063"/>
      <c r="C23" s="1062"/>
      <c r="D23" s="1063"/>
      <c r="E23" s="1066" t="s">
        <v>1002</v>
      </c>
      <c r="F23" s="1067"/>
      <c r="G23" s="599">
        <f t="shared" si="0"/>
        <v>468000</v>
      </c>
      <c r="H23" s="599">
        <f t="shared" si="1"/>
        <v>0</v>
      </c>
      <c r="I23" s="599">
        <v>0</v>
      </c>
      <c r="J23" s="599">
        <v>0</v>
      </c>
      <c r="K23" s="599">
        <f t="shared" si="2"/>
        <v>468000</v>
      </c>
      <c r="L23" s="599">
        <v>0</v>
      </c>
      <c r="M23" s="599">
        <v>468000</v>
      </c>
    </row>
    <row r="24" spans="1:13" s="600" customFormat="1" ht="18" customHeight="1">
      <c r="A24" s="1062"/>
      <c r="B24" s="1063"/>
      <c r="C24" s="1062"/>
      <c r="D24" s="1063"/>
      <c r="E24" s="1066" t="s">
        <v>1003</v>
      </c>
      <c r="F24" s="1067"/>
      <c r="G24" s="599">
        <f t="shared" si="0"/>
        <v>221000</v>
      </c>
      <c r="H24" s="599">
        <f t="shared" si="1"/>
        <v>0</v>
      </c>
      <c r="I24" s="599">
        <v>0</v>
      </c>
      <c r="J24" s="599">
        <v>0</v>
      </c>
      <c r="K24" s="599">
        <f t="shared" si="2"/>
        <v>221000</v>
      </c>
      <c r="L24" s="599">
        <v>0</v>
      </c>
      <c r="M24" s="599">
        <v>221000</v>
      </c>
    </row>
    <row r="25" spans="1:13" s="600" customFormat="1" ht="18" customHeight="1">
      <c r="A25" s="1062"/>
      <c r="B25" s="1063"/>
      <c r="C25" s="1062"/>
      <c r="D25" s="1063"/>
      <c r="E25" s="1066" t="s">
        <v>1004</v>
      </c>
      <c r="F25" s="1067"/>
      <c r="G25" s="599">
        <f t="shared" si="0"/>
        <v>89000</v>
      </c>
      <c r="H25" s="599">
        <f t="shared" si="1"/>
        <v>0</v>
      </c>
      <c r="I25" s="599">
        <v>0</v>
      </c>
      <c r="J25" s="599">
        <v>0</v>
      </c>
      <c r="K25" s="599">
        <f t="shared" si="2"/>
        <v>89000</v>
      </c>
      <c r="L25" s="599">
        <v>0</v>
      </c>
      <c r="M25" s="599">
        <v>89000</v>
      </c>
    </row>
    <row r="26" spans="1:13" s="600" customFormat="1" ht="18" customHeight="1">
      <c r="A26" s="1062"/>
      <c r="B26" s="1063"/>
      <c r="C26" s="1062"/>
      <c r="D26" s="1063"/>
      <c r="E26" s="1066" t="s">
        <v>1005</v>
      </c>
      <c r="F26" s="1067"/>
      <c r="G26" s="599">
        <f t="shared" si="0"/>
        <v>44000</v>
      </c>
      <c r="H26" s="599">
        <f t="shared" si="1"/>
        <v>0</v>
      </c>
      <c r="I26" s="599">
        <v>0</v>
      </c>
      <c r="J26" s="599">
        <v>0</v>
      </c>
      <c r="K26" s="599">
        <f t="shared" si="2"/>
        <v>44000</v>
      </c>
      <c r="L26" s="599">
        <v>0</v>
      </c>
      <c r="M26" s="599">
        <v>44000</v>
      </c>
    </row>
    <row r="27" spans="1:13" s="589" customFormat="1" ht="5.25" customHeight="1">
      <c r="A27" s="601"/>
      <c r="B27" s="602"/>
      <c r="C27" s="602"/>
      <c r="D27" s="602"/>
      <c r="E27" s="603"/>
      <c r="F27" s="604"/>
      <c r="G27" s="605"/>
      <c r="H27" s="606"/>
      <c r="I27" s="606"/>
      <c r="J27" s="606"/>
      <c r="K27" s="606"/>
      <c r="L27" s="606"/>
      <c r="M27" s="607"/>
    </row>
    <row r="28" spans="1:13" s="592" customFormat="1" ht="18" customHeight="1">
      <c r="A28" s="1093" t="s">
        <v>1006</v>
      </c>
      <c r="B28" s="1094"/>
      <c r="C28" s="1094"/>
      <c r="D28" s="1094"/>
      <c r="E28" s="1094"/>
      <c r="F28" s="1094"/>
      <c r="G28" s="608">
        <f>H28+K28</f>
        <v>97018868</v>
      </c>
      <c r="H28" s="608">
        <f>I28+J28</f>
        <v>97018868</v>
      </c>
      <c r="I28" s="608">
        <f>I30</f>
        <v>0</v>
      </c>
      <c r="J28" s="608">
        <f>J30</f>
        <v>97018868</v>
      </c>
      <c r="K28" s="608">
        <f>L28+M28</f>
        <v>0</v>
      </c>
      <c r="L28" s="608">
        <f>L30</f>
        <v>0</v>
      </c>
      <c r="M28" s="608">
        <f>M30</f>
        <v>0</v>
      </c>
    </row>
    <row r="29" spans="1:13" s="589" customFormat="1" ht="5.25" customHeight="1">
      <c r="A29" s="593"/>
      <c r="B29" s="594"/>
      <c r="C29" s="594"/>
      <c r="D29" s="594"/>
      <c r="E29" s="595"/>
      <c r="F29" s="595"/>
      <c r="G29" s="596"/>
      <c r="H29" s="597"/>
      <c r="I29" s="597"/>
      <c r="J29" s="597"/>
      <c r="K29" s="597"/>
      <c r="L29" s="597"/>
      <c r="M29" s="598"/>
    </row>
    <row r="30" spans="1:13" s="610" customFormat="1" ht="18" customHeight="1">
      <c r="A30" s="1087" t="s">
        <v>1007</v>
      </c>
      <c r="B30" s="1088"/>
      <c r="C30" s="1088"/>
      <c r="D30" s="1088"/>
      <c r="E30" s="1088"/>
      <c r="F30" s="1089"/>
      <c r="G30" s="609">
        <f>H30+K30</f>
        <v>97018868</v>
      </c>
      <c r="H30" s="609">
        <f>I30+J30</f>
        <v>97018868</v>
      </c>
      <c r="I30" s="609">
        <f>I32+I35+I37+I39+I41+I43+I45+I47+I51+I53+I55+I58+I60+I64+I69+I72+I74</f>
        <v>0</v>
      </c>
      <c r="J30" s="609">
        <f>J32+J35+J37+J39+J41+J43+J45+J47+J51+J53+J55+J58+J60+J64+J69+J72+J74</f>
        <v>97018868</v>
      </c>
      <c r="K30" s="609">
        <f>L30+M30</f>
        <v>0</v>
      </c>
      <c r="L30" s="609">
        <f>L32+L35+L37+L39+L41+L43+L45+L47+L51+L53+L55+L58+L60+L64+L69+L72+L74</f>
        <v>0</v>
      </c>
      <c r="M30" s="609">
        <f>M32+M35+M37+M39+M41+M43+M45+M47+M51+M53+M55+M58+M60+M64+M69+M72+M74</f>
        <v>0</v>
      </c>
    </row>
    <row r="31" spans="1:13" s="616" customFormat="1" ht="5.25" customHeight="1">
      <c r="A31" s="611"/>
      <c r="B31" s="612"/>
      <c r="C31" s="612"/>
      <c r="D31" s="612"/>
      <c r="E31" s="612"/>
      <c r="F31" s="612"/>
      <c r="G31" s="613"/>
      <c r="H31" s="614"/>
      <c r="I31" s="614"/>
      <c r="J31" s="614"/>
      <c r="K31" s="614"/>
      <c r="L31" s="614"/>
      <c r="M31" s="615"/>
    </row>
    <row r="32" spans="1:13" s="563" customFormat="1" ht="18" customHeight="1">
      <c r="A32" s="1099"/>
      <c r="B32" s="1100"/>
      <c r="C32" s="1095"/>
      <c r="D32" s="1096"/>
      <c r="E32" s="1097" t="s">
        <v>1008</v>
      </c>
      <c r="F32" s="1098"/>
      <c r="G32" s="617">
        <f t="shared" ref="G32:G75" si="3">H32+K32</f>
        <v>8878500</v>
      </c>
      <c r="H32" s="617">
        <f t="shared" ref="H32:H75" si="4">I32+J32</f>
        <v>8878500</v>
      </c>
      <c r="I32" s="617">
        <f>I33+I34</f>
        <v>0</v>
      </c>
      <c r="J32" s="617">
        <f>J33+J34</f>
        <v>8878500</v>
      </c>
      <c r="K32" s="617">
        <f t="shared" ref="K32:K48" si="5">L32+M32</f>
        <v>0</v>
      </c>
      <c r="L32" s="617">
        <f>L33+L34</f>
        <v>0</v>
      </c>
      <c r="M32" s="617">
        <f>M33+M34</f>
        <v>0</v>
      </c>
    </row>
    <row r="33" spans="1:13" s="553" customFormat="1" ht="18" customHeight="1">
      <c r="A33" s="1075" t="s">
        <v>40</v>
      </c>
      <c r="B33" s="1076"/>
      <c r="C33" s="1075" t="s">
        <v>899</v>
      </c>
      <c r="D33" s="1076"/>
      <c r="E33" s="1073" t="s">
        <v>1009</v>
      </c>
      <c r="F33" s="1074"/>
      <c r="G33" s="618">
        <f t="shared" si="3"/>
        <v>8860000</v>
      </c>
      <c r="H33" s="618">
        <f t="shared" si="4"/>
        <v>8860000</v>
      </c>
      <c r="I33" s="618">
        <v>0</v>
      </c>
      <c r="J33" s="618">
        <v>8860000</v>
      </c>
      <c r="K33" s="618">
        <f t="shared" si="5"/>
        <v>0</v>
      </c>
      <c r="L33" s="618">
        <v>0</v>
      </c>
      <c r="M33" s="618">
        <v>0</v>
      </c>
    </row>
    <row r="34" spans="1:13" s="553" customFormat="1" ht="18" customHeight="1">
      <c r="A34" s="1084"/>
      <c r="B34" s="1085"/>
      <c r="C34" s="1084"/>
      <c r="D34" s="1085"/>
      <c r="E34" s="1073" t="s">
        <v>1010</v>
      </c>
      <c r="F34" s="1074"/>
      <c r="G34" s="619">
        <f>H34+K34</f>
        <v>18500</v>
      </c>
      <c r="H34" s="619">
        <f>I34+J34</f>
        <v>18500</v>
      </c>
      <c r="I34" s="619">
        <v>0</v>
      </c>
      <c r="J34" s="619">
        <v>18500</v>
      </c>
      <c r="K34" s="619">
        <f>L34+M34</f>
        <v>0</v>
      </c>
      <c r="L34" s="619">
        <v>0</v>
      </c>
      <c r="M34" s="619">
        <v>0</v>
      </c>
    </row>
    <row r="35" spans="1:13" s="563" customFormat="1" ht="18" customHeight="1">
      <c r="A35" s="1099"/>
      <c r="B35" s="1100"/>
      <c r="C35" s="1095"/>
      <c r="D35" s="1096"/>
      <c r="E35" s="1097" t="s">
        <v>900</v>
      </c>
      <c r="F35" s="1098"/>
      <c r="G35" s="617">
        <f t="shared" si="3"/>
        <v>22800000</v>
      </c>
      <c r="H35" s="617">
        <f t="shared" si="4"/>
        <v>22800000</v>
      </c>
      <c r="I35" s="617">
        <f>I36</f>
        <v>0</v>
      </c>
      <c r="J35" s="617">
        <f>J36</f>
        <v>22800000</v>
      </c>
      <c r="K35" s="617">
        <f t="shared" si="5"/>
        <v>0</v>
      </c>
      <c r="L35" s="617">
        <f>L36</f>
        <v>0</v>
      </c>
      <c r="M35" s="617">
        <f>M36</f>
        <v>0</v>
      </c>
    </row>
    <row r="36" spans="1:13" s="553" customFormat="1" ht="18" customHeight="1">
      <c r="A36" s="1075" t="s">
        <v>40</v>
      </c>
      <c r="B36" s="1076"/>
      <c r="C36" s="1075" t="s">
        <v>899</v>
      </c>
      <c r="D36" s="1076"/>
      <c r="E36" s="1073" t="s">
        <v>1009</v>
      </c>
      <c r="F36" s="1074"/>
      <c r="G36" s="618">
        <f t="shared" si="3"/>
        <v>22800000</v>
      </c>
      <c r="H36" s="618">
        <f t="shared" si="4"/>
        <v>22800000</v>
      </c>
      <c r="I36" s="618">
        <v>0</v>
      </c>
      <c r="J36" s="618">
        <v>22800000</v>
      </c>
      <c r="K36" s="618">
        <f t="shared" si="5"/>
        <v>0</v>
      </c>
      <c r="L36" s="618">
        <v>0</v>
      </c>
      <c r="M36" s="618">
        <v>0</v>
      </c>
    </row>
    <row r="37" spans="1:13" s="563" customFormat="1" ht="18" customHeight="1">
      <c r="A37" s="1099"/>
      <c r="B37" s="1100"/>
      <c r="C37" s="1095"/>
      <c r="D37" s="1096"/>
      <c r="E37" s="1097" t="s">
        <v>962</v>
      </c>
      <c r="F37" s="1098"/>
      <c r="G37" s="617">
        <f t="shared" si="3"/>
        <v>3000000</v>
      </c>
      <c r="H37" s="617">
        <f t="shared" si="4"/>
        <v>3000000</v>
      </c>
      <c r="I37" s="617">
        <f>I38</f>
        <v>0</v>
      </c>
      <c r="J37" s="617">
        <f>J38</f>
        <v>3000000</v>
      </c>
      <c r="K37" s="617">
        <f t="shared" si="5"/>
        <v>0</v>
      </c>
      <c r="L37" s="617">
        <f>L38</f>
        <v>0</v>
      </c>
      <c r="M37" s="617">
        <f>M38</f>
        <v>0</v>
      </c>
    </row>
    <row r="38" spans="1:13" s="553" customFormat="1" ht="18" customHeight="1">
      <c r="A38" s="1079" t="s">
        <v>40</v>
      </c>
      <c r="B38" s="1080"/>
      <c r="C38" s="1079" t="s">
        <v>899</v>
      </c>
      <c r="D38" s="1080"/>
      <c r="E38" s="1073" t="s">
        <v>1009</v>
      </c>
      <c r="F38" s="1074"/>
      <c r="G38" s="618">
        <f t="shared" si="3"/>
        <v>3000000</v>
      </c>
      <c r="H38" s="618">
        <f t="shared" si="4"/>
        <v>3000000</v>
      </c>
      <c r="I38" s="618">
        <v>0</v>
      </c>
      <c r="J38" s="618">
        <v>3000000</v>
      </c>
      <c r="K38" s="618">
        <f t="shared" si="5"/>
        <v>0</v>
      </c>
      <c r="L38" s="618">
        <v>0</v>
      </c>
      <c r="M38" s="618">
        <v>0</v>
      </c>
    </row>
    <row r="39" spans="1:13" s="563" customFormat="1" ht="18" customHeight="1">
      <c r="A39" s="1099"/>
      <c r="B39" s="1100"/>
      <c r="C39" s="1095"/>
      <c r="D39" s="1096"/>
      <c r="E39" s="1097" t="s">
        <v>1011</v>
      </c>
      <c r="F39" s="1098"/>
      <c r="G39" s="617">
        <f t="shared" si="3"/>
        <v>10513162</v>
      </c>
      <c r="H39" s="617">
        <f t="shared" si="4"/>
        <v>10513162</v>
      </c>
      <c r="I39" s="617">
        <f>I40</f>
        <v>0</v>
      </c>
      <c r="J39" s="617">
        <f>J40</f>
        <v>10513162</v>
      </c>
      <c r="K39" s="617">
        <f t="shared" si="5"/>
        <v>0</v>
      </c>
      <c r="L39" s="617">
        <f>L40</f>
        <v>0</v>
      </c>
      <c r="M39" s="617">
        <f>M40</f>
        <v>0</v>
      </c>
    </row>
    <row r="40" spans="1:13" s="553" customFormat="1" ht="18" customHeight="1">
      <c r="A40" s="1075" t="s">
        <v>40</v>
      </c>
      <c r="B40" s="1076"/>
      <c r="C40" s="1075" t="s">
        <v>1012</v>
      </c>
      <c r="D40" s="1076"/>
      <c r="E40" s="1073" t="s">
        <v>1009</v>
      </c>
      <c r="F40" s="1074"/>
      <c r="G40" s="618">
        <f t="shared" si="3"/>
        <v>10513162</v>
      </c>
      <c r="H40" s="618">
        <f t="shared" si="4"/>
        <v>10513162</v>
      </c>
      <c r="I40" s="618">
        <v>0</v>
      </c>
      <c r="J40" s="618">
        <v>10513162</v>
      </c>
      <c r="K40" s="618">
        <f t="shared" si="5"/>
        <v>0</v>
      </c>
      <c r="L40" s="618">
        <v>0</v>
      </c>
      <c r="M40" s="618">
        <v>0</v>
      </c>
    </row>
    <row r="41" spans="1:13" s="563" customFormat="1" ht="18" customHeight="1">
      <c r="A41" s="1095"/>
      <c r="B41" s="1096"/>
      <c r="C41" s="1095"/>
      <c r="D41" s="1096"/>
      <c r="E41" s="1097" t="s">
        <v>1013</v>
      </c>
      <c r="F41" s="1098"/>
      <c r="G41" s="617">
        <f t="shared" si="3"/>
        <v>2215000</v>
      </c>
      <c r="H41" s="617">
        <f t="shared" si="4"/>
        <v>2215000</v>
      </c>
      <c r="I41" s="617">
        <f>I42</f>
        <v>0</v>
      </c>
      <c r="J41" s="617">
        <f>J42</f>
        <v>2215000</v>
      </c>
      <c r="K41" s="617">
        <f t="shared" si="5"/>
        <v>0</v>
      </c>
      <c r="L41" s="617">
        <f>L42</f>
        <v>0</v>
      </c>
      <c r="M41" s="617">
        <f>M42</f>
        <v>0</v>
      </c>
    </row>
    <row r="42" spans="1:13" s="553" customFormat="1" ht="18" customHeight="1">
      <c r="A42" s="1079" t="s">
        <v>40</v>
      </c>
      <c r="B42" s="1080"/>
      <c r="C42" s="1079" t="s">
        <v>905</v>
      </c>
      <c r="D42" s="1080"/>
      <c r="E42" s="1073" t="s">
        <v>1009</v>
      </c>
      <c r="F42" s="1074"/>
      <c r="G42" s="619">
        <f t="shared" si="3"/>
        <v>2215000</v>
      </c>
      <c r="H42" s="619">
        <f t="shared" si="4"/>
        <v>2215000</v>
      </c>
      <c r="I42" s="619">
        <v>0</v>
      </c>
      <c r="J42" s="619">
        <v>2215000</v>
      </c>
      <c r="K42" s="619">
        <f t="shared" si="5"/>
        <v>0</v>
      </c>
      <c r="L42" s="619">
        <v>0</v>
      </c>
      <c r="M42" s="619">
        <v>0</v>
      </c>
    </row>
    <row r="43" spans="1:13" s="563" customFormat="1" ht="18" customHeight="1">
      <c r="A43" s="1095"/>
      <c r="B43" s="1096"/>
      <c r="C43" s="1095"/>
      <c r="D43" s="1096"/>
      <c r="E43" s="1097" t="s">
        <v>975</v>
      </c>
      <c r="F43" s="1098"/>
      <c r="G43" s="617">
        <f t="shared" si="3"/>
        <v>3000000</v>
      </c>
      <c r="H43" s="617">
        <f t="shared" si="4"/>
        <v>3000000</v>
      </c>
      <c r="I43" s="617">
        <f>I44</f>
        <v>0</v>
      </c>
      <c r="J43" s="617">
        <f>J44</f>
        <v>3000000</v>
      </c>
      <c r="K43" s="617">
        <f t="shared" si="5"/>
        <v>0</v>
      </c>
      <c r="L43" s="617">
        <f>L44</f>
        <v>0</v>
      </c>
      <c r="M43" s="617">
        <f>M44</f>
        <v>0</v>
      </c>
    </row>
    <row r="44" spans="1:13" s="553" customFormat="1" ht="18" customHeight="1">
      <c r="A44" s="1079" t="s">
        <v>40</v>
      </c>
      <c r="B44" s="1080"/>
      <c r="C44" s="1079" t="s">
        <v>905</v>
      </c>
      <c r="D44" s="1080"/>
      <c r="E44" s="1073" t="s">
        <v>1009</v>
      </c>
      <c r="F44" s="1074"/>
      <c r="G44" s="618">
        <f t="shared" si="3"/>
        <v>3000000</v>
      </c>
      <c r="H44" s="618">
        <f t="shared" si="4"/>
        <v>3000000</v>
      </c>
      <c r="I44" s="618">
        <v>0</v>
      </c>
      <c r="J44" s="618">
        <v>3000000</v>
      </c>
      <c r="K44" s="618">
        <f t="shared" si="5"/>
        <v>0</v>
      </c>
      <c r="L44" s="618">
        <v>0</v>
      </c>
      <c r="M44" s="618">
        <v>0</v>
      </c>
    </row>
    <row r="45" spans="1:13" s="563" customFormat="1" ht="18" customHeight="1">
      <c r="A45" s="1095"/>
      <c r="B45" s="1096"/>
      <c r="C45" s="1095"/>
      <c r="D45" s="1096"/>
      <c r="E45" s="1097" t="s">
        <v>1014</v>
      </c>
      <c r="F45" s="1098"/>
      <c r="G45" s="617">
        <f t="shared" si="3"/>
        <v>1300000</v>
      </c>
      <c r="H45" s="617">
        <f t="shared" si="4"/>
        <v>1300000</v>
      </c>
      <c r="I45" s="617">
        <f>I46</f>
        <v>0</v>
      </c>
      <c r="J45" s="617">
        <f>J46</f>
        <v>1300000</v>
      </c>
      <c r="K45" s="617">
        <f t="shared" si="5"/>
        <v>0</v>
      </c>
      <c r="L45" s="617">
        <f>L46</f>
        <v>0</v>
      </c>
      <c r="M45" s="617">
        <f>M46</f>
        <v>0</v>
      </c>
    </row>
    <row r="46" spans="1:13" s="553" customFormat="1" ht="18" customHeight="1">
      <c r="A46" s="1079" t="s">
        <v>40</v>
      </c>
      <c r="B46" s="1080"/>
      <c r="C46" s="1079" t="s">
        <v>905</v>
      </c>
      <c r="D46" s="1080"/>
      <c r="E46" s="1073" t="s">
        <v>1009</v>
      </c>
      <c r="F46" s="1074"/>
      <c r="G46" s="618">
        <f t="shared" si="3"/>
        <v>1300000</v>
      </c>
      <c r="H46" s="618">
        <f t="shared" si="4"/>
        <v>1300000</v>
      </c>
      <c r="I46" s="618">
        <v>0</v>
      </c>
      <c r="J46" s="618">
        <v>1300000</v>
      </c>
      <c r="K46" s="618">
        <f t="shared" si="5"/>
        <v>0</v>
      </c>
      <c r="L46" s="618">
        <v>0</v>
      </c>
      <c r="M46" s="618">
        <v>0</v>
      </c>
    </row>
    <row r="47" spans="1:13" s="563" customFormat="1" ht="18" customHeight="1">
      <c r="A47" s="1099"/>
      <c r="B47" s="1100"/>
      <c r="C47" s="1095"/>
      <c r="D47" s="1096"/>
      <c r="E47" s="1097" t="s">
        <v>1015</v>
      </c>
      <c r="F47" s="1098"/>
      <c r="G47" s="617">
        <f t="shared" si="3"/>
        <v>980521</v>
      </c>
      <c r="H47" s="617">
        <f t="shared" si="4"/>
        <v>980521</v>
      </c>
      <c r="I47" s="617">
        <f>I48</f>
        <v>0</v>
      </c>
      <c r="J47" s="617">
        <f>J48</f>
        <v>980521</v>
      </c>
      <c r="K47" s="617">
        <f t="shared" si="5"/>
        <v>0</v>
      </c>
      <c r="L47" s="617">
        <f>L48</f>
        <v>0</v>
      </c>
      <c r="M47" s="617">
        <f>M48</f>
        <v>0</v>
      </c>
    </row>
    <row r="48" spans="1:13" s="553" customFormat="1" ht="18" customHeight="1">
      <c r="A48" s="1075" t="s">
        <v>40</v>
      </c>
      <c r="B48" s="1076"/>
      <c r="C48" s="1075" t="s">
        <v>905</v>
      </c>
      <c r="D48" s="1076"/>
      <c r="E48" s="1073" t="s">
        <v>1016</v>
      </c>
      <c r="F48" s="1074"/>
      <c r="G48" s="618">
        <f t="shared" si="3"/>
        <v>980521</v>
      </c>
      <c r="H48" s="618">
        <f t="shared" si="4"/>
        <v>980521</v>
      </c>
      <c r="I48" s="618">
        <f>I49+I50</f>
        <v>0</v>
      </c>
      <c r="J48" s="618">
        <f>J49+J50</f>
        <v>980521</v>
      </c>
      <c r="K48" s="618">
        <f t="shared" si="5"/>
        <v>0</v>
      </c>
      <c r="L48" s="618">
        <f>L49+L50</f>
        <v>0</v>
      </c>
      <c r="M48" s="618">
        <f>M49+M50</f>
        <v>0</v>
      </c>
    </row>
    <row r="49" spans="1:13" s="621" customFormat="1" ht="18" customHeight="1">
      <c r="A49" s="1101"/>
      <c r="B49" s="1102"/>
      <c r="C49" s="1101"/>
      <c r="D49" s="1102"/>
      <c r="E49" s="1103" t="s">
        <v>1017</v>
      </c>
      <c r="F49" s="1104"/>
      <c r="G49" s="620">
        <f t="shared" si="3"/>
        <v>907408</v>
      </c>
      <c r="H49" s="620">
        <f t="shared" si="4"/>
        <v>907408</v>
      </c>
      <c r="I49" s="620"/>
      <c r="J49" s="620">
        <v>907408</v>
      </c>
      <c r="K49" s="620"/>
      <c r="L49" s="620"/>
      <c r="M49" s="620"/>
    </row>
    <row r="50" spans="1:13" s="621" customFormat="1" ht="18" customHeight="1">
      <c r="A50" s="1101"/>
      <c r="B50" s="1102"/>
      <c r="C50" s="1101"/>
      <c r="D50" s="1102"/>
      <c r="E50" s="1103" t="s">
        <v>1018</v>
      </c>
      <c r="F50" s="1104"/>
      <c r="G50" s="622">
        <f t="shared" si="3"/>
        <v>73113</v>
      </c>
      <c r="H50" s="622">
        <f t="shared" si="4"/>
        <v>73113</v>
      </c>
      <c r="I50" s="622"/>
      <c r="J50" s="622">
        <v>73113</v>
      </c>
      <c r="K50" s="622"/>
      <c r="L50" s="622"/>
      <c r="M50" s="622"/>
    </row>
    <row r="51" spans="1:13" s="563" customFormat="1" ht="18" customHeight="1">
      <c r="A51" s="1095"/>
      <c r="B51" s="1096"/>
      <c r="C51" s="1095"/>
      <c r="D51" s="1096"/>
      <c r="E51" s="1097" t="s">
        <v>907</v>
      </c>
      <c r="F51" s="1098"/>
      <c r="G51" s="617">
        <f t="shared" si="3"/>
        <v>1245100</v>
      </c>
      <c r="H51" s="617">
        <f t="shared" si="4"/>
        <v>1245100</v>
      </c>
      <c r="I51" s="617">
        <f>I52</f>
        <v>0</v>
      </c>
      <c r="J51" s="617">
        <f>J52</f>
        <v>1245100</v>
      </c>
      <c r="K51" s="617">
        <f t="shared" ref="K51:K61" si="6">L51+M51</f>
        <v>0</v>
      </c>
      <c r="L51" s="617">
        <f>L52</f>
        <v>0</v>
      </c>
      <c r="M51" s="617">
        <f>M52</f>
        <v>0</v>
      </c>
    </row>
    <row r="52" spans="1:13" s="553" customFormat="1" ht="18" customHeight="1">
      <c r="A52" s="1079" t="s">
        <v>40</v>
      </c>
      <c r="B52" s="1080"/>
      <c r="C52" s="1079" t="s">
        <v>905</v>
      </c>
      <c r="D52" s="1080"/>
      <c r="E52" s="1073" t="s">
        <v>1009</v>
      </c>
      <c r="F52" s="1074"/>
      <c r="G52" s="619">
        <f t="shared" si="3"/>
        <v>1245100</v>
      </c>
      <c r="H52" s="619">
        <f t="shared" si="4"/>
        <v>1245100</v>
      </c>
      <c r="I52" s="619">
        <v>0</v>
      </c>
      <c r="J52" s="619">
        <v>1245100</v>
      </c>
      <c r="K52" s="619">
        <f t="shared" si="6"/>
        <v>0</v>
      </c>
      <c r="L52" s="619">
        <v>0</v>
      </c>
      <c r="M52" s="619">
        <v>0</v>
      </c>
    </row>
    <row r="53" spans="1:13" s="563" customFormat="1" ht="18" customHeight="1">
      <c r="A53" s="1095"/>
      <c r="B53" s="1096"/>
      <c r="C53" s="1095"/>
      <c r="D53" s="1096"/>
      <c r="E53" s="1097" t="s">
        <v>1019</v>
      </c>
      <c r="F53" s="1098"/>
      <c r="G53" s="617">
        <f t="shared" si="3"/>
        <v>1144426</v>
      </c>
      <c r="H53" s="617">
        <f t="shared" si="4"/>
        <v>1144426</v>
      </c>
      <c r="I53" s="617">
        <f>I54</f>
        <v>0</v>
      </c>
      <c r="J53" s="617">
        <f>J54</f>
        <v>1144426</v>
      </c>
      <c r="K53" s="617">
        <f t="shared" si="6"/>
        <v>0</v>
      </c>
      <c r="L53" s="617">
        <f>L54</f>
        <v>0</v>
      </c>
      <c r="M53" s="617">
        <f>M54</f>
        <v>0</v>
      </c>
    </row>
    <row r="54" spans="1:13" s="553" customFormat="1" ht="18" customHeight="1">
      <c r="A54" s="1079" t="s">
        <v>40</v>
      </c>
      <c r="B54" s="1080"/>
      <c r="C54" s="1079" t="s">
        <v>1020</v>
      </c>
      <c r="D54" s="1080"/>
      <c r="E54" s="1073" t="s">
        <v>1009</v>
      </c>
      <c r="F54" s="1074"/>
      <c r="G54" s="619">
        <f t="shared" si="3"/>
        <v>1144426</v>
      </c>
      <c r="H54" s="619">
        <f t="shared" si="4"/>
        <v>1144426</v>
      </c>
      <c r="I54" s="619">
        <v>0</v>
      </c>
      <c r="J54" s="619">
        <v>1144426</v>
      </c>
      <c r="K54" s="619">
        <f t="shared" si="6"/>
        <v>0</v>
      </c>
      <c r="L54" s="619">
        <v>0</v>
      </c>
      <c r="M54" s="619">
        <v>0</v>
      </c>
    </row>
    <row r="55" spans="1:13" s="563" customFormat="1" ht="18" customHeight="1">
      <c r="A55" s="1095"/>
      <c r="B55" s="1096"/>
      <c r="C55" s="1095"/>
      <c r="D55" s="1096"/>
      <c r="E55" s="1097" t="s">
        <v>1021</v>
      </c>
      <c r="F55" s="1098"/>
      <c r="G55" s="617">
        <f t="shared" si="3"/>
        <v>1524000</v>
      </c>
      <c r="H55" s="617">
        <f t="shared" si="4"/>
        <v>1524000</v>
      </c>
      <c r="I55" s="617">
        <f>I56+I57</f>
        <v>0</v>
      </c>
      <c r="J55" s="617">
        <f>J56+J57</f>
        <v>1524000</v>
      </c>
      <c r="K55" s="617">
        <f t="shared" si="6"/>
        <v>0</v>
      </c>
      <c r="L55" s="617">
        <f>L56+L57</f>
        <v>0</v>
      </c>
      <c r="M55" s="617">
        <f>M56+M57</f>
        <v>0</v>
      </c>
    </row>
    <row r="56" spans="1:13" s="553" customFormat="1" ht="18" customHeight="1">
      <c r="A56" s="1075" t="s">
        <v>40</v>
      </c>
      <c r="B56" s="1076"/>
      <c r="C56" s="1075" t="s">
        <v>1020</v>
      </c>
      <c r="D56" s="1076"/>
      <c r="E56" s="1073" t="s">
        <v>1009</v>
      </c>
      <c r="F56" s="1074"/>
      <c r="G56" s="619">
        <f t="shared" si="3"/>
        <v>1460000</v>
      </c>
      <c r="H56" s="619">
        <f t="shared" si="4"/>
        <v>1460000</v>
      </c>
      <c r="I56" s="619">
        <v>0</v>
      </c>
      <c r="J56" s="619">
        <v>1460000</v>
      </c>
      <c r="K56" s="619">
        <f t="shared" si="6"/>
        <v>0</v>
      </c>
      <c r="L56" s="619">
        <v>0</v>
      </c>
      <c r="M56" s="619">
        <v>0</v>
      </c>
    </row>
    <row r="57" spans="1:13" s="553" customFormat="1" ht="18" customHeight="1">
      <c r="A57" s="1084"/>
      <c r="B57" s="1085"/>
      <c r="C57" s="1084"/>
      <c r="D57" s="1085"/>
      <c r="E57" s="1073" t="s">
        <v>1010</v>
      </c>
      <c r="F57" s="1074"/>
      <c r="G57" s="619">
        <f>H57+K57</f>
        <v>64000</v>
      </c>
      <c r="H57" s="619">
        <f>I57+J57</f>
        <v>64000</v>
      </c>
      <c r="I57" s="619">
        <v>0</v>
      </c>
      <c r="J57" s="619">
        <v>64000</v>
      </c>
      <c r="K57" s="619">
        <f>L57+M57</f>
        <v>0</v>
      </c>
      <c r="L57" s="619">
        <v>0</v>
      </c>
      <c r="M57" s="619">
        <v>0</v>
      </c>
    </row>
    <row r="58" spans="1:13" s="563" customFormat="1" ht="18" customHeight="1">
      <c r="A58" s="1099"/>
      <c r="B58" s="1100"/>
      <c r="C58" s="1095"/>
      <c r="D58" s="1096"/>
      <c r="E58" s="1097" t="s">
        <v>1022</v>
      </c>
      <c r="F58" s="1098"/>
      <c r="G58" s="617">
        <f t="shared" si="3"/>
        <v>1299500</v>
      </c>
      <c r="H58" s="617">
        <f t="shared" si="4"/>
        <v>1299500</v>
      </c>
      <c r="I58" s="617">
        <f>I59</f>
        <v>0</v>
      </c>
      <c r="J58" s="617">
        <f>J59</f>
        <v>1299500</v>
      </c>
      <c r="K58" s="617">
        <f t="shared" si="6"/>
        <v>0</v>
      </c>
      <c r="L58" s="617">
        <f>L59</f>
        <v>0</v>
      </c>
      <c r="M58" s="617">
        <f>M59</f>
        <v>0</v>
      </c>
    </row>
    <row r="59" spans="1:13" s="553" customFormat="1" ht="18" customHeight="1">
      <c r="A59" s="1079" t="s">
        <v>40</v>
      </c>
      <c r="B59" s="1080"/>
      <c r="C59" s="1079" t="s">
        <v>1023</v>
      </c>
      <c r="D59" s="1080"/>
      <c r="E59" s="1073" t="s">
        <v>1009</v>
      </c>
      <c r="F59" s="1074"/>
      <c r="G59" s="618">
        <f t="shared" si="3"/>
        <v>1299500</v>
      </c>
      <c r="H59" s="618">
        <f t="shared" si="4"/>
        <v>1299500</v>
      </c>
      <c r="I59" s="618">
        <v>0</v>
      </c>
      <c r="J59" s="618">
        <v>1299500</v>
      </c>
      <c r="K59" s="618">
        <f t="shared" si="6"/>
        <v>0</v>
      </c>
      <c r="L59" s="618">
        <v>0</v>
      </c>
      <c r="M59" s="618">
        <v>0</v>
      </c>
    </row>
    <row r="60" spans="1:13" s="563" customFormat="1" ht="18" customHeight="1">
      <c r="A60" s="1099"/>
      <c r="B60" s="1100"/>
      <c r="C60" s="1095"/>
      <c r="D60" s="1096"/>
      <c r="E60" s="1097" t="s">
        <v>910</v>
      </c>
      <c r="F60" s="1098"/>
      <c r="G60" s="617">
        <f t="shared" si="3"/>
        <v>12353695</v>
      </c>
      <c r="H60" s="617">
        <f t="shared" si="4"/>
        <v>12353695</v>
      </c>
      <c r="I60" s="617">
        <f>I61</f>
        <v>0</v>
      </c>
      <c r="J60" s="617">
        <f>J61</f>
        <v>12353695</v>
      </c>
      <c r="K60" s="617">
        <f t="shared" si="6"/>
        <v>0</v>
      </c>
      <c r="L60" s="617">
        <f>L61</f>
        <v>0</v>
      </c>
      <c r="M60" s="617">
        <f>M61</f>
        <v>0</v>
      </c>
    </row>
    <row r="61" spans="1:13" s="553" customFormat="1" ht="18" customHeight="1">
      <c r="A61" s="1075" t="s">
        <v>40</v>
      </c>
      <c r="B61" s="1076"/>
      <c r="C61" s="1075" t="s">
        <v>908</v>
      </c>
      <c r="D61" s="1076"/>
      <c r="E61" s="1073" t="s">
        <v>1016</v>
      </c>
      <c r="F61" s="1074"/>
      <c r="G61" s="618">
        <f t="shared" si="3"/>
        <v>12353695</v>
      </c>
      <c r="H61" s="618">
        <f t="shared" si="4"/>
        <v>12353695</v>
      </c>
      <c r="I61" s="618">
        <f>I62+I63</f>
        <v>0</v>
      </c>
      <c r="J61" s="618">
        <f>J62+J63</f>
        <v>12353695</v>
      </c>
      <c r="K61" s="618">
        <f t="shared" si="6"/>
        <v>0</v>
      </c>
      <c r="L61" s="618">
        <f>L62+L63</f>
        <v>0</v>
      </c>
      <c r="M61" s="618">
        <f>M62+M63</f>
        <v>0</v>
      </c>
    </row>
    <row r="62" spans="1:13" s="621" customFormat="1" ht="18" customHeight="1">
      <c r="A62" s="1101"/>
      <c r="B62" s="1102"/>
      <c r="C62" s="1101"/>
      <c r="D62" s="1102"/>
      <c r="E62" s="1103" t="s">
        <v>1017</v>
      </c>
      <c r="F62" s="1104"/>
      <c r="G62" s="620">
        <f t="shared" si="3"/>
        <v>10053695</v>
      </c>
      <c r="H62" s="620">
        <f t="shared" si="4"/>
        <v>10053695</v>
      </c>
      <c r="I62" s="620"/>
      <c r="J62" s="620">
        <v>10053695</v>
      </c>
      <c r="K62" s="620"/>
      <c r="L62" s="620"/>
      <c r="M62" s="620"/>
    </row>
    <row r="63" spans="1:13" s="621" customFormat="1" ht="18" customHeight="1">
      <c r="A63" s="1101"/>
      <c r="B63" s="1102"/>
      <c r="C63" s="1101"/>
      <c r="D63" s="1102"/>
      <c r="E63" s="1103" t="s">
        <v>1024</v>
      </c>
      <c r="F63" s="1104"/>
      <c r="G63" s="620">
        <f t="shared" si="3"/>
        <v>2300000</v>
      </c>
      <c r="H63" s="620">
        <f t="shared" si="4"/>
        <v>2300000</v>
      </c>
      <c r="I63" s="620"/>
      <c r="J63" s="620">
        <v>2300000</v>
      </c>
      <c r="K63" s="620"/>
      <c r="L63" s="620"/>
      <c r="M63" s="620"/>
    </row>
    <row r="64" spans="1:13" s="563" customFormat="1" ht="18" customHeight="1">
      <c r="A64" s="1099"/>
      <c r="B64" s="1100"/>
      <c r="C64" s="1095"/>
      <c r="D64" s="1096"/>
      <c r="E64" s="1097" t="s">
        <v>1025</v>
      </c>
      <c r="F64" s="1098"/>
      <c r="G64" s="617">
        <f t="shared" si="3"/>
        <v>10775485</v>
      </c>
      <c r="H64" s="617">
        <f t="shared" si="4"/>
        <v>10775485</v>
      </c>
      <c r="I64" s="617">
        <f>I65+I68</f>
        <v>0</v>
      </c>
      <c r="J64" s="617">
        <f>J65+J68</f>
        <v>10775485</v>
      </c>
      <c r="K64" s="617">
        <f>L64+M64</f>
        <v>0</v>
      </c>
      <c r="L64" s="617">
        <f>L65+L68</f>
        <v>0</v>
      </c>
      <c r="M64" s="617">
        <f>M65+M68</f>
        <v>0</v>
      </c>
    </row>
    <row r="65" spans="1:13" s="553" customFormat="1" ht="18" customHeight="1">
      <c r="A65" s="1075" t="s">
        <v>40</v>
      </c>
      <c r="B65" s="1076"/>
      <c r="C65" s="1075" t="s">
        <v>908</v>
      </c>
      <c r="D65" s="1076"/>
      <c r="E65" s="1073" t="s">
        <v>1016</v>
      </c>
      <c r="F65" s="1074"/>
      <c r="G65" s="618">
        <f t="shared" si="3"/>
        <v>10683355</v>
      </c>
      <c r="H65" s="618">
        <f t="shared" si="4"/>
        <v>10683355</v>
      </c>
      <c r="I65" s="618">
        <f>I66+I67</f>
        <v>0</v>
      </c>
      <c r="J65" s="618">
        <f>J66+J67</f>
        <v>10683355</v>
      </c>
      <c r="K65" s="618">
        <f>L65+M65</f>
        <v>0</v>
      </c>
      <c r="L65" s="618">
        <f>L66+L67</f>
        <v>0</v>
      </c>
      <c r="M65" s="618">
        <f>M66+M67</f>
        <v>0</v>
      </c>
    </row>
    <row r="66" spans="1:13" s="621" customFormat="1" ht="18" customHeight="1">
      <c r="A66" s="1101"/>
      <c r="B66" s="1102"/>
      <c r="C66" s="1101"/>
      <c r="D66" s="1102"/>
      <c r="E66" s="1103" t="s">
        <v>1017</v>
      </c>
      <c r="F66" s="1104"/>
      <c r="G66" s="620">
        <f t="shared" si="3"/>
        <v>9283355</v>
      </c>
      <c r="H66" s="620">
        <f t="shared" si="4"/>
        <v>9283355</v>
      </c>
      <c r="I66" s="620"/>
      <c r="J66" s="620">
        <v>9283355</v>
      </c>
      <c r="K66" s="620"/>
      <c r="L66" s="620"/>
      <c r="M66" s="620"/>
    </row>
    <row r="67" spans="1:13" s="621" customFormat="1" ht="18" customHeight="1">
      <c r="A67" s="1101"/>
      <c r="B67" s="1102"/>
      <c r="C67" s="1101"/>
      <c r="D67" s="1102"/>
      <c r="E67" s="1103" t="s">
        <v>1026</v>
      </c>
      <c r="F67" s="1104"/>
      <c r="G67" s="620">
        <f t="shared" si="3"/>
        <v>1400000</v>
      </c>
      <c r="H67" s="620">
        <f t="shared" si="4"/>
        <v>1400000</v>
      </c>
      <c r="I67" s="620"/>
      <c r="J67" s="620">
        <v>1400000</v>
      </c>
      <c r="K67" s="620"/>
      <c r="L67" s="620"/>
      <c r="M67" s="620"/>
    </row>
    <row r="68" spans="1:13" s="553" customFormat="1" ht="18" customHeight="1">
      <c r="A68" s="1084"/>
      <c r="B68" s="1085"/>
      <c r="C68" s="1084"/>
      <c r="D68" s="1085"/>
      <c r="E68" s="1073" t="s">
        <v>1010</v>
      </c>
      <c r="F68" s="1074"/>
      <c r="G68" s="619">
        <f>H68+K68</f>
        <v>92130</v>
      </c>
      <c r="H68" s="619">
        <f>I68+J68</f>
        <v>92130</v>
      </c>
      <c r="I68" s="619">
        <v>0</v>
      </c>
      <c r="J68" s="619">
        <v>92130</v>
      </c>
      <c r="K68" s="619">
        <f>L68+M68</f>
        <v>0</v>
      </c>
      <c r="L68" s="619">
        <v>0</v>
      </c>
      <c r="M68" s="619">
        <v>0</v>
      </c>
    </row>
    <row r="69" spans="1:13" s="563" customFormat="1" ht="18" customHeight="1">
      <c r="A69" s="1099"/>
      <c r="B69" s="1100"/>
      <c r="C69" s="1095"/>
      <c r="D69" s="1096"/>
      <c r="E69" s="1097" t="s">
        <v>915</v>
      </c>
      <c r="F69" s="1098"/>
      <c r="G69" s="617">
        <f t="shared" si="3"/>
        <v>7448128</v>
      </c>
      <c r="H69" s="617">
        <f t="shared" si="4"/>
        <v>7448128</v>
      </c>
      <c r="I69" s="617">
        <f>I70+I71</f>
        <v>0</v>
      </c>
      <c r="J69" s="617">
        <f>J70+J71</f>
        <v>7448128</v>
      </c>
      <c r="K69" s="617">
        <f t="shared" ref="K69:K75" si="7">L69+M69</f>
        <v>0</v>
      </c>
      <c r="L69" s="617">
        <f>L70+L71</f>
        <v>0</v>
      </c>
      <c r="M69" s="617">
        <f>M70+M71</f>
        <v>0</v>
      </c>
    </row>
    <row r="70" spans="1:13" s="553" customFormat="1" ht="18" customHeight="1">
      <c r="A70" s="1075" t="s">
        <v>40</v>
      </c>
      <c r="B70" s="1076"/>
      <c r="C70" s="1075" t="s">
        <v>912</v>
      </c>
      <c r="D70" s="1076"/>
      <c r="E70" s="1073" t="s">
        <v>1009</v>
      </c>
      <c r="F70" s="1074"/>
      <c r="G70" s="618">
        <f t="shared" si="3"/>
        <v>6902878</v>
      </c>
      <c r="H70" s="618">
        <f t="shared" si="4"/>
        <v>6902878</v>
      </c>
      <c r="I70" s="618">
        <v>0</v>
      </c>
      <c r="J70" s="618">
        <v>6902878</v>
      </c>
      <c r="K70" s="618">
        <f t="shared" si="7"/>
        <v>0</v>
      </c>
      <c r="L70" s="618">
        <v>0</v>
      </c>
      <c r="M70" s="618">
        <v>0</v>
      </c>
    </row>
    <row r="71" spans="1:13" s="553" customFormat="1" ht="18" customHeight="1">
      <c r="A71" s="1071"/>
      <c r="B71" s="1072"/>
      <c r="C71" s="1071"/>
      <c r="D71" s="1072"/>
      <c r="E71" s="1073" t="s">
        <v>1027</v>
      </c>
      <c r="F71" s="1074"/>
      <c r="G71" s="619">
        <f>H71+K71</f>
        <v>545250</v>
      </c>
      <c r="H71" s="619">
        <f>I71+J71</f>
        <v>545250</v>
      </c>
      <c r="I71" s="619">
        <v>0</v>
      </c>
      <c r="J71" s="619">
        <v>545250</v>
      </c>
      <c r="K71" s="619">
        <f>L71+M71</f>
        <v>0</v>
      </c>
      <c r="L71" s="619">
        <v>0</v>
      </c>
      <c r="M71" s="619">
        <v>0</v>
      </c>
    </row>
    <row r="72" spans="1:13" s="563" customFormat="1" ht="18" customHeight="1">
      <c r="A72" s="1099"/>
      <c r="B72" s="1100"/>
      <c r="C72" s="1095"/>
      <c r="D72" s="1096"/>
      <c r="E72" s="1097" t="s">
        <v>914</v>
      </c>
      <c r="F72" s="1098"/>
      <c r="G72" s="617">
        <f t="shared" si="3"/>
        <v>5641351</v>
      </c>
      <c r="H72" s="617">
        <f t="shared" si="4"/>
        <v>5641351</v>
      </c>
      <c r="I72" s="617">
        <f>I73</f>
        <v>0</v>
      </c>
      <c r="J72" s="617">
        <f>J73</f>
        <v>5641351</v>
      </c>
      <c r="K72" s="617">
        <f t="shared" si="7"/>
        <v>0</v>
      </c>
      <c r="L72" s="617">
        <f>L73</f>
        <v>0</v>
      </c>
      <c r="M72" s="617">
        <f>M73</f>
        <v>0</v>
      </c>
    </row>
    <row r="73" spans="1:13" s="553" customFormat="1" ht="18" customHeight="1">
      <c r="A73" s="1079" t="s">
        <v>40</v>
      </c>
      <c r="B73" s="1080"/>
      <c r="C73" s="1079" t="s">
        <v>912</v>
      </c>
      <c r="D73" s="1080"/>
      <c r="E73" s="1073" t="s">
        <v>1009</v>
      </c>
      <c r="F73" s="1074"/>
      <c r="G73" s="619">
        <f t="shared" si="3"/>
        <v>5641351</v>
      </c>
      <c r="H73" s="619">
        <f t="shared" si="4"/>
        <v>5641351</v>
      </c>
      <c r="I73" s="619">
        <v>0</v>
      </c>
      <c r="J73" s="619">
        <v>5641351</v>
      </c>
      <c r="K73" s="619">
        <f t="shared" si="7"/>
        <v>0</v>
      </c>
      <c r="L73" s="619">
        <v>0</v>
      </c>
      <c r="M73" s="619">
        <v>0</v>
      </c>
    </row>
    <row r="74" spans="1:13" s="563" customFormat="1" ht="18" customHeight="1">
      <c r="A74" s="1095"/>
      <c r="B74" s="1096"/>
      <c r="C74" s="1095"/>
      <c r="D74" s="1096"/>
      <c r="E74" s="1097" t="s">
        <v>1028</v>
      </c>
      <c r="F74" s="1098"/>
      <c r="G74" s="617">
        <f t="shared" si="3"/>
        <v>2900000</v>
      </c>
      <c r="H74" s="617">
        <f t="shared" si="4"/>
        <v>2900000</v>
      </c>
      <c r="I74" s="617">
        <f>I75</f>
        <v>0</v>
      </c>
      <c r="J74" s="617">
        <f>J75</f>
        <v>2900000</v>
      </c>
      <c r="K74" s="617">
        <f t="shared" si="7"/>
        <v>0</v>
      </c>
      <c r="L74" s="617">
        <f>L75</f>
        <v>0</v>
      </c>
      <c r="M74" s="617">
        <f>M75</f>
        <v>0</v>
      </c>
    </row>
    <row r="75" spans="1:13" s="553" customFormat="1" ht="18" customHeight="1">
      <c r="A75" s="1079" t="s">
        <v>40</v>
      </c>
      <c r="B75" s="1080"/>
      <c r="C75" s="1079" t="s">
        <v>912</v>
      </c>
      <c r="D75" s="1080"/>
      <c r="E75" s="1073" t="s">
        <v>1009</v>
      </c>
      <c r="F75" s="1074"/>
      <c r="G75" s="618">
        <f t="shared" si="3"/>
        <v>2900000</v>
      </c>
      <c r="H75" s="618">
        <f t="shared" si="4"/>
        <v>2900000</v>
      </c>
      <c r="I75" s="618">
        <v>0</v>
      </c>
      <c r="J75" s="618">
        <v>2900000</v>
      </c>
      <c r="K75" s="618">
        <f t="shared" si="7"/>
        <v>0</v>
      </c>
      <c r="L75" s="618">
        <v>0</v>
      </c>
      <c r="M75" s="618">
        <v>0</v>
      </c>
    </row>
    <row r="76" spans="1:13" s="589" customFormat="1" ht="5.25" customHeight="1">
      <c r="A76" s="601"/>
      <c r="B76" s="602"/>
      <c r="C76" s="602"/>
      <c r="D76" s="602"/>
      <c r="E76" s="603"/>
      <c r="F76" s="604"/>
      <c r="G76" s="605"/>
      <c r="H76" s="606"/>
      <c r="I76" s="606"/>
      <c r="J76" s="606"/>
      <c r="K76" s="606"/>
      <c r="L76" s="606"/>
      <c r="M76" s="607"/>
    </row>
    <row r="77" spans="1:13" s="592" customFormat="1" ht="18" customHeight="1">
      <c r="A77" s="1093" t="s">
        <v>1029</v>
      </c>
      <c r="B77" s="1094"/>
      <c r="C77" s="1094"/>
      <c r="D77" s="1094"/>
      <c r="E77" s="1094"/>
      <c r="F77" s="1094"/>
      <c r="G77" s="608">
        <f>H77+K77</f>
        <v>290888096</v>
      </c>
      <c r="H77" s="608">
        <f>I77+J77</f>
        <v>199568875</v>
      </c>
      <c r="I77" s="608">
        <f>I79+I134+I139+I143</f>
        <v>168963655</v>
      </c>
      <c r="J77" s="608">
        <f>J79+J134+J139+J143</f>
        <v>30605220</v>
      </c>
      <c r="K77" s="608">
        <f>L77+M77</f>
        <v>91319221</v>
      </c>
      <c r="L77" s="608">
        <f>L79+L134+L139+L143</f>
        <v>11968991</v>
      </c>
      <c r="M77" s="608">
        <f>M79+M134+M139+M143</f>
        <v>79350230</v>
      </c>
    </row>
    <row r="78" spans="1:13" s="589" customFormat="1" ht="5.25" customHeight="1">
      <c r="A78" s="623"/>
      <c r="B78" s="624"/>
      <c r="C78" s="624"/>
      <c r="D78" s="624"/>
      <c r="E78" s="625"/>
      <c r="F78" s="625"/>
      <c r="G78" s="626"/>
      <c r="H78" s="627"/>
      <c r="I78" s="627"/>
      <c r="J78" s="627"/>
      <c r="K78" s="627"/>
      <c r="L78" s="627"/>
      <c r="M78" s="628"/>
    </row>
    <row r="79" spans="1:13" s="630" customFormat="1" ht="18" customHeight="1">
      <c r="A79" s="1090" t="s">
        <v>1030</v>
      </c>
      <c r="B79" s="1091"/>
      <c r="C79" s="1091"/>
      <c r="D79" s="1091"/>
      <c r="E79" s="1091"/>
      <c r="F79" s="1092"/>
      <c r="G79" s="629">
        <f>H79+K79</f>
        <v>145505981</v>
      </c>
      <c r="H79" s="629">
        <f>I79+J79</f>
        <v>105324812</v>
      </c>
      <c r="I79" s="629">
        <f>I81+I82+I83+I84+I85+I86+I87+I88+I89+I90+I91+I92+I93+I94+I95+I96+I97+I98+I99+I100+I101+I102+I103+I104+I105+I106+I107+I108+I109+I110+I111+I112+I113+I114+I115+I116+I117+I118+I119+I120+I121+I122+I123+I124+I125+I126+I127+I128+I129+I130+I131+I132</f>
        <v>90460290</v>
      </c>
      <c r="J79" s="629">
        <f>J81+J82+J83+J84+J85+J86+J87+J88+J89+J90+J91+J92+J93+J94+J95+J96+J97+J98+J99+J100+J101+J102+J103+J104+J105+J106+J107+J108+J109+J110+J111+J112+J113+J114+J115+J116+J117+J118+J119+J120+J121+J122+J123+J124+J125+J126+J127+J128+J129+J130+J131+J132</f>
        <v>14864522</v>
      </c>
      <c r="K79" s="629">
        <f>L79+M79</f>
        <v>40181169</v>
      </c>
      <c r="L79" s="629">
        <f>L81+L82+L83+L84+L85+L86+L87+L88+L89+L90+L91+L92+L93+L94+L95+L96+L97+L98+L99+L100+L101+L102+L103+L104+L105+L106+L107+L108+L109+L110+L111+L112+L113+L114+L115+L116+L117+L118+L119+L120+L121+L122+L123+L124+L125+L126+L127+L128+L129+L130+L131+L132</f>
        <v>11468991</v>
      </c>
      <c r="M79" s="629">
        <f>M81+M82+M83+M84+M85+M86+M87+M88+M89+M90+M91+M92+M93+M94+M95+M96+M97+M98+M99+M100+M101+M102+M103+M104+M105+M106+M107+M108+M109+M110+M111+M112+M113+M114+M115+M116+M117+M118+M119+M120+M121+M122+M123+M124+M125+M126+M127+M128+M129+M130+M131+M132</f>
        <v>28712178</v>
      </c>
    </row>
    <row r="80" spans="1:13" s="616" customFormat="1" ht="5.25" customHeight="1">
      <c r="A80" s="631"/>
      <c r="B80" s="632"/>
      <c r="C80" s="612"/>
      <c r="D80" s="612"/>
      <c r="E80" s="612"/>
      <c r="F80" s="612"/>
      <c r="G80" s="613"/>
      <c r="H80" s="614"/>
      <c r="I80" s="614"/>
      <c r="J80" s="614"/>
      <c r="K80" s="614"/>
      <c r="L80" s="614"/>
      <c r="M80" s="615"/>
    </row>
    <row r="81" spans="1:13" s="553" customFormat="1" ht="18" customHeight="1">
      <c r="A81" s="1075" t="s">
        <v>71</v>
      </c>
      <c r="B81" s="1076"/>
      <c r="C81" s="1071" t="s">
        <v>418</v>
      </c>
      <c r="D81" s="1072"/>
      <c r="E81" s="633" t="s">
        <v>768</v>
      </c>
      <c r="F81" s="634" t="s">
        <v>770</v>
      </c>
      <c r="G81" s="619">
        <f t="shared" ref="G81:G131" si="8">H81+K81</f>
        <v>400000</v>
      </c>
      <c r="H81" s="619">
        <f t="shared" ref="H81:H131" si="9">I81+J81</f>
        <v>0</v>
      </c>
      <c r="I81" s="619">
        <v>0</v>
      </c>
      <c r="J81" s="619">
        <v>0</v>
      </c>
      <c r="K81" s="619">
        <f t="shared" ref="K81:K131" si="10">L81+M81</f>
        <v>400000</v>
      </c>
      <c r="L81" s="619">
        <v>0</v>
      </c>
      <c r="M81" s="619">
        <v>400000</v>
      </c>
    </row>
    <row r="82" spans="1:13" s="638" customFormat="1" ht="18" customHeight="1">
      <c r="A82" s="1062"/>
      <c r="B82" s="1063"/>
      <c r="C82" s="1062"/>
      <c r="D82" s="1063"/>
      <c r="E82" s="635" t="s">
        <v>710</v>
      </c>
      <c r="F82" s="636" t="s">
        <v>797</v>
      </c>
      <c r="G82" s="637">
        <f t="shared" si="8"/>
        <v>450000</v>
      </c>
      <c r="H82" s="637">
        <f t="shared" si="9"/>
        <v>0</v>
      </c>
      <c r="I82" s="637">
        <v>0</v>
      </c>
      <c r="J82" s="637">
        <v>0</v>
      </c>
      <c r="K82" s="637">
        <f t="shared" si="10"/>
        <v>450000</v>
      </c>
      <c r="L82" s="637">
        <v>0</v>
      </c>
      <c r="M82" s="637">
        <v>450000</v>
      </c>
    </row>
    <row r="83" spans="1:13" s="638" customFormat="1" ht="30" customHeight="1">
      <c r="A83" s="1062"/>
      <c r="B83" s="1063"/>
      <c r="C83" s="1062"/>
      <c r="D83" s="1063"/>
      <c r="E83" s="639"/>
      <c r="F83" s="636" t="s">
        <v>1031</v>
      </c>
      <c r="G83" s="599">
        <f t="shared" si="8"/>
        <v>6104557</v>
      </c>
      <c r="H83" s="599">
        <f t="shared" si="9"/>
        <v>0</v>
      </c>
      <c r="I83" s="599">
        <v>0</v>
      </c>
      <c r="J83" s="599">
        <v>0</v>
      </c>
      <c r="K83" s="599">
        <f t="shared" si="10"/>
        <v>6104557</v>
      </c>
      <c r="L83" s="599">
        <v>0</v>
      </c>
      <c r="M83" s="599">
        <v>6104557</v>
      </c>
    </row>
    <row r="84" spans="1:13" s="553" customFormat="1" ht="18" customHeight="1">
      <c r="A84" s="1084"/>
      <c r="B84" s="1085"/>
      <c r="C84" s="1084"/>
      <c r="D84" s="1085"/>
      <c r="E84" s="633" t="s">
        <v>799</v>
      </c>
      <c r="F84" s="634" t="s">
        <v>800</v>
      </c>
      <c r="G84" s="619">
        <f t="shared" si="8"/>
        <v>1750000</v>
      </c>
      <c r="H84" s="619">
        <f t="shared" si="9"/>
        <v>950000</v>
      </c>
      <c r="I84" s="619">
        <v>0</v>
      </c>
      <c r="J84" s="619">
        <f>450000+500000</f>
        <v>950000</v>
      </c>
      <c r="K84" s="619">
        <f t="shared" si="10"/>
        <v>800000</v>
      </c>
      <c r="L84" s="619">
        <v>0</v>
      </c>
      <c r="M84" s="619">
        <v>800000</v>
      </c>
    </row>
    <row r="85" spans="1:13" s="638" customFormat="1" ht="53.45" customHeight="1">
      <c r="A85" s="1077" t="s">
        <v>23</v>
      </c>
      <c r="B85" s="1078"/>
      <c r="C85" s="1082" t="s">
        <v>369</v>
      </c>
      <c r="D85" s="1083"/>
      <c r="E85" s="640" t="s">
        <v>605</v>
      </c>
      <c r="F85" s="636" t="s">
        <v>1032</v>
      </c>
      <c r="G85" s="599">
        <f t="shared" si="8"/>
        <v>1662544</v>
      </c>
      <c r="H85" s="599">
        <f t="shared" si="9"/>
        <v>1662544</v>
      </c>
      <c r="I85" s="599">
        <v>1662544</v>
      </c>
      <c r="J85" s="599">
        <v>0</v>
      </c>
      <c r="K85" s="599">
        <f t="shared" si="10"/>
        <v>0</v>
      </c>
      <c r="L85" s="599">
        <v>0</v>
      </c>
      <c r="M85" s="599">
        <v>0</v>
      </c>
    </row>
    <row r="86" spans="1:13" s="638" customFormat="1" ht="30" customHeight="1">
      <c r="A86" s="1062"/>
      <c r="B86" s="1063"/>
      <c r="C86" s="1082" t="s">
        <v>424</v>
      </c>
      <c r="D86" s="1083"/>
      <c r="E86" s="635" t="s">
        <v>598</v>
      </c>
      <c r="F86" s="636" t="s">
        <v>733</v>
      </c>
      <c r="G86" s="637">
        <f>H86+K86</f>
        <v>223853</v>
      </c>
      <c r="H86" s="637">
        <f>I86+J86</f>
        <v>223853</v>
      </c>
      <c r="I86" s="637">
        <v>223853</v>
      </c>
      <c r="J86" s="637">
        <v>0</v>
      </c>
      <c r="K86" s="637">
        <f>L86+M86</f>
        <v>0</v>
      </c>
      <c r="L86" s="637">
        <v>0</v>
      </c>
      <c r="M86" s="637">
        <v>0</v>
      </c>
    </row>
    <row r="87" spans="1:13" s="638" customFormat="1" ht="30" customHeight="1">
      <c r="A87" s="1062"/>
      <c r="B87" s="1063"/>
      <c r="C87" s="1082" t="s">
        <v>880</v>
      </c>
      <c r="D87" s="1083"/>
      <c r="E87" s="635" t="s">
        <v>598</v>
      </c>
      <c r="F87" s="636" t="s">
        <v>733</v>
      </c>
      <c r="G87" s="637">
        <f>H87+K87</f>
        <v>814000</v>
      </c>
      <c r="H87" s="637">
        <f>I87+J87</f>
        <v>814000</v>
      </c>
      <c r="I87" s="637">
        <v>814000</v>
      </c>
      <c r="J87" s="637">
        <v>0</v>
      </c>
      <c r="K87" s="637">
        <f>L87+M87</f>
        <v>0</v>
      </c>
      <c r="L87" s="637">
        <v>0</v>
      </c>
      <c r="M87" s="637">
        <v>0</v>
      </c>
    </row>
    <row r="88" spans="1:13" s="553" customFormat="1" ht="18" customHeight="1">
      <c r="A88" s="1075" t="s">
        <v>85</v>
      </c>
      <c r="B88" s="1076"/>
      <c r="C88" s="1075" t="s">
        <v>434</v>
      </c>
      <c r="D88" s="1076"/>
      <c r="E88" s="641" t="s">
        <v>477</v>
      </c>
      <c r="F88" s="634" t="s">
        <v>584</v>
      </c>
      <c r="G88" s="619">
        <f t="shared" si="8"/>
        <v>11812365</v>
      </c>
      <c r="H88" s="619">
        <f t="shared" si="9"/>
        <v>11812365</v>
      </c>
      <c r="I88" s="619">
        <v>11812365</v>
      </c>
      <c r="J88" s="619"/>
      <c r="K88" s="619">
        <f t="shared" si="10"/>
        <v>0</v>
      </c>
      <c r="L88" s="619">
        <v>0</v>
      </c>
      <c r="M88" s="619">
        <v>0</v>
      </c>
    </row>
    <row r="89" spans="1:13" s="638" customFormat="1" ht="30" customHeight="1">
      <c r="A89" s="1062"/>
      <c r="B89" s="1063"/>
      <c r="C89" s="1062"/>
      <c r="D89" s="1063"/>
      <c r="E89" s="642"/>
      <c r="F89" s="636" t="s">
        <v>587</v>
      </c>
      <c r="G89" s="599">
        <f t="shared" si="8"/>
        <v>10200000</v>
      </c>
      <c r="H89" s="599">
        <f t="shared" si="9"/>
        <v>10200000</v>
      </c>
      <c r="I89" s="599">
        <v>10200000</v>
      </c>
      <c r="J89" s="599">
        <v>0</v>
      </c>
      <c r="K89" s="599">
        <f t="shared" si="10"/>
        <v>0</v>
      </c>
      <c r="L89" s="599">
        <v>0</v>
      </c>
      <c r="M89" s="599">
        <v>0</v>
      </c>
    </row>
    <row r="90" spans="1:13" s="638" customFormat="1" ht="30" customHeight="1">
      <c r="A90" s="1062"/>
      <c r="B90" s="1063"/>
      <c r="C90" s="1062"/>
      <c r="D90" s="1063"/>
      <c r="E90" s="639"/>
      <c r="F90" s="636" t="s">
        <v>588</v>
      </c>
      <c r="G90" s="599">
        <f t="shared" si="8"/>
        <v>13994346</v>
      </c>
      <c r="H90" s="599">
        <f t="shared" si="9"/>
        <v>12201521</v>
      </c>
      <c r="I90" s="599">
        <v>12201521</v>
      </c>
      <c r="J90" s="599">
        <v>0</v>
      </c>
      <c r="K90" s="599">
        <f t="shared" si="10"/>
        <v>1792825</v>
      </c>
      <c r="L90" s="599">
        <v>1792825</v>
      </c>
      <c r="M90" s="599">
        <v>0</v>
      </c>
    </row>
    <row r="91" spans="1:13" s="553" customFormat="1" ht="18" customHeight="1">
      <c r="A91" s="1084"/>
      <c r="B91" s="1085"/>
      <c r="C91" s="1084"/>
      <c r="D91" s="1085"/>
      <c r="E91" s="633" t="s">
        <v>589</v>
      </c>
      <c r="F91" s="634" t="s">
        <v>591</v>
      </c>
      <c r="G91" s="619">
        <f t="shared" si="8"/>
        <v>4789850</v>
      </c>
      <c r="H91" s="619">
        <f t="shared" si="9"/>
        <v>4717557</v>
      </c>
      <c r="I91" s="619">
        <f>44750+4672807</f>
        <v>4717557</v>
      </c>
      <c r="J91" s="619">
        <v>0</v>
      </c>
      <c r="K91" s="619">
        <f t="shared" si="10"/>
        <v>72293</v>
      </c>
      <c r="L91" s="619">
        <v>72293</v>
      </c>
      <c r="M91" s="619">
        <v>0</v>
      </c>
    </row>
    <row r="92" spans="1:13" s="638" customFormat="1" ht="39.950000000000003" customHeight="1">
      <c r="A92" s="1077" t="s">
        <v>29</v>
      </c>
      <c r="B92" s="1078"/>
      <c r="C92" s="1077" t="s">
        <v>440</v>
      </c>
      <c r="D92" s="1078"/>
      <c r="E92" s="635" t="s">
        <v>569</v>
      </c>
      <c r="F92" s="636" t="s">
        <v>571</v>
      </c>
      <c r="G92" s="599">
        <f t="shared" si="8"/>
        <v>350000</v>
      </c>
      <c r="H92" s="599">
        <f t="shared" si="9"/>
        <v>350000</v>
      </c>
      <c r="I92" s="599">
        <v>0</v>
      </c>
      <c r="J92" s="599">
        <v>350000</v>
      </c>
      <c r="K92" s="599">
        <f t="shared" si="10"/>
        <v>0</v>
      </c>
      <c r="L92" s="599">
        <v>0</v>
      </c>
      <c r="M92" s="599">
        <v>0</v>
      </c>
    </row>
    <row r="93" spans="1:13" s="553" customFormat="1" ht="18" customHeight="1">
      <c r="A93" s="1071"/>
      <c r="B93" s="1072"/>
      <c r="C93" s="1071"/>
      <c r="D93" s="1072"/>
      <c r="E93" s="643"/>
      <c r="F93" s="634" t="s">
        <v>575</v>
      </c>
      <c r="G93" s="619">
        <f t="shared" si="8"/>
        <v>5000</v>
      </c>
      <c r="H93" s="619">
        <f t="shared" si="9"/>
        <v>5000</v>
      </c>
      <c r="I93" s="619">
        <v>0</v>
      </c>
      <c r="J93" s="619">
        <v>5000</v>
      </c>
      <c r="K93" s="619">
        <f t="shared" si="10"/>
        <v>0</v>
      </c>
      <c r="L93" s="619">
        <v>0</v>
      </c>
      <c r="M93" s="619">
        <v>0</v>
      </c>
    </row>
    <row r="94" spans="1:13" s="638" customFormat="1" ht="30" customHeight="1">
      <c r="A94" s="1062"/>
      <c r="B94" s="1063"/>
      <c r="C94" s="1064"/>
      <c r="D94" s="1065"/>
      <c r="E94" s="639"/>
      <c r="F94" s="636" t="s">
        <v>576</v>
      </c>
      <c r="G94" s="599">
        <f t="shared" si="8"/>
        <v>5401120</v>
      </c>
      <c r="H94" s="599">
        <f t="shared" si="9"/>
        <v>0</v>
      </c>
      <c r="I94" s="599">
        <v>0</v>
      </c>
      <c r="J94" s="599">
        <v>0</v>
      </c>
      <c r="K94" s="599">
        <f t="shared" si="10"/>
        <v>5401120</v>
      </c>
      <c r="L94" s="599">
        <v>0</v>
      </c>
      <c r="M94" s="599">
        <v>5401120</v>
      </c>
    </row>
    <row r="95" spans="1:13" s="638" customFormat="1" ht="30" customHeight="1">
      <c r="A95" s="1077" t="s">
        <v>94</v>
      </c>
      <c r="B95" s="1078"/>
      <c r="C95" s="1082" t="s">
        <v>1033</v>
      </c>
      <c r="D95" s="1083"/>
      <c r="E95" s="635" t="s">
        <v>500</v>
      </c>
      <c r="F95" s="636" t="s">
        <v>738</v>
      </c>
      <c r="G95" s="599">
        <f t="shared" si="8"/>
        <v>50422</v>
      </c>
      <c r="H95" s="599">
        <f t="shared" si="9"/>
        <v>0</v>
      </c>
      <c r="I95" s="599">
        <v>0</v>
      </c>
      <c r="J95" s="599"/>
      <c r="K95" s="599">
        <f t="shared" si="10"/>
        <v>50422</v>
      </c>
      <c r="L95" s="599">
        <v>50422</v>
      </c>
      <c r="M95" s="599">
        <v>0</v>
      </c>
    </row>
    <row r="96" spans="1:13" s="553" customFormat="1" ht="18" customHeight="1">
      <c r="A96" s="1075" t="s">
        <v>33</v>
      </c>
      <c r="B96" s="1076"/>
      <c r="C96" s="1071" t="s">
        <v>1034</v>
      </c>
      <c r="D96" s="1072"/>
      <c r="E96" s="641" t="s">
        <v>640</v>
      </c>
      <c r="F96" s="634" t="s">
        <v>753</v>
      </c>
      <c r="G96" s="618">
        <f>H96+K96</f>
        <v>293268</v>
      </c>
      <c r="H96" s="618">
        <f>I96+J96</f>
        <v>293268</v>
      </c>
      <c r="I96" s="618">
        <v>293268</v>
      </c>
      <c r="J96" s="618">
        <v>0</v>
      </c>
      <c r="K96" s="618">
        <f>L96+M96</f>
        <v>0</v>
      </c>
      <c r="L96" s="618">
        <v>0</v>
      </c>
      <c r="M96" s="618">
        <v>0</v>
      </c>
    </row>
    <row r="97" spans="1:13" s="553" customFormat="1" ht="18" customHeight="1">
      <c r="A97" s="1071"/>
      <c r="B97" s="1072"/>
      <c r="C97" s="1079" t="s">
        <v>1035</v>
      </c>
      <c r="D97" s="1080"/>
      <c r="E97" s="641" t="s">
        <v>646</v>
      </c>
      <c r="F97" s="634" t="s">
        <v>756</v>
      </c>
      <c r="G97" s="618">
        <f>H97+K97</f>
        <v>19129</v>
      </c>
      <c r="H97" s="618">
        <f>I97+J97</f>
        <v>0</v>
      </c>
      <c r="I97" s="618">
        <v>0</v>
      </c>
      <c r="J97" s="618">
        <v>0</v>
      </c>
      <c r="K97" s="618">
        <f>L97+M97</f>
        <v>19129</v>
      </c>
      <c r="L97" s="618">
        <v>19129</v>
      </c>
      <c r="M97" s="618">
        <v>0</v>
      </c>
    </row>
    <row r="98" spans="1:13" s="638" customFormat="1" ht="30" customHeight="1">
      <c r="A98" s="1064"/>
      <c r="B98" s="1065"/>
      <c r="C98" s="1082" t="s">
        <v>461</v>
      </c>
      <c r="D98" s="1083"/>
      <c r="E98" s="640" t="s">
        <v>735</v>
      </c>
      <c r="F98" s="636" t="s">
        <v>736</v>
      </c>
      <c r="G98" s="599">
        <f t="shared" si="8"/>
        <v>294950</v>
      </c>
      <c r="H98" s="599">
        <f t="shared" si="9"/>
        <v>294950</v>
      </c>
      <c r="I98" s="599">
        <v>293650</v>
      </c>
      <c r="J98" s="599">
        <v>1300</v>
      </c>
      <c r="K98" s="599">
        <f t="shared" si="10"/>
        <v>0</v>
      </c>
      <c r="L98" s="599">
        <v>0</v>
      </c>
      <c r="M98" s="599">
        <v>0</v>
      </c>
    </row>
    <row r="99" spans="1:13" s="553" customFormat="1" ht="18" customHeight="1">
      <c r="A99" s="1075"/>
      <c r="B99" s="1076"/>
      <c r="C99" s="1075"/>
      <c r="D99" s="1076"/>
      <c r="E99" s="641" t="s">
        <v>790</v>
      </c>
      <c r="F99" s="634" t="s">
        <v>791</v>
      </c>
      <c r="G99" s="618">
        <f t="shared" si="8"/>
        <v>575000</v>
      </c>
      <c r="H99" s="618">
        <f t="shared" si="9"/>
        <v>575000</v>
      </c>
      <c r="I99" s="618">
        <f>15000+10000</f>
        <v>25000</v>
      </c>
      <c r="J99" s="618">
        <f>450000+100000</f>
        <v>550000</v>
      </c>
      <c r="K99" s="618">
        <f t="shared" si="10"/>
        <v>0</v>
      </c>
      <c r="L99" s="618">
        <v>0</v>
      </c>
      <c r="M99" s="618">
        <v>0</v>
      </c>
    </row>
    <row r="100" spans="1:13" s="553" customFormat="1" ht="18" customHeight="1">
      <c r="A100" s="1071"/>
      <c r="B100" s="1072"/>
      <c r="C100" s="1071"/>
      <c r="D100" s="1072"/>
      <c r="E100" s="641" t="s">
        <v>793</v>
      </c>
      <c r="F100" s="634" t="s">
        <v>794</v>
      </c>
      <c r="G100" s="618">
        <f t="shared" si="8"/>
        <v>398491</v>
      </c>
      <c r="H100" s="618">
        <f t="shared" si="9"/>
        <v>398491</v>
      </c>
      <c r="I100" s="618">
        <v>48491</v>
      </c>
      <c r="J100" s="618">
        <v>350000</v>
      </c>
      <c r="K100" s="618">
        <f t="shared" si="10"/>
        <v>0</v>
      </c>
      <c r="L100" s="618">
        <v>0</v>
      </c>
      <c r="M100" s="618">
        <v>0</v>
      </c>
    </row>
    <row r="101" spans="1:13" s="553" customFormat="1" ht="18" customHeight="1">
      <c r="A101" s="1071"/>
      <c r="B101" s="1072"/>
      <c r="C101" s="1071"/>
      <c r="D101" s="1072"/>
      <c r="E101" s="641" t="s">
        <v>691</v>
      </c>
      <c r="F101" s="634" t="s">
        <v>692</v>
      </c>
      <c r="G101" s="618">
        <f t="shared" si="8"/>
        <v>332640</v>
      </c>
      <c r="H101" s="618">
        <f t="shared" si="9"/>
        <v>332640</v>
      </c>
      <c r="I101" s="618">
        <v>0</v>
      </c>
      <c r="J101" s="618">
        <v>332640</v>
      </c>
      <c r="K101" s="618">
        <f t="shared" si="10"/>
        <v>0</v>
      </c>
      <c r="L101" s="618">
        <v>0</v>
      </c>
      <c r="M101" s="618">
        <v>0</v>
      </c>
    </row>
    <row r="102" spans="1:13" s="553" customFormat="1" ht="18" customHeight="1">
      <c r="A102" s="1071"/>
      <c r="B102" s="1072"/>
      <c r="C102" s="1071"/>
      <c r="D102" s="1072"/>
      <c r="E102" s="643"/>
      <c r="F102" s="634" t="s">
        <v>694</v>
      </c>
      <c r="G102" s="618">
        <f t="shared" si="8"/>
        <v>548020</v>
      </c>
      <c r="H102" s="618">
        <f t="shared" si="9"/>
        <v>548020</v>
      </c>
      <c r="I102" s="618">
        <v>0</v>
      </c>
      <c r="J102" s="618">
        <v>548020</v>
      </c>
      <c r="K102" s="618">
        <f t="shared" si="10"/>
        <v>0</v>
      </c>
      <c r="L102" s="618">
        <v>0</v>
      </c>
      <c r="M102" s="618">
        <v>0</v>
      </c>
    </row>
    <row r="103" spans="1:13" s="553" customFormat="1" ht="18" customHeight="1">
      <c r="A103" s="1071"/>
      <c r="B103" s="1072"/>
      <c r="C103" s="1071"/>
      <c r="D103" s="1072"/>
      <c r="E103" s="644"/>
      <c r="F103" s="634" t="s">
        <v>795</v>
      </c>
      <c r="G103" s="618">
        <f>H103+K103</f>
        <v>775000</v>
      </c>
      <c r="H103" s="618">
        <f>I103+J103</f>
        <v>615000</v>
      </c>
      <c r="I103" s="618">
        <f>30000+10000</f>
        <v>40000</v>
      </c>
      <c r="J103" s="618">
        <f>500000+75000</f>
        <v>575000</v>
      </c>
      <c r="K103" s="618">
        <f>L103+M103</f>
        <v>160000</v>
      </c>
      <c r="L103" s="618">
        <v>10000</v>
      </c>
      <c r="M103" s="618">
        <v>150000</v>
      </c>
    </row>
    <row r="104" spans="1:13" s="553" customFormat="1" ht="18" customHeight="1">
      <c r="A104" s="1071"/>
      <c r="B104" s="1072"/>
      <c r="C104" s="1071"/>
      <c r="D104" s="1072"/>
      <c r="E104" s="641" t="s">
        <v>695</v>
      </c>
      <c r="F104" s="634" t="s">
        <v>796</v>
      </c>
      <c r="G104" s="618">
        <f t="shared" si="8"/>
        <v>2370000</v>
      </c>
      <c r="H104" s="618">
        <f t="shared" si="9"/>
        <v>1800000</v>
      </c>
      <c r="I104" s="618">
        <f>35000+15000</f>
        <v>50000</v>
      </c>
      <c r="J104" s="618">
        <f>1500000+250000</f>
        <v>1750000</v>
      </c>
      <c r="K104" s="618">
        <f t="shared" si="10"/>
        <v>570000</v>
      </c>
      <c r="L104" s="618">
        <v>20000</v>
      </c>
      <c r="M104" s="618">
        <v>550000</v>
      </c>
    </row>
    <row r="105" spans="1:13" s="553" customFormat="1" ht="18" customHeight="1">
      <c r="A105" s="1075" t="s">
        <v>35</v>
      </c>
      <c r="B105" s="1076"/>
      <c r="C105" s="1079" t="s">
        <v>1036</v>
      </c>
      <c r="D105" s="1080"/>
      <c r="E105" s="633" t="s">
        <v>633</v>
      </c>
      <c r="F105" s="634" t="s">
        <v>744</v>
      </c>
      <c r="G105" s="618">
        <f t="shared" si="8"/>
        <v>12749476</v>
      </c>
      <c r="H105" s="618">
        <f t="shared" si="9"/>
        <v>12661893</v>
      </c>
      <c r="I105" s="618">
        <v>12523493</v>
      </c>
      <c r="J105" s="618">
        <v>138400</v>
      </c>
      <c r="K105" s="618">
        <f t="shared" si="10"/>
        <v>87583</v>
      </c>
      <c r="L105" s="618">
        <v>36683</v>
      </c>
      <c r="M105" s="618">
        <v>50900</v>
      </c>
    </row>
    <row r="106" spans="1:13" s="553" customFormat="1" ht="18" customHeight="1">
      <c r="A106" s="1071"/>
      <c r="B106" s="1072"/>
      <c r="C106" s="1079" t="s">
        <v>1037</v>
      </c>
      <c r="D106" s="1080"/>
      <c r="E106" s="633" t="s">
        <v>633</v>
      </c>
      <c r="F106" s="634" t="s">
        <v>744</v>
      </c>
      <c r="G106" s="618">
        <f>H106+K106</f>
        <v>307158</v>
      </c>
      <c r="H106" s="618">
        <f>I106+J106</f>
        <v>0</v>
      </c>
      <c r="I106" s="618">
        <v>0</v>
      </c>
      <c r="J106" s="618">
        <v>0</v>
      </c>
      <c r="K106" s="618">
        <f>L106+M106</f>
        <v>307158</v>
      </c>
      <c r="L106" s="618">
        <v>307158</v>
      </c>
      <c r="M106" s="618">
        <v>0</v>
      </c>
    </row>
    <row r="107" spans="1:13" s="553" customFormat="1" ht="18" customHeight="1">
      <c r="A107" s="1071"/>
      <c r="B107" s="1072"/>
      <c r="C107" s="1079" t="s">
        <v>1038</v>
      </c>
      <c r="D107" s="1080"/>
      <c r="E107" s="644" t="s">
        <v>777</v>
      </c>
      <c r="F107" s="634" t="s">
        <v>1039</v>
      </c>
      <c r="G107" s="619">
        <f t="shared" si="8"/>
        <v>1050000</v>
      </c>
      <c r="H107" s="619">
        <f t="shared" si="9"/>
        <v>250000</v>
      </c>
      <c r="I107" s="619">
        <v>0</v>
      </c>
      <c r="J107" s="619">
        <v>250000</v>
      </c>
      <c r="K107" s="619">
        <f t="shared" si="10"/>
        <v>800000</v>
      </c>
      <c r="L107" s="619">
        <v>0</v>
      </c>
      <c r="M107" s="619">
        <v>800000</v>
      </c>
    </row>
    <row r="108" spans="1:13" s="638" customFormat="1" ht="30" customHeight="1">
      <c r="A108" s="1062"/>
      <c r="B108" s="1063"/>
      <c r="C108" s="1077" t="s">
        <v>1040</v>
      </c>
      <c r="D108" s="1078"/>
      <c r="E108" s="635" t="s">
        <v>633</v>
      </c>
      <c r="F108" s="636" t="s">
        <v>1041</v>
      </c>
      <c r="G108" s="637">
        <f t="shared" si="8"/>
        <v>2374138</v>
      </c>
      <c r="H108" s="637">
        <f t="shared" si="9"/>
        <v>1445658</v>
      </c>
      <c r="I108" s="637">
        <v>1445658</v>
      </c>
      <c r="J108" s="637">
        <v>0</v>
      </c>
      <c r="K108" s="637">
        <f t="shared" si="10"/>
        <v>928480</v>
      </c>
      <c r="L108" s="637">
        <f>828342+92038</f>
        <v>920380</v>
      </c>
      <c r="M108" s="637">
        <f>7290+810</f>
        <v>8100</v>
      </c>
    </row>
    <row r="109" spans="1:13" s="638" customFormat="1" ht="30" customHeight="1">
      <c r="A109" s="1062"/>
      <c r="B109" s="1063"/>
      <c r="C109" s="1062"/>
      <c r="D109" s="1063"/>
      <c r="E109" s="639"/>
      <c r="F109" s="636" t="s">
        <v>1042</v>
      </c>
      <c r="G109" s="637">
        <f t="shared" si="8"/>
        <v>13403457</v>
      </c>
      <c r="H109" s="637">
        <f t="shared" si="9"/>
        <v>7608161</v>
      </c>
      <c r="I109" s="637">
        <f>6300918+700102</f>
        <v>7001020</v>
      </c>
      <c r="J109" s="637">
        <f>546426+60715</f>
        <v>607141</v>
      </c>
      <c r="K109" s="637">
        <f t="shared" si="10"/>
        <v>5795296</v>
      </c>
      <c r="L109" s="637">
        <v>5795296</v>
      </c>
      <c r="M109" s="637">
        <v>0</v>
      </c>
    </row>
    <row r="110" spans="1:13" s="553" customFormat="1" ht="18" customHeight="1">
      <c r="A110" s="1071"/>
      <c r="B110" s="1072"/>
      <c r="C110" s="1071"/>
      <c r="D110" s="1072"/>
      <c r="E110" s="633" t="s">
        <v>660</v>
      </c>
      <c r="F110" s="634" t="s">
        <v>1043</v>
      </c>
      <c r="G110" s="618">
        <f t="shared" si="8"/>
        <v>364000</v>
      </c>
      <c r="H110" s="618">
        <f t="shared" si="9"/>
        <v>214000</v>
      </c>
      <c r="I110" s="618">
        <v>0</v>
      </c>
      <c r="J110" s="618">
        <f>200000+14000</f>
        <v>214000</v>
      </c>
      <c r="K110" s="618">
        <f>L110+M110</f>
        <v>150000</v>
      </c>
      <c r="L110" s="618">
        <v>0</v>
      </c>
      <c r="M110" s="618">
        <v>150000</v>
      </c>
    </row>
    <row r="111" spans="1:13" s="553" customFormat="1" ht="18" customHeight="1">
      <c r="A111" s="1071"/>
      <c r="B111" s="1072"/>
      <c r="C111" s="1071"/>
      <c r="D111" s="1072"/>
      <c r="E111" s="644" t="s">
        <v>671</v>
      </c>
      <c r="F111" s="634" t="s">
        <v>785</v>
      </c>
      <c r="G111" s="618">
        <f t="shared" si="8"/>
        <v>400000</v>
      </c>
      <c r="H111" s="618">
        <f t="shared" si="9"/>
        <v>0</v>
      </c>
      <c r="I111" s="618">
        <v>0</v>
      </c>
      <c r="J111" s="618">
        <v>0</v>
      </c>
      <c r="K111" s="618">
        <f t="shared" si="10"/>
        <v>400000</v>
      </c>
      <c r="L111" s="618">
        <v>0</v>
      </c>
      <c r="M111" s="618">
        <v>400000</v>
      </c>
    </row>
    <row r="112" spans="1:13" s="553" customFormat="1" ht="18" customHeight="1">
      <c r="A112" s="1075" t="s">
        <v>146</v>
      </c>
      <c r="B112" s="1076"/>
      <c r="C112" s="1075" t="s">
        <v>1044</v>
      </c>
      <c r="D112" s="1076"/>
      <c r="E112" s="641" t="s">
        <v>787</v>
      </c>
      <c r="F112" s="634" t="s">
        <v>788</v>
      </c>
      <c r="G112" s="618">
        <f t="shared" si="8"/>
        <v>1000000</v>
      </c>
      <c r="H112" s="618">
        <f t="shared" si="9"/>
        <v>0</v>
      </c>
      <c r="I112" s="618">
        <v>0</v>
      </c>
      <c r="J112" s="618">
        <v>0</v>
      </c>
      <c r="K112" s="618">
        <f t="shared" si="10"/>
        <v>1000000</v>
      </c>
      <c r="L112" s="618">
        <v>0</v>
      </c>
      <c r="M112" s="618">
        <v>1000000</v>
      </c>
    </row>
    <row r="113" spans="1:13" s="553" customFormat="1" ht="18" customHeight="1">
      <c r="A113" s="1071"/>
      <c r="B113" s="1072"/>
      <c r="C113" s="1075" t="s">
        <v>1045</v>
      </c>
      <c r="D113" s="1076"/>
      <c r="E113" s="641" t="s">
        <v>513</v>
      </c>
      <c r="F113" s="634" t="s">
        <v>780</v>
      </c>
      <c r="G113" s="618">
        <f t="shared" si="8"/>
        <v>80000</v>
      </c>
      <c r="H113" s="618">
        <f t="shared" si="9"/>
        <v>80000</v>
      </c>
      <c r="I113" s="618">
        <v>0</v>
      </c>
      <c r="J113" s="618">
        <v>80000</v>
      </c>
      <c r="K113" s="618">
        <f t="shared" si="10"/>
        <v>0</v>
      </c>
      <c r="L113" s="618">
        <v>0</v>
      </c>
      <c r="M113" s="618">
        <v>0</v>
      </c>
    </row>
    <row r="114" spans="1:13" s="553" customFormat="1" ht="18" customHeight="1">
      <c r="A114" s="1071"/>
      <c r="B114" s="1072"/>
      <c r="C114" s="1075" t="s">
        <v>1046</v>
      </c>
      <c r="D114" s="1076"/>
      <c r="E114" s="633" t="s">
        <v>746</v>
      </c>
      <c r="F114" s="634" t="s">
        <v>748</v>
      </c>
      <c r="G114" s="619">
        <f t="shared" si="8"/>
        <v>4259566</v>
      </c>
      <c r="H114" s="619">
        <f t="shared" si="9"/>
        <v>2300540</v>
      </c>
      <c r="I114" s="619">
        <v>2299290</v>
      </c>
      <c r="J114" s="619">
        <v>1250</v>
      </c>
      <c r="K114" s="619">
        <f t="shared" si="10"/>
        <v>1959026</v>
      </c>
      <c r="L114" s="619">
        <v>1946226</v>
      </c>
      <c r="M114" s="619">
        <v>12800</v>
      </c>
    </row>
    <row r="115" spans="1:13" s="553" customFormat="1" ht="18" customHeight="1">
      <c r="A115" s="1071"/>
      <c r="B115" s="1072"/>
      <c r="C115" s="1071"/>
      <c r="D115" s="1072"/>
      <c r="E115" s="633" t="s">
        <v>656</v>
      </c>
      <c r="F115" s="634" t="s">
        <v>658</v>
      </c>
      <c r="G115" s="619">
        <f t="shared" si="8"/>
        <v>793081</v>
      </c>
      <c r="H115" s="619">
        <f t="shared" si="9"/>
        <v>793081</v>
      </c>
      <c r="I115" s="619">
        <v>0</v>
      </c>
      <c r="J115" s="619">
        <v>793081</v>
      </c>
      <c r="K115" s="619">
        <f t="shared" si="10"/>
        <v>0</v>
      </c>
      <c r="L115" s="619">
        <v>0</v>
      </c>
      <c r="M115" s="619">
        <v>0</v>
      </c>
    </row>
    <row r="116" spans="1:13" s="553" customFormat="1" ht="18" customHeight="1">
      <c r="A116" s="1071"/>
      <c r="B116" s="1072"/>
      <c r="C116" s="1071"/>
      <c r="D116" s="1072"/>
      <c r="E116" s="641" t="s">
        <v>782</v>
      </c>
      <c r="F116" s="634" t="s">
        <v>783</v>
      </c>
      <c r="G116" s="618">
        <f t="shared" si="8"/>
        <v>895000</v>
      </c>
      <c r="H116" s="618">
        <f t="shared" si="9"/>
        <v>385000</v>
      </c>
      <c r="I116" s="618">
        <v>10000</v>
      </c>
      <c r="J116" s="618">
        <f>250000+125000</f>
        <v>375000</v>
      </c>
      <c r="K116" s="618">
        <f t="shared" si="10"/>
        <v>510000</v>
      </c>
      <c r="L116" s="618">
        <v>10000</v>
      </c>
      <c r="M116" s="618">
        <v>500000</v>
      </c>
    </row>
    <row r="117" spans="1:13" s="553" customFormat="1" ht="18" customHeight="1">
      <c r="A117" s="1071"/>
      <c r="B117" s="1072"/>
      <c r="C117" s="1071"/>
      <c r="D117" s="1072"/>
      <c r="E117" s="641" t="s">
        <v>666</v>
      </c>
      <c r="F117" s="634" t="s">
        <v>670</v>
      </c>
      <c r="G117" s="618">
        <f t="shared" si="8"/>
        <v>1406493</v>
      </c>
      <c r="H117" s="618">
        <f t="shared" si="9"/>
        <v>0</v>
      </c>
      <c r="I117" s="618">
        <v>0</v>
      </c>
      <c r="J117" s="618">
        <v>0</v>
      </c>
      <c r="K117" s="618">
        <f t="shared" si="10"/>
        <v>1406493</v>
      </c>
      <c r="L117" s="618">
        <v>0</v>
      </c>
      <c r="M117" s="618">
        <v>1406493</v>
      </c>
    </row>
    <row r="118" spans="1:13" s="553" customFormat="1" ht="18" customHeight="1">
      <c r="A118" s="1071"/>
      <c r="B118" s="1072"/>
      <c r="C118" s="1071"/>
      <c r="D118" s="1072"/>
      <c r="E118" s="641" t="s">
        <v>676</v>
      </c>
      <c r="F118" s="634" t="s">
        <v>786</v>
      </c>
      <c r="G118" s="618">
        <f t="shared" si="8"/>
        <v>3590461</v>
      </c>
      <c r="H118" s="618">
        <f t="shared" si="9"/>
        <v>1535000</v>
      </c>
      <c r="I118" s="618">
        <f>25000+10000</f>
        <v>35000</v>
      </c>
      <c r="J118" s="618">
        <f>750000+750000</f>
        <v>1500000</v>
      </c>
      <c r="K118" s="618">
        <f t="shared" si="10"/>
        <v>2055461</v>
      </c>
      <c r="L118" s="618">
        <v>81509</v>
      </c>
      <c r="M118" s="618">
        <v>1973952</v>
      </c>
    </row>
    <row r="119" spans="1:13" s="553" customFormat="1" ht="18" customHeight="1">
      <c r="A119" s="1071"/>
      <c r="B119" s="1072"/>
      <c r="C119" s="1071"/>
      <c r="D119" s="1072"/>
      <c r="E119" s="644"/>
      <c r="F119" s="634" t="s">
        <v>680</v>
      </c>
      <c r="G119" s="618">
        <f>H119+K119</f>
        <v>2650000</v>
      </c>
      <c r="H119" s="618">
        <f>I119+J119</f>
        <v>750000</v>
      </c>
      <c r="I119" s="618">
        <v>0</v>
      </c>
      <c r="J119" s="618">
        <v>750000</v>
      </c>
      <c r="K119" s="618">
        <f>L119+M119</f>
        <v>1900000</v>
      </c>
      <c r="L119" s="618">
        <v>0</v>
      </c>
      <c r="M119" s="618">
        <v>1900000</v>
      </c>
    </row>
    <row r="120" spans="1:13" s="638" customFormat="1" ht="30" customHeight="1">
      <c r="A120" s="1077" t="s">
        <v>37</v>
      </c>
      <c r="B120" s="1078"/>
      <c r="C120" s="1077" t="s">
        <v>1047</v>
      </c>
      <c r="D120" s="1078"/>
      <c r="E120" s="635" t="s">
        <v>763</v>
      </c>
      <c r="F120" s="636" t="s">
        <v>764</v>
      </c>
      <c r="G120" s="637">
        <f t="shared" si="8"/>
        <v>45000</v>
      </c>
      <c r="H120" s="637">
        <f t="shared" si="9"/>
        <v>0</v>
      </c>
      <c r="I120" s="637">
        <v>0</v>
      </c>
      <c r="J120" s="637">
        <v>0</v>
      </c>
      <c r="K120" s="637">
        <f t="shared" si="10"/>
        <v>45000</v>
      </c>
      <c r="L120" s="637">
        <v>0</v>
      </c>
      <c r="M120" s="637">
        <v>45000</v>
      </c>
    </row>
    <row r="121" spans="1:13" s="638" customFormat="1" ht="30" customHeight="1">
      <c r="A121" s="1062"/>
      <c r="B121" s="1063"/>
      <c r="C121" s="1062"/>
      <c r="D121" s="1063"/>
      <c r="E121" s="635" t="s">
        <v>765</v>
      </c>
      <c r="F121" s="636" t="s">
        <v>767</v>
      </c>
      <c r="G121" s="637">
        <f t="shared" si="8"/>
        <v>70000</v>
      </c>
      <c r="H121" s="637">
        <f t="shared" si="9"/>
        <v>0</v>
      </c>
      <c r="I121" s="637">
        <v>0</v>
      </c>
      <c r="J121" s="637">
        <v>0</v>
      </c>
      <c r="K121" s="637">
        <f t="shared" si="10"/>
        <v>70000</v>
      </c>
      <c r="L121" s="637">
        <v>0</v>
      </c>
      <c r="M121" s="637">
        <v>70000</v>
      </c>
    </row>
    <row r="122" spans="1:13" s="553" customFormat="1" ht="18" customHeight="1">
      <c r="A122" s="1071"/>
      <c r="B122" s="1072"/>
      <c r="C122" s="1071"/>
      <c r="D122" s="1072"/>
      <c r="E122" s="633" t="s">
        <v>772</v>
      </c>
      <c r="F122" s="645" t="s">
        <v>774</v>
      </c>
      <c r="G122" s="618">
        <f t="shared" si="8"/>
        <v>525000</v>
      </c>
      <c r="H122" s="618">
        <f t="shared" si="9"/>
        <v>0</v>
      </c>
      <c r="I122" s="618">
        <v>0</v>
      </c>
      <c r="J122" s="618">
        <v>0</v>
      </c>
      <c r="K122" s="618">
        <f t="shared" si="10"/>
        <v>525000</v>
      </c>
      <c r="L122" s="618">
        <v>0</v>
      </c>
      <c r="M122" s="618">
        <v>525000</v>
      </c>
    </row>
    <row r="123" spans="1:13" s="638" customFormat="1" ht="39.950000000000003" customHeight="1">
      <c r="A123" s="1062"/>
      <c r="B123" s="1063"/>
      <c r="C123" s="1062"/>
      <c r="D123" s="1063"/>
      <c r="E123" s="635" t="s">
        <v>676</v>
      </c>
      <c r="F123" s="636" t="s">
        <v>683</v>
      </c>
      <c r="G123" s="637">
        <f t="shared" si="8"/>
        <v>2514706</v>
      </c>
      <c r="H123" s="637">
        <f t="shared" si="9"/>
        <v>0</v>
      </c>
      <c r="I123" s="637">
        <v>0</v>
      </c>
      <c r="J123" s="637">
        <v>0</v>
      </c>
      <c r="K123" s="637">
        <f t="shared" si="10"/>
        <v>2514706</v>
      </c>
      <c r="L123" s="637">
        <v>0</v>
      </c>
      <c r="M123" s="637">
        <v>2514706</v>
      </c>
    </row>
    <row r="124" spans="1:13" s="553" customFormat="1" ht="18" customHeight="1">
      <c r="A124" s="1071"/>
      <c r="B124" s="1072"/>
      <c r="C124" s="1071"/>
      <c r="D124" s="1072"/>
      <c r="E124" s="644"/>
      <c r="F124" s="645" t="s">
        <v>1048</v>
      </c>
      <c r="G124" s="618">
        <f t="shared" si="8"/>
        <v>3357750</v>
      </c>
      <c r="H124" s="618">
        <f t="shared" si="9"/>
        <v>0</v>
      </c>
      <c r="I124" s="618">
        <v>0</v>
      </c>
      <c r="J124" s="618">
        <v>0</v>
      </c>
      <c r="K124" s="618">
        <f t="shared" si="10"/>
        <v>3357750</v>
      </c>
      <c r="L124" s="618">
        <v>0</v>
      </c>
      <c r="M124" s="618">
        <v>3357750</v>
      </c>
    </row>
    <row r="125" spans="1:13" s="553" customFormat="1" ht="18" customHeight="1">
      <c r="A125" s="1079" t="s">
        <v>52</v>
      </c>
      <c r="B125" s="1080"/>
      <c r="C125" s="1079" t="s">
        <v>1049</v>
      </c>
      <c r="D125" s="1080"/>
      <c r="E125" s="633" t="s">
        <v>676</v>
      </c>
      <c r="F125" s="646" t="s">
        <v>677</v>
      </c>
      <c r="G125" s="619">
        <f t="shared" si="8"/>
        <v>4837090</v>
      </c>
      <c r="H125" s="619">
        <f t="shared" si="9"/>
        <v>4696290</v>
      </c>
      <c r="I125" s="619">
        <v>0</v>
      </c>
      <c r="J125" s="619">
        <v>4696290</v>
      </c>
      <c r="K125" s="619">
        <f t="shared" si="10"/>
        <v>140800</v>
      </c>
      <c r="L125" s="619">
        <v>0</v>
      </c>
      <c r="M125" s="619">
        <v>140800</v>
      </c>
    </row>
    <row r="126" spans="1:13" s="553" customFormat="1" ht="18" customHeight="1">
      <c r="A126" s="1079" t="s">
        <v>38</v>
      </c>
      <c r="B126" s="1080"/>
      <c r="C126" s="1079" t="s">
        <v>1050</v>
      </c>
      <c r="D126" s="1080"/>
      <c r="E126" s="633" t="s">
        <v>740</v>
      </c>
      <c r="F126" s="634" t="s">
        <v>742</v>
      </c>
      <c r="G126" s="619">
        <f>H126+K126</f>
        <v>476427</v>
      </c>
      <c r="H126" s="619">
        <f>I126+J126</f>
        <v>476427</v>
      </c>
      <c r="I126" s="619">
        <v>476327</v>
      </c>
      <c r="J126" s="619">
        <v>100</v>
      </c>
      <c r="K126" s="619">
        <f>L126+M126</f>
        <v>0</v>
      </c>
      <c r="L126" s="619">
        <v>0</v>
      </c>
      <c r="M126" s="619">
        <v>0</v>
      </c>
    </row>
    <row r="127" spans="1:13" s="638" customFormat="1" ht="30" customHeight="1">
      <c r="A127" s="1077"/>
      <c r="B127" s="1078"/>
      <c r="C127" s="1077" t="s">
        <v>1051</v>
      </c>
      <c r="D127" s="1078"/>
      <c r="E127" s="640" t="s">
        <v>598</v>
      </c>
      <c r="F127" s="636" t="s">
        <v>733</v>
      </c>
      <c r="G127" s="599">
        <f>H127+K127</f>
        <v>391592</v>
      </c>
      <c r="H127" s="599">
        <f>I127+J127</f>
        <v>391592</v>
      </c>
      <c r="I127" s="599">
        <v>388792</v>
      </c>
      <c r="J127" s="599">
        <v>2800</v>
      </c>
      <c r="K127" s="599">
        <f>L127+M127</f>
        <v>0</v>
      </c>
      <c r="L127" s="599">
        <v>0</v>
      </c>
      <c r="M127" s="599">
        <v>0</v>
      </c>
    </row>
    <row r="128" spans="1:13" s="638" customFormat="1" ht="29.25" customHeight="1">
      <c r="A128" s="1062"/>
      <c r="B128" s="1063"/>
      <c r="C128" s="1082" t="s">
        <v>1052</v>
      </c>
      <c r="D128" s="1083"/>
      <c r="E128" s="640" t="s">
        <v>502</v>
      </c>
      <c r="F128" s="636" t="s">
        <v>610</v>
      </c>
      <c r="G128" s="599">
        <f t="shared" si="8"/>
        <v>5124695</v>
      </c>
      <c r="H128" s="599">
        <f t="shared" si="9"/>
        <v>5124695</v>
      </c>
      <c r="I128" s="599">
        <v>5124695</v>
      </c>
      <c r="J128" s="599">
        <v>0</v>
      </c>
      <c r="K128" s="599">
        <f t="shared" si="10"/>
        <v>0</v>
      </c>
      <c r="L128" s="599">
        <v>0</v>
      </c>
      <c r="M128" s="599">
        <v>0</v>
      </c>
    </row>
    <row r="129" spans="1:13" s="638" customFormat="1" ht="18" customHeight="1">
      <c r="A129" s="1062"/>
      <c r="B129" s="1063"/>
      <c r="C129" s="1077" t="s">
        <v>897</v>
      </c>
      <c r="D129" s="1078"/>
      <c r="E129" s="640" t="s">
        <v>592</v>
      </c>
      <c r="F129" s="636" t="s">
        <v>728</v>
      </c>
      <c r="G129" s="599">
        <f t="shared" si="8"/>
        <v>428521</v>
      </c>
      <c r="H129" s="599">
        <f t="shared" si="9"/>
        <v>428521</v>
      </c>
      <c r="I129" s="599">
        <f>399682+28339</f>
        <v>428021</v>
      </c>
      <c r="J129" s="599">
        <f>120+380</f>
        <v>500</v>
      </c>
      <c r="K129" s="599">
        <f t="shared" si="10"/>
        <v>0</v>
      </c>
      <c r="L129" s="599">
        <v>0</v>
      </c>
      <c r="M129" s="599">
        <v>0</v>
      </c>
    </row>
    <row r="130" spans="1:13" s="553" customFormat="1" ht="18" customHeight="1">
      <c r="A130" s="1071"/>
      <c r="B130" s="1072"/>
      <c r="C130" s="1071"/>
      <c r="D130" s="1072"/>
      <c r="E130" s="633" t="s">
        <v>749</v>
      </c>
      <c r="F130" s="634" t="s">
        <v>751</v>
      </c>
      <c r="G130" s="619">
        <f t="shared" si="8"/>
        <v>7185751</v>
      </c>
      <c r="H130" s="619">
        <f t="shared" si="9"/>
        <v>6975078</v>
      </c>
      <c r="I130" s="619">
        <f>6656116+300962</f>
        <v>6957078</v>
      </c>
      <c r="J130" s="619">
        <v>18000</v>
      </c>
      <c r="K130" s="619">
        <f t="shared" si="10"/>
        <v>210673</v>
      </c>
      <c r="L130" s="619">
        <v>210673</v>
      </c>
      <c r="M130" s="619">
        <v>0</v>
      </c>
    </row>
    <row r="131" spans="1:13" s="638" customFormat="1" ht="30" customHeight="1">
      <c r="A131" s="1062"/>
      <c r="B131" s="1063"/>
      <c r="C131" s="1062"/>
      <c r="D131" s="1063"/>
      <c r="E131" s="640" t="s">
        <v>758</v>
      </c>
      <c r="F131" s="636" t="s">
        <v>759</v>
      </c>
      <c r="G131" s="599">
        <f t="shared" si="8"/>
        <v>9092749</v>
      </c>
      <c r="H131" s="599">
        <f t="shared" si="9"/>
        <v>8895352</v>
      </c>
      <c r="I131" s="599">
        <f>8283125+589227</f>
        <v>8872352</v>
      </c>
      <c r="J131" s="599">
        <f>20000+3000</f>
        <v>23000</v>
      </c>
      <c r="K131" s="599">
        <f t="shared" si="10"/>
        <v>197397</v>
      </c>
      <c r="L131" s="599">
        <v>196397</v>
      </c>
      <c r="M131" s="599">
        <v>1000</v>
      </c>
    </row>
    <row r="132" spans="1:13" s="553" customFormat="1" ht="18" customHeight="1">
      <c r="A132" s="1084"/>
      <c r="B132" s="1085"/>
      <c r="C132" s="1084"/>
      <c r="D132" s="1085"/>
      <c r="E132" s="633" t="s">
        <v>760</v>
      </c>
      <c r="F132" s="634" t="s">
        <v>762</v>
      </c>
      <c r="G132" s="619">
        <f>H132+K132</f>
        <v>2519315</v>
      </c>
      <c r="H132" s="619">
        <f>I132+J132</f>
        <v>2519315</v>
      </c>
      <c r="I132" s="619">
        <v>2516315</v>
      </c>
      <c r="J132" s="619">
        <v>3000</v>
      </c>
      <c r="K132" s="619">
        <f>L132+M132</f>
        <v>0</v>
      </c>
      <c r="L132" s="619">
        <v>0</v>
      </c>
      <c r="M132" s="619">
        <v>0</v>
      </c>
    </row>
    <row r="133" spans="1:13" s="616" customFormat="1" ht="5.25" customHeight="1">
      <c r="A133" s="611"/>
      <c r="B133" s="612"/>
      <c r="C133" s="612"/>
      <c r="D133" s="612"/>
      <c r="E133" s="612"/>
      <c r="F133" s="612"/>
      <c r="G133" s="613"/>
      <c r="H133" s="614"/>
      <c r="I133" s="614"/>
      <c r="J133" s="614"/>
      <c r="K133" s="614"/>
      <c r="L133" s="614"/>
      <c r="M133" s="615"/>
    </row>
    <row r="134" spans="1:13" s="630" customFormat="1" ht="18" customHeight="1">
      <c r="A134" s="1090" t="s">
        <v>1053</v>
      </c>
      <c r="B134" s="1091"/>
      <c r="C134" s="1091"/>
      <c r="D134" s="1091"/>
      <c r="E134" s="1091"/>
      <c r="F134" s="1092"/>
      <c r="G134" s="629">
        <f>H134+K134</f>
        <v>8445193</v>
      </c>
      <c r="H134" s="629">
        <f>I134+J134</f>
        <v>5474193</v>
      </c>
      <c r="I134" s="629">
        <f>I136+I137</f>
        <v>0</v>
      </c>
      <c r="J134" s="629">
        <f>J136+J137</f>
        <v>5474193</v>
      </c>
      <c r="K134" s="629">
        <f>L134+M134</f>
        <v>2971000</v>
      </c>
      <c r="L134" s="629">
        <f>L136+L137</f>
        <v>0</v>
      </c>
      <c r="M134" s="629">
        <f>M136+M137</f>
        <v>2971000</v>
      </c>
    </row>
    <row r="135" spans="1:13" s="616" customFormat="1" ht="5.25" customHeight="1">
      <c r="A135" s="631"/>
      <c r="B135" s="612"/>
      <c r="C135" s="612"/>
      <c r="D135" s="612"/>
      <c r="E135" s="612"/>
      <c r="F135" s="612"/>
      <c r="G135" s="613"/>
      <c r="H135" s="614"/>
      <c r="I135" s="614"/>
      <c r="J135" s="614"/>
      <c r="K135" s="614"/>
      <c r="L135" s="614"/>
      <c r="M135" s="615"/>
    </row>
    <row r="136" spans="1:13" s="553" customFormat="1" ht="18" customHeight="1">
      <c r="A136" s="1075" t="s">
        <v>146</v>
      </c>
      <c r="B136" s="1076"/>
      <c r="C136" s="1075" t="s">
        <v>1046</v>
      </c>
      <c r="D136" s="1076"/>
      <c r="E136" s="633" t="s">
        <v>1054</v>
      </c>
      <c r="F136" s="647" t="s">
        <v>821</v>
      </c>
      <c r="G136" s="618">
        <f>H136+K136</f>
        <v>4364193</v>
      </c>
      <c r="H136" s="618">
        <f>I136+J136</f>
        <v>4364193</v>
      </c>
      <c r="I136" s="618">
        <v>0</v>
      </c>
      <c r="J136" s="618">
        <v>4364193</v>
      </c>
      <c r="K136" s="618">
        <f>L136+M136</f>
        <v>0</v>
      </c>
      <c r="L136" s="618">
        <v>0</v>
      </c>
      <c r="M136" s="618">
        <v>0</v>
      </c>
    </row>
    <row r="137" spans="1:13" s="553" customFormat="1" ht="18" customHeight="1">
      <c r="A137" s="1075" t="s">
        <v>37</v>
      </c>
      <c r="B137" s="1076"/>
      <c r="C137" s="1075" t="s">
        <v>1055</v>
      </c>
      <c r="D137" s="1076"/>
      <c r="E137" s="633" t="s">
        <v>474</v>
      </c>
      <c r="F137" s="647" t="s">
        <v>1056</v>
      </c>
      <c r="G137" s="618">
        <f>H137+K137</f>
        <v>4081000</v>
      </c>
      <c r="H137" s="618">
        <f>I137+J137</f>
        <v>1110000</v>
      </c>
      <c r="I137" s="618">
        <v>0</v>
      </c>
      <c r="J137" s="618">
        <v>1110000</v>
      </c>
      <c r="K137" s="618">
        <f>L137+M137</f>
        <v>2971000</v>
      </c>
      <c r="L137" s="618">
        <v>0</v>
      </c>
      <c r="M137" s="618">
        <v>2971000</v>
      </c>
    </row>
    <row r="138" spans="1:13" s="616" customFormat="1" ht="5.25" customHeight="1">
      <c r="A138" s="611"/>
      <c r="B138" s="612"/>
      <c r="C138" s="612"/>
      <c r="D138" s="612"/>
      <c r="E138" s="612"/>
      <c r="F138" s="612"/>
      <c r="G138" s="613"/>
      <c r="H138" s="614"/>
      <c r="I138" s="614"/>
      <c r="J138" s="614"/>
      <c r="K138" s="614"/>
      <c r="L138" s="614"/>
      <c r="M138" s="615"/>
    </row>
    <row r="139" spans="1:13" s="630" customFormat="1" ht="18" customHeight="1">
      <c r="A139" s="1090" t="s">
        <v>1057</v>
      </c>
      <c r="B139" s="1091"/>
      <c r="C139" s="1091"/>
      <c r="D139" s="1091"/>
      <c r="E139" s="1091"/>
      <c r="F139" s="1092"/>
      <c r="G139" s="629">
        <f>H139+K139</f>
        <v>500000</v>
      </c>
      <c r="H139" s="629">
        <f>I139+J139</f>
        <v>100000</v>
      </c>
      <c r="I139" s="629">
        <f>I141</f>
        <v>0</v>
      </c>
      <c r="J139" s="629">
        <f>J141</f>
        <v>100000</v>
      </c>
      <c r="K139" s="629">
        <f>L139+M139</f>
        <v>400000</v>
      </c>
      <c r="L139" s="629">
        <f>L141</f>
        <v>0</v>
      </c>
      <c r="M139" s="629">
        <f>M141</f>
        <v>400000</v>
      </c>
    </row>
    <row r="140" spans="1:13" s="616" customFormat="1" ht="5.25" customHeight="1">
      <c r="A140" s="611"/>
      <c r="B140" s="612"/>
      <c r="C140" s="612"/>
      <c r="D140" s="612"/>
      <c r="E140" s="612"/>
      <c r="F140" s="612"/>
      <c r="G140" s="613"/>
      <c r="H140" s="614"/>
      <c r="I140" s="614"/>
      <c r="J140" s="614"/>
      <c r="K140" s="614"/>
      <c r="L140" s="614"/>
      <c r="M140" s="615"/>
    </row>
    <row r="141" spans="1:13" s="638" customFormat="1" ht="39.950000000000003" customHeight="1">
      <c r="A141" s="1082" t="s">
        <v>61</v>
      </c>
      <c r="B141" s="1083"/>
      <c r="C141" s="1082" t="s">
        <v>65</v>
      </c>
      <c r="D141" s="1083"/>
      <c r="E141" s="1066" t="s">
        <v>1058</v>
      </c>
      <c r="F141" s="1086"/>
      <c r="G141" s="599">
        <f>H141+K141</f>
        <v>500000</v>
      </c>
      <c r="H141" s="599">
        <f>I141+J141</f>
        <v>100000</v>
      </c>
      <c r="I141" s="599">
        <v>0</v>
      </c>
      <c r="J141" s="599">
        <v>100000</v>
      </c>
      <c r="K141" s="599">
        <f>L141+M141</f>
        <v>400000</v>
      </c>
      <c r="L141" s="599">
        <v>0</v>
      </c>
      <c r="M141" s="599">
        <v>400000</v>
      </c>
    </row>
    <row r="142" spans="1:13" s="616" customFormat="1" ht="5.25" customHeight="1">
      <c r="A142" s="611"/>
      <c r="B142" s="612"/>
      <c r="C142" s="612"/>
      <c r="D142" s="612"/>
      <c r="E142" s="612"/>
      <c r="F142" s="612"/>
      <c r="G142" s="613"/>
      <c r="H142" s="614"/>
      <c r="I142" s="614"/>
      <c r="J142" s="614"/>
      <c r="K142" s="614"/>
      <c r="L142" s="614"/>
      <c r="M142" s="615"/>
    </row>
    <row r="143" spans="1:13" s="630" customFormat="1" ht="18" customHeight="1">
      <c r="A143" s="1087" t="s">
        <v>1059</v>
      </c>
      <c r="B143" s="1088"/>
      <c r="C143" s="1088"/>
      <c r="D143" s="1088"/>
      <c r="E143" s="1088"/>
      <c r="F143" s="1089"/>
      <c r="G143" s="609">
        <f>H143+K143</f>
        <v>136436922</v>
      </c>
      <c r="H143" s="609">
        <f>I143+J143</f>
        <v>88669870</v>
      </c>
      <c r="I143" s="609">
        <f>I145+I146+I147+I148+I149+I150+I151+I152+I153+I154+I155+I156+I157+I158+I159+I160+I161+I162+I163+I164+I165+I166+I167+I168+I169+I170+I171+I172+I173+I174+I175+I176+I177+I178+I179+I180+I181+I182+I183+I184+I185+I186+I187+I188+I189+I190+I191+I192+I193+I194+I195+I196+I197+I198+I199+I200+I201+I202+I203+I204+I205+I206+I207+I208+I209+I210+I211+I212+I213+I214+I215+I216+I217+I218</f>
        <v>78503365</v>
      </c>
      <c r="J143" s="609">
        <f>J145+J146+J147+J148+J149+J150+J151+J152+J153+J154+J155+J156+J157+J158+J159+J160+J161+J162+J163+J164+J165+J166+J167+J168+J169+J170+J171+J172+J173+J174+J175+J176+J177+J178+J179+J180+J181+J182+J183+J184+J185+J186+J187+J188+J189+J190+J191+J192+J193+J194+J195+J196+J197+J198+J199+J200+J201+J202+J203+J204+J205+J206+J207+J208+J209+J210+J211+J212+J213+J214+J215+J216+J217+J218</f>
        <v>10166505</v>
      </c>
      <c r="K143" s="609">
        <f>L143+M143</f>
        <v>47767052</v>
      </c>
      <c r="L143" s="609">
        <f>L145+L146+L147+L148+L149+L150+L151+L152+L153+L154+L155+L156+L157+L158+L159+L160+L161+L162+L163+L164+L165+L166+L167+L168+L169+L170+L171+L172+L173+L174+L175+L176+L177+L178+L179+L180+L181+L182+L183+L184+L185+L186+L187+L188+L189+L190+L191+L192+L193+L194+L195+L196+L197+L198+L199+L200+L201+L202+L203+L204+L205+L206+L207+L208+L209+L210+L211+L212+L213+L214+L215+L216+L217+L218</f>
        <v>500000</v>
      </c>
      <c r="M143" s="609">
        <f>M145+M146+M147+M148+M149+M150+M151+M152+M153+M154+M155+M156+M157+M158+M159+M160+M161+M162+M163+M164+M165+M166+M167+M168+M169+M170+M171+M172+M173+M174+M175+M176+M177+M178+M179+M180+M181+M182+M183+M184+M185+M186+M187+M188+M189+M190+M191+M192+M193+M194+M195+M196+M197+M198+M199+M200+M201+M202+M203+M204+M205+M206+M207+M208+M209+M210+M211+M212+M213+M214+M215+M216+M217+M218</f>
        <v>47267052</v>
      </c>
    </row>
    <row r="144" spans="1:13" s="616" customFormat="1" ht="5.25" customHeight="1">
      <c r="A144" s="611"/>
      <c r="B144" s="612"/>
      <c r="C144" s="612"/>
      <c r="D144" s="612"/>
      <c r="E144" s="612"/>
      <c r="F144" s="612"/>
      <c r="G144" s="613"/>
      <c r="H144" s="614"/>
      <c r="I144" s="614"/>
      <c r="J144" s="614"/>
      <c r="K144" s="614"/>
      <c r="L144" s="614"/>
      <c r="M144" s="615"/>
    </row>
    <row r="145" spans="1:13" s="553" customFormat="1" ht="18" customHeight="1">
      <c r="A145" s="1075" t="s">
        <v>61</v>
      </c>
      <c r="B145" s="1076"/>
      <c r="C145" s="1075" t="s">
        <v>63</v>
      </c>
      <c r="D145" s="1076"/>
      <c r="E145" s="1073" t="s">
        <v>1060</v>
      </c>
      <c r="F145" s="1074"/>
      <c r="G145" s="618">
        <f t="shared" ref="G145:G208" si="11">H145+K145</f>
        <v>1300000</v>
      </c>
      <c r="H145" s="618">
        <f t="shared" ref="H145:H208" si="12">I145+J145</f>
        <v>1300000</v>
      </c>
      <c r="I145" s="618">
        <v>0</v>
      </c>
      <c r="J145" s="618">
        <v>1300000</v>
      </c>
      <c r="K145" s="618">
        <f t="shared" ref="K145:K208" si="13">L145+M145</f>
        <v>0</v>
      </c>
      <c r="L145" s="618">
        <v>0</v>
      </c>
      <c r="M145" s="618">
        <v>0</v>
      </c>
    </row>
    <row r="146" spans="1:13" s="553" customFormat="1" ht="18" customHeight="1">
      <c r="A146" s="1071"/>
      <c r="B146" s="1072"/>
      <c r="C146" s="1075" t="s">
        <v>66</v>
      </c>
      <c r="D146" s="1076"/>
      <c r="E146" s="1073" t="s">
        <v>324</v>
      </c>
      <c r="F146" s="1074"/>
      <c r="G146" s="618">
        <f t="shared" si="11"/>
        <v>7776000</v>
      </c>
      <c r="H146" s="618">
        <f t="shared" si="12"/>
        <v>7276000</v>
      </c>
      <c r="I146" s="618">
        <v>7276000</v>
      </c>
      <c r="J146" s="618">
        <v>0</v>
      </c>
      <c r="K146" s="618">
        <f t="shared" si="13"/>
        <v>500000</v>
      </c>
      <c r="L146" s="618">
        <v>500000</v>
      </c>
      <c r="M146" s="618">
        <v>0</v>
      </c>
    </row>
    <row r="147" spans="1:13" s="553" customFormat="1" ht="18" customHeight="1">
      <c r="A147" s="1071"/>
      <c r="B147" s="1072"/>
      <c r="C147" s="1075" t="s">
        <v>68</v>
      </c>
      <c r="D147" s="1076"/>
      <c r="E147" s="1073" t="s">
        <v>1061</v>
      </c>
      <c r="F147" s="1074"/>
      <c r="G147" s="619">
        <f t="shared" si="11"/>
        <v>60000</v>
      </c>
      <c r="H147" s="619">
        <f t="shared" si="12"/>
        <v>60000</v>
      </c>
      <c r="I147" s="619">
        <v>0</v>
      </c>
      <c r="J147" s="619">
        <v>60000</v>
      </c>
      <c r="K147" s="619">
        <f t="shared" si="13"/>
        <v>0</v>
      </c>
      <c r="L147" s="619">
        <v>0</v>
      </c>
      <c r="M147" s="619">
        <v>0</v>
      </c>
    </row>
    <row r="148" spans="1:13" s="553" customFormat="1" ht="18" customHeight="1">
      <c r="A148" s="1084"/>
      <c r="B148" s="1085"/>
      <c r="C148" s="1084"/>
      <c r="D148" s="1085"/>
      <c r="E148" s="1073" t="s">
        <v>1062</v>
      </c>
      <c r="F148" s="1074"/>
      <c r="G148" s="619">
        <f t="shared" si="11"/>
        <v>75000</v>
      </c>
      <c r="H148" s="619">
        <f t="shared" si="12"/>
        <v>0</v>
      </c>
      <c r="I148" s="619">
        <v>0</v>
      </c>
      <c r="J148" s="619">
        <v>0</v>
      </c>
      <c r="K148" s="619">
        <f t="shared" si="13"/>
        <v>75000</v>
      </c>
      <c r="L148" s="619">
        <v>0</v>
      </c>
      <c r="M148" s="619">
        <v>75000</v>
      </c>
    </row>
    <row r="149" spans="1:13" s="638" customFormat="1" ht="30" customHeight="1">
      <c r="A149" s="1062" t="s">
        <v>23</v>
      </c>
      <c r="B149" s="1063"/>
      <c r="C149" s="1082" t="s">
        <v>423</v>
      </c>
      <c r="D149" s="1083"/>
      <c r="E149" s="1066" t="s">
        <v>1063</v>
      </c>
      <c r="F149" s="1067"/>
      <c r="G149" s="599">
        <f t="shared" si="11"/>
        <v>36443000</v>
      </c>
      <c r="H149" s="599">
        <f t="shared" si="12"/>
        <v>4220000</v>
      </c>
      <c r="I149" s="599">
        <v>0</v>
      </c>
      <c r="J149" s="599">
        <v>4220000</v>
      </c>
      <c r="K149" s="599">
        <f t="shared" si="13"/>
        <v>32223000</v>
      </c>
      <c r="L149" s="599">
        <v>0</v>
      </c>
      <c r="M149" s="599">
        <v>32223000</v>
      </c>
    </row>
    <row r="150" spans="1:13" s="638" customFormat="1" ht="30" customHeight="1">
      <c r="A150" s="1062"/>
      <c r="B150" s="1063"/>
      <c r="C150" s="1082" t="s">
        <v>1064</v>
      </c>
      <c r="D150" s="1083"/>
      <c r="E150" s="1066" t="s">
        <v>1065</v>
      </c>
      <c r="F150" s="1067"/>
      <c r="G150" s="599">
        <f t="shared" si="11"/>
        <v>3836361</v>
      </c>
      <c r="H150" s="599">
        <f t="shared" si="12"/>
        <v>0</v>
      </c>
      <c r="I150" s="599">
        <v>0</v>
      </c>
      <c r="J150" s="599">
        <v>0</v>
      </c>
      <c r="K150" s="599">
        <f t="shared" si="13"/>
        <v>3836361</v>
      </c>
      <c r="L150" s="599">
        <v>0</v>
      </c>
      <c r="M150" s="599">
        <v>3836361</v>
      </c>
    </row>
    <row r="151" spans="1:13" s="638" customFormat="1" ht="30" customHeight="1">
      <c r="A151" s="1062"/>
      <c r="B151" s="1063"/>
      <c r="C151" s="1062" t="s">
        <v>369</v>
      </c>
      <c r="D151" s="1063"/>
      <c r="E151" s="1066" t="s">
        <v>1066</v>
      </c>
      <c r="F151" s="1067"/>
      <c r="G151" s="599">
        <f>H151+K151</f>
        <v>875000</v>
      </c>
      <c r="H151" s="599">
        <f>I151+J151</f>
        <v>875000</v>
      </c>
      <c r="I151" s="599">
        <v>875000</v>
      </c>
      <c r="J151" s="599">
        <v>0</v>
      </c>
      <c r="K151" s="599">
        <f>L151+M151</f>
        <v>0</v>
      </c>
      <c r="L151" s="599">
        <v>0</v>
      </c>
      <c r="M151" s="599">
        <v>0</v>
      </c>
    </row>
    <row r="152" spans="1:13" s="638" customFormat="1" ht="39.950000000000003" customHeight="1">
      <c r="A152" s="1062"/>
      <c r="B152" s="1063"/>
      <c r="C152" s="1062"/>
      <c r="D152" s="1063"/>
      <c r="E152" s="1066" t="s">
        <v>1067</v>
      </c>
      <c r="F152" s="1067"/>
      <c r="G152" s="599">
        <f>H152+K152</f>
        <v>20544</v>
      </c>
      <c r="H152" s="599">
        <f>I152+J152</f>
        <v>20544</v>
      </c>
      <c r="I152" s="599">
        <v>20544</v>
      </c>
      <c r="J152" s="599">
        <v>0</v>
      </c>
      <c r="K152" s="599">
        <f>L152+M152</f>
        <v>0</v>
      </c>
      <c r="L152" s="599">
        <v>0</v>
      </c>
      <c r="M152" s="599">
        <v>0</v>
      </c>
    </row>
    <row r="153" spans="1:13" s="638" customFormat="1" ht="30" customHeight="1">
      <c r="A153" s="1062"/>
      <c r="B153" s="1063"/>
      <c r="C153" s="1062"/>
      <c r="D153" s="1063"/>
      <c r="E153" s="1066" t="s">
        <v>878</v>
      </c>
      <c r="F153" s="1067"/>
      <c r="G153" s="599">
        <f>H153+K153</f>
        <v>340000</v>
      </c>
      <c r="H153" s="599">
        <f>I153+J153</f>
        <v>340000</v>
      </c>
      <c r="I153" s="599">
        <v>340000</v>
      </c>
      <c r="J153" s="599">
        <v>0</v>
      </c>
      <c r="K153" s="599">
        <f>L153+M153</f>
        <v>0</v>
      </c>
      <c r="L153" s="599">
        <v>0</v>
      </c>
      <c r="M153" s="599">
        <v>0</v>
      </c>
    </row>
    <row r="154" spans="1:13" s="638" customFormat="1" ht="30" customHeight="1">
      <c r="A154" s="1064"/>
      <c r="B154" s="1065"/>
      <c r="C154" s="1064"/>
      <c r="D154" s="1065"/>
      <c r="E154" s="1066" t="s">
        <v>1068</v>
      </c>
      <c r="F154" s="1067"/>
      <c r="G154" s="599">
        <f>H154+K154</f>
        <v>260000</v>
      </c>
      <c r="H154" s="599">
        <f>I154+J154</f>
        <v>260000</v>
      </c>
      <c r="I154" s="599">
        <v>260000</v>
      </c>
      <c r="J154" s="599">
        <v>0</v>
      </c>
      <c r="K154" s="599">
        <f>L154+M154</f>
        <v>0</v>
      </c>
      <c r="L154" s="599">
        <v>0</v>
      </c>
      <c r="M154" s="599">
        <v>0</v>
      </c>
    </row>
    <row r="155" spans="1:13" s="638" customFormat="1" ht="57" customHeight="1">
      <c r="A155" s="1077"/>
      <c r="B155" s="1078"/>
      <c r="C155" s="1077" t="s">
        <v>424</v>
      </c>
      <c r="D155" s="1078"/>
      <c r="E155" s="1066" t="s">
        <v>1069</v>
      </c>
      <c r="F155" s="1067"/>
      <c r="G155" s="599">
        <f t="shared" si="11"/>
        <v>3600000</v>
      </c>
      <c r="H155" s="599">
        <f t="shared" si="12"/>
        <v>3600000</v>
      </c>
      <c r="I155" s="599">
        <v>3600000</v>
      </c>
      <c r="J155" s="599">
        <v>0</v>
      </c>
      <c r="K155" s="599">
        <f t="shared" si="13"/>
        <v>0</v>
      </c>
      <c r="L155" s="599">
        <v>0</v>
      </c>
      <c r="M155" s="599">
        <v>0</v>
      </c>
    </row>
    <row r="156" spans="1:13" s="638" customFormat="1" ht="42.95" customHeight="1">
      <c r="A156" s="1062"/>
      <c r="B156" s="1063"/>
      <c r="C156" s="1077" t="s">
        <v>880</v>
      </c>
      <c r="D156" s="1078"/>
      <c r="E156" s="1066" t="s">
        <v>1070</v>
      </c>
      <c r="F156" s="1067"/>
      <c r="G156" s="599">
        <f t="shared" si="11"/>
        <v>75000</v>
      </c>
      <c r="H156" s="599">
        <f t="shared" si="12"/>
        <v>75000</v>
      </c>
      <c r="I156" s="599">
        <v>75000</v>
      </c>
      <c r="J156" s="599">
        <v>0</v>
      </c>
      <c r="K156" s="599">
        <f t="shared" si="13"/>
        <v>0</v>
      </c>
      <c r="L156" s="599">
        <v>0</v>
      </c>
      <c r="M156" s="599">
        <v>0</v>
      </c>
    </row>
    <row r="157" spans="1:13" s="638" customFormat="1" ht="30" customHeight="1">
      <c r="A157" s="1062"/>
      <c r="B157" s="1063"/>
      <c r="C157" s="1062"/>
      <c r="D157" s="1063"/>
      <c r="E157" s="1066" t="s">
        <v>1071</v>
      </c>
      <c r="F157" s="1067"/>
      <c r="G157" s="599">
        <f>H157+K157</f>
        <v>214984</v>
      </c>
      <c r="H157" s="599">
        <f>I157+J157</f>
        <v>214984</v>
      </c>
      <c r="I157" s="599">
        <v>214984</v>
      </c>
      <c r="J157" s="599">
        <v>0</v>
      </c>
      <c r="K157" s="599">
        <f>L157+M157</f>
        <v>0</v>
      </c>
      <c r="L157" s="599">
        <v>0</v>
      </c>
      <c r="M157" s="599">
        <v>0</v>
      </c>
    </row>
    <row r="158" spans="1:13" s="638" customFormat="1" ht="30" customHeight="1">
      <c r="A158" s="1062"/>
      <c r="B158" s="1063"/>
      <c r="C158" s="1077" t="s">
        <v>425</v>
      </c>
      <c r="D158" s="1078"/>
      <c r="E158" s="1066" t="s">
        <v>1072</v>
      </c>
      <c r="F158" s="1067"/>
      <c r="G158" s="599">
        <f t="shared" ref="G158" si="14">H158+K158</f>
        <v>3749599</v>
      </c>
      <c r="H158" s="599">
        <f t="shared" ref="H158" si="15">I158+J158</f>
        <v>3749599</v>
      </c>
      <c r="I158" s="599">
        <v>3749599</v>
      </c>
      <c r="J158" s="599">
        <v>0</v>
      </c>
      <c r="K158" s="599">
        <f t="shared" ref="K158" si="16">L158+M158</f>
        <v>0</v>
      </c>
      <c r="L158" s="599">
        <v>0</v>
      </c>
      <c r="M158" s="599">
        <v>0</v>
      </c>
    </row>
    <row r="159" spans="1:13" s="638" customFormat="1" ht="30" customHeight="1">
      <c r="A159" s="1064"/>
      <c r="B159" s="1065"/>
      <c r="C159" s="1077" t="s">
        <v>427</v>
      </c>
      <c r="D159" s="1078"/>
      <c r="E159" s="1066" t="s">
        <v>1073</v>
      </c>
      <c r="F159" s="1067"/>
      <c r="G159" s="599">
        <f t="shared" si="11"/>
        <v>50000</v>
      </c>
      <c r="H159" s="599">
        <f t="shared" si="12"/>
        <v>50000</v>
      </c>
      <c r="I159" s="599">
        <v>0</v>
      </c>
      <c r="J159" s="599">
        <v>50000</v>
      </c>
      <c r="K159" s="599">
        <f t="shared" si="13"/>
        <v>0</v>
      </c>
      <c r="L159" s="599">
        <v>0</v>
      </c>
      <c r="M159" s="599">
        <v>0</v>
      </c>
    </row>
    <row r="160" spans="1:13" s="553" customFormat="1" ht="18" customHeight="1">
      <c r="A160" s="1075" t="s">
        <v>55</v>
      </c>
      <c r="B160" s="1076"/>
      <c r="C160" s="1075" t="s">
        <v>1074</v>
      </c>
      <c r="D160" s="1076"/>
      <c r="E160" s="1073" t="s">
        <v>1075</v>
      </c>
      <c r="F160" s="1074"/>
      <c r="G160" s="618">
        <f t="shared" si="11"/>
        <v>150000</v>
      </c>
      <c r="H160" s="618">
        <f t="shared" si="12"/>
        <v>0</v>
      </c>
      <c r="I160" s="618">
        <v>0</v>
      </c>
      <c r="J160" s="618">
        <v>0</v>
      </c>
      <c r="K160" s="618">
        <f t="shared" si="13"/>
        <v>150000</v>
      </c>
      <c r="L160" s="618">
        <v>0</v>
      </c>
      <c r="M160" s="618">
        <v>150000</v>
      </c>
    </row>
    <row r="161" spans="1:13" s="638" customFormat="1" ht="30" customHeight="1">
      <c r="A161" s="1082" t="s">
        <v>25</v>
      </c>
      <c r="B161" s="1083"/>
      <c r="C161" s="1082" t="s">
        <v>883</v>
      </c>
      <c r="D161" s="1083"/>
      <c r="E161" s="1066" t="s">
        <v>1076</v>
      </c>
      <c r="F161" s="1067"/>
      <c r="G161" s="599">
        <f t="shared" si="11"/>
        <v>150000</v>
      </c>
      <c r="H161" s="599">
        <f t="shared" si="12"/>
        <v>150000</v>
      </c>
      <c r="I161" s="599">
        <v>150000</v>
      </c>
      <c r="J161" s="599">
        <v>0</v>
      </c>
      <c r="K161" s="599">
        <f t="shared" si="13"/>
        <v>0</v>
      </c>
      <c r="L161" s="599">
        <v>0</v>
      </c>
      <c r="M161" s="599">
        <v>0</v>
      </c>
    </row>
    <row r="162" spans="1:13" s="553" customFormat="1" ht="18" customHeight="1">
      <c r="A162" s="1079" t="s">
        <v>85</v>
      </c>
      <c r="B162" s="1080"/>
      <c r="C162" s="1079" t="s">
        <v>434</v>
      </c>
      <c r="D162" s="1080"/>
      <c r="E162" s="1073" t="s">
        <v>955</v>
      </c>
      <c r="F162" s="1074"/>
      <c r="G162" s="619">
        <f t="shared" si="11"/>
        <v>259442</v>
      </c>
      <c r="H162" s="619">
        <f t="shared" si="12"/>
        <v>259442</v>
      </c>
      <c r="I162" s="619">
        <v>259442</v>
      </c>
      <c r="J162" s="619">
        <v>0</v>
      </c>
      <c r="K162" s="619">
        <f t="shared" si="13"/>
        <v>0</v>
      </c>
      <c r="L162" s="619">
        <v>0</v>
      </c>
      <c r="M162" s="619">
        <v>0</v>
      </c>
    </row>
    <row r="163" spans="1:13" s="553" customFormat="1" ht="18" customHeight="1">
      <c r="A163" s="1075" t="s">
        <v>87</v>
      </c>
      <c r="B163" s="1076"/>
      <c r="C163" s="1075" t="s">
        <v>435</v>
      </c>
      <c r="D163" s="1076"/>
      <c r="E163" s="1073" t="s">
        <v>1077</v>
      </c>
      <c r="F163" s="1074"/>
      <c r="G163" s="619">
        <f t="shared" si="11"/>
        <v>200000</v>
      </c>
      <c r="H163" s="619">
        <f t="shared" si="12"/>
        <v>200000</v>
      </c>
      <c r="I163" s="619">
        <v>0</v>
      </c>
      <c r="J163" s="619">
        <v>200000</v>
      </c>
      <c r="K163" s="619">
        <f t="shared" si="13"/>
        <v>0</v>
      </c>
      <c r="L163" s="619">
        <v>0</v>
      </c>
      <c r="M163" s="619">
        <v>0</v>
      </c>
    </row>
    <row r="164" spans="1:13" s="553" customFormat="1" ht="18" customHeight="1">
      <c r="A164" s="1071"/>
      <c r="B164" s="1072"/>
      <c r="C164" s="1084"/>
      <c r="D164" s="1085"/>
      <c r="E164" s="1073" t="s">
        <v>1078</v>
      </c>
      <c r="F164" s="1074"/>
      <c r="G164" s="619">
        <f t="shared" si="11"/>
        <v>100000</v>
      </c>
      <c r="H164" s="619">
        <f t="shared" si="12"/>
        <v>100000</v>
      </c>
      <c r="I164" s="619">
        <v>0</v>
      </c>
      <c r="J164" s="619">
        <v>100000</v>
      </c>
      <c r="K164" s="619">
        <f t="shared" si="13"/>
        <v>0</v>
      </c>
      <c r="L164" s="619">
        <v>0</v>
      </c>
      <c r="M164" s="619">
        <v>0</v>
      </c>
    </row>
    <row r="165" spans="1:13" s="638" customFormat="1" ht="30" customHeight="1">
      <c r="A165" s="1064"/>
      <c r="B165" s="1065"/>
      <c r="C165" s="1064" t="s">
        <v>436</v>
      </c>
      <c r="D165" s="1065"/>
      <c r="E165" s="1066" t="s">
        <v>1079</v>
      </c>
      <c r="F165" s="1067"/>
      <c r="G165" s="599">
        <f t="shared" si="11"/>
        <v>4654277</v>
      </c>
      <c r="H165" s="599">
        <f t="shared" si="12"/>
        <v>4654277</v>
      </c>
      <c r="I165" s="599">
        <v>4654277</v>
      </c>
      <c r="J165" s="599">
        <v>0</v>
      </c>
      <c r="K165" s="599">
        <f t="shared" si="13"/>
        <v>0</v>
      </c>
      <c r="L165" s="599">
        <v>0</v>
      </c>
      <c r="M165" s="599">
        <v>0</v>
      </c>
    </row>
    <row r="166" spans="1:13" s="553" customFormat="1" ht="18" customHeight="1">
      <c r="A166" s="1079" t="s">
        <v>29</v>
      </c>
      <c r="B166" s="1080"/>
      <c r="C166" s="1079" t="s">
        <v>443</v>
      </c>
      <c r="D166" s="1080"/>
      <c r="E166" s="1073" t="s">
        <v>1080</v>
      </c>
      <c r="F166" s="1074"/>
      <c r="G166" s="618">
        <f t="shared" si="11"/>
        <v>135000</v>
      </c>
      <c r="H166" s="618">
        <f t="shared" si="12"/>
        <v>0</v>
      </c>
      <c r="I166" s="618">
        <v>0</v>
      </c>
      <c r="J166" s="618">
        <v>0</v>
      </c>
      <c r="K166" s="618">
        <f t="shared" si="13"/>
        <v>135000</v>
      </c>
      <c r="L166" s="618">
        <v>0</v>
      </c>
      <c r="M166" s="618">
        <v>135000</v>
      </c>
    </row>
    <row r="167" spans="1:13" s="553" customFormat="1" ht="18" customHeight="1">
      <c r="A167" s="1079" t="s">
        <v>33</v>
      </c>
      <c r="B167" s="1080"/>
      <c r="C167" s="1079" t="s">
        <v>461</v>
      </c>
      <c r="D167" s="1080"/>
      <c r="E167" s="1073" t="s">
        <v>1081</v>
      </c>
      <c r="F167" s="1074"/>
      <c r="G167" s="618">
        <f t="shared" si="11"/>
        <v>81025</v>
      </c>
      <c r="H167" s="618">
        <f t="shared" si="12"/>
        <v>0</v>
      </c>
      <c r="I167" s="618">
        <v>0</v>
      </c>
      <c r="J167" s="618">
        <v>0</v>
      </c>
      <c r="K167" s="618">
        <f t="shared" si="13"/>
        <v>81025</v>
      </c>
      <c r="L167" s="618">
        <v>0</v>
      </c>
      <c r="M167" s="618">
        <v>81025</v>
      </c>
    </row>
    <row r="168" spans="1:13" s="638" customFormat="1" ht="57" customHeight="1">
      <c r="A168" s="1077" t="s">
        <v>35</v>
      </c>
      <c r="B168" s="1078"/>
      <c r="C168" s="1082" t="s">
        <v>889</v>
      </c>
      <c r="D168" s="1083"/>
      <c r="E168" s="1066" t="s">
        <v>1082</v>
      </c>
      <c r="F168" s="1067"/>
      <c r="G168" s="637">
        <f>H168+K168</f>
        <v>2500000</v>
      </c>
      <c r="H168" s="637">
        <f>I168+J168</f>
        <v>2500000</v>
      </c>
      <c r="I168" s="637">
        <v>2500000</v>
      </c>
      <c r="J168" s="637">
        <v>0</v>
      </c>
      <c r="K168" s="637">
        <f>L168+M168</f>
        <v>0</v>
      </c>
      <c r="L168" s="637">
        <v>0</v>
      </c>
      <c r="M168" s="637">
        <v>0</v>
      </c>
    </row>
    <row r="169" spans="1:13" s="553" customFormat="1" ht="18" customHeight="1">
      <c r="A169" s="1071"/>
      <c r="B169" s="1072"/>
      <c r="C169" s="1075" t="s">
        <v>1038</v>
      </c>
      <c r="D169" s="1076"/>
      <c r="E169" s="1073" t="s">
        <v>1083</v>
      </c>
      <c r="F169" s="1074"/>
      <c r="G169" s="618">
        <f t="shared" si="11"/>
        <v>200000</v>
      </c>
      <c r="H169" s="618">
        <f t="shared" si="12"/>
        <v>0</v>
      </c>
      <c r="I169" s="618">
        <v>0</v>
      </c>
      <c r="J169" s="618">
        <v>0</v>
      </c>
      <c r="K169" s="618">
        <f t="shared" si="13"/>
        <v>200000</v>
      </c>
      <c r="L169" s="618">
        <v>0</v>
      </c>
      <c r="M169" s="618">
        <v>200000</v>
      </c>
    </row>
    <row r="170" spans="1:13" s="553" customFormat="1" ht="18" customHeight="1">
      <c r="A170" s="1071"/>
      <c r="B170" s="1072"/>
      <c r="C170" s="1084"/>
      <c r="D170" s="1085"/>
      <c r="E170" s="1073" t="s">
        <v>1084</v>
      </c>
      <c r="F170" s="1074"/>
      <c r="G170" s="619">
        <f t="shared" si="11"/>
        <v>800000</v>
      </c>
      <c r="H170" s="619">
        <f t="shared" si="12"/>
        <v>250000</v>
      </c>
      <c r="I170" s="619">
        <v>0</v>
      </c>
      <c r="J170" s="619">
        <v>250000</v>
      </c>
      <c r="K170" s="619">
        <f t="shared" si="13"/>
        <v>550000</v>
      </c>
      <c r="L170" s="619">
        <v>0</v>
      </c>
      <c r="M170" s="619">
        <v>550000</v>
      </c>
    </row>
    <row r="171" spans="1:13" s="553" customFormat="1" ht="18" customHeight="1">
      <c r="A171" s="1071"/>
      <c r="B171" s="1072"/>
      <c r="C171" s="1079" t="s">
        <v>1085</v>
      </c>
      <c r="D171" s="1080"/>
      <c r="E171" s="1073" t="s">
        <v>1086</v>
      </c>
      <c r="F171" s="1074"/>
      <c r="G171" s="619">
        <f t="shared" si="11"/>
        <v>350000</v>
      </c>
      <c r="H171" s="619">
        <f t="shared" si="12"/>
        <v>0</v>
      </c>
      <c r="I171" s="619">
        <v>0</v>
      </c>
      <c r="J171" s="619">
        <v>0</v>
      </c>
      <c r="K171" s="619">
        <f t="shared" si="13"/>
        <v>350000</v>
      </c>
      <c r="L171" s="619">
        <v>0</v>
      </c>
      <c r="M171" s="619">
        <v>350000</v>
      </c>
    </row>
    <row r="172" spans="1:13" s="553" customFormat="1" ht="18" customHeight="1">
      <c r="A172" s="1071"/>
      <c r="B172" s="1072"/>
      <c r="C172" s="1075" t="s">
        <v>1087</v>
      </c>
      <c r="D172" s="1076"/>
      <c r="E172" s="1073" t="s">
        <v>325</v>
      </c>
      <c r="F172" s="1074"/>
      <c r="G172" s="618">
        <f t="shared" si="11"/>
        <v>30000</v>
      </c>
      <c r="H172" s="618">
        <f t="shared" si="12"/>
        <v>30000</v>
      </c>
      <c r="I172" s="618">
        <v>0</v>
      </c>
      <c r="J172" s="618">
        <v>30000</v>
      </c>
      <c r="K172" s="618">
        <f t="shared" si="13"/>
        <v>0</v>
      </c>
      <c r="L172" s="618">
        <v>0</v>
      </c>
      <c r="M172" s="618">
        <v>0</v>
      </c>
    </row>
    <row r="173" spans="1:13" s="638" customFormat="1" ht="30" customHeight="1">
      <c r="A173" s="1062"/>
      <c r="B173" s="1063"/>
      <c r="C173" s="1062"/>
      <c r="D173" s="1063"/>
      <c r="E173" s="1066" t="s">
        <v>1088</v>
      </c>
      <c r="F173" s="1067"/>
      <c r="G173" s="599">
        <f t="shared" si="11"/>
        <v>70000</v>
      </c>
      <c r="H173" s="599">
        <f t="shared" si="12"/>
        <v>0</v>
      </c>
      <c r="I173" s="599">
        <v>0</v>
      </c>
      <c r="J173" s="599">
        <v>0</v>
      </c>
      <c r="K173" s="599">
        <f t="shared" si="13"/>
        <v>70000</v>
      </c>
      <c r="L173" s="599">
        <v>0</v>
      </c>
      <c r="M173" s="599">
        <v>70000</v>
      </c>
    </row>
    <row r="174" spans="1:13" s="638" customFormat="1" ht="30" customHeight="1">
      <c r="A174" s="1064"/>
      <c r="B174" s="1065"/>
      <c r="C174" s="1064"/>
      <c r="D174" s="1065"/>
      <c r="E174" s="1066" t="s">
        <v>1089</v>
      </c>
      <c r="F174" s="1067"/>
      <c r="G174" s="599">
        <f t="shared" si="11"/>
        <v>260000</v>
      </c>
      <c r="H174" s="599">
        <f t="shared" si="12"/>
        <v>0</v>
      </c>
      <c r="I174" s="599">
        <v>0</v>
      </c>
      <c r="J174" s="599">
        <v>0</v>
      </c>
      <c r="K174" s="599">
        <f t="shared" si="13"/>
        <v>260000</v>
      </c>
      <c r="L174" s="599">
        <v>0</v>
      </c>
      <c r="M174" s="599">
        <v>260000</v>
      </c>
    </row>
    <row r="175" spans="1:13" s="638" customFormat="1" ht="30" customHeight="1">
      <c r="A175" s="1077" t="s">
        <v>146</v>
      </c>
      <c r="B175" s="1078"/>
      <c r="C175" s="1077" t="s">
        <v>1090</v>
      </c>
      <c r="D175" s="1078"/>
      <c r="E175" s="1066" t="s">
        <v>1091</v>
      </c>
      <c r="F175" s="1067"/>
      <c r="G175" s="637">
        <f t="shared" si="11"/>
        <v>30000</v>
      </c>
      <c r="H175" s="637">
        <f t="shared" si="12"/>
        <v>30000</v>
      </c>
      <c r="I175" s="637">
        <v>0</v>
      </c>
      <c r="J175" s="637">
        <v>30000</v>
      </c>
      <c r="K175" s="637">
        <f t="shared" si="13"/>
        <v>0</v>
      </c>
      <c r="L175" s="637">
        <v>0</v>
      </c>
      <c r="M175" s="637">
        <v>0</v>
      </c>
    </row>
    <row r="176" spans="1:13" s="553" customFormat="1" ht="18" customHeight="1">
      <c r="A176" s="1071"/>
      <c r="B176" s="1072"/>
      <c r="C176" s="1084"/>
      <c r="D176" s="1085"/>
      <c r="E176" s="1073" t="s">
        <v>1092</v>
      </c>
      <c r="F176" s="1074"/>
      <c r="G176" s="619">
        <f t="shared" si="11"/>
        <v>40000</v>
      </c>
      <c r="H176" s="619">
        <f t="shared" si="12"/>
        <v>0</v>
      </c>
      <c r="I176" s="619">
        <v>0</v>
      </c>
      <c r="J176" s="619">
        <v>0</v>
      </c>
      <c r="K176" s="619">
        <f t="shared" si="13"/>
        <v>40000</v>
      </c>
      <c r="L176" s="619">
        <v>0</v>
      </c>
      <c r="M176" s="619">
        <v>40000</v>
      </c>
    </row>
    <row r="177" spans="1:13" s="553" customFormat="1" ht="18" customHeight="1">
      <c r="A177" s="1075" t="s">
        <v>37</v>
      </c>
      <c r="B177" s="1076"/>
      <c r="C177" s="1075" t="s">
        <v>1093</v>
      </c>
      <c r="D177" s="1076"/>
      <c r="E177" s="1073" t="s">
        <v>1094</v>
      </c>
      <c r="F177" s="1074"/>
      <c r="G177" s="618">
        <f t="shared" si="11"/>
        <v>444000</v>
      </c>
      <c r="H177" s="618">
        <f t="shared" si="12"/>
        <v>327334</v>
      </c>
      <c r="I177" s="618">
        <v>0</v>
      </c>
      <c r="J177" s="618">
        <v>327334</v>
      </c>
      <c r="K177" s="618">
        <f t="shared" si="13"/>
        <v>116666</v>
      </c>
      <c r="L177" s="618">
        <v>0</v>
      </c>
      <c r="M177" s="618">
        <v>116666</v>
      </c>
    </row>
    <row r="178" spans="1:13" s="638" customFormat="1" ht="30" customHeight="1">
      <c r="A178" s="1062"/>
      <c r="B178" s="1063"/>
      <c r="C178" s="1082" t="s">
        <v>1047</v>
      </c>
      <c r="D178" s="1083"/>
      <c r="E178" s="1066" t="s">
        <v>1095</v>
      </c>
      <c r="F178" s="1067"/>
      <c r="G178" s="637">
        <f t="shared" si="11"/>
        <v>100000</v>
      </c>
      <c r="H178" s="637">
        <f t="shared" si="12"/>
        <v>0</v>
      </c>
      <c r="I178" s="637">
        <v>0</v>
      </c>
      <c r="J178" s="637">
        <v>0</v>
      </c>
      <c r="K178" s="637">
        <f t="shared" si="13"/>
        <v>100000</v>
      </c>
      <c r="L178" s="637">
        <v>0</v>
      </c>
      <c r="M178" s="637">
        <v>100000</v>
      </c>
    </row>
    <row r="179" spans="1:13" s="553" customFormat="1" ht="18" customHeight="1">
      <c r="A179" s="1075" t="s">
        <v>7</v>
      </c>
      <c r="B179" s="1076"/>
      <c r="C179" s="1075" t="s">
        <v>1096</v>
      </c>
      <c r="D179" s="1076"/>
      <c r="E179" s="1073" t="s">
        <v>1097</v>
      </c>
      <c r="F179" s="1074"/>
      <c r="G179" s="618">
        <f t="shared" si="11"/>
        <v>207000</v>
      </c>
      <c r="H179" s="618">
        <f t="shared" si="12"/>
        <v>207000</v>
      </c>
      <c r="I179" s="618">
        <v>0</v>
      </c>
      <c r="J179" s="618">
        <v>207000</v>
      </c>
      <c r="K179" s="618">
        <f t="shared" si="13"/>
        <v>0</v>
      </c>
      <c r="L179" s="618">
        <v>0</v>
      </c>
      <c r="M179" s="618">
        <v>0</v>
      </c>
    </row>
    <row r="180" spans="1:13" s="553" customFormat="1" ht="18" customHeight="1">
      <c r="A180" s="1075" t="s">
        <v>52</v>
      </c>
      <c r="B180" s="1076"/>
      <c r="C180" s="1079" t="s">
        <v>1098</v>
      </c>
      <c r="D180" s="1080"/>
      <c r="E180" s="1073" t="s">
        <v>1099</v>
      </c>
      <c r="F180" s="1074"/>
      <c r="G180" s="619">
        <f t="shared" si="11"/>
        <v>430000</v>
      </c>
      <c r="H180" s="619">
        <f t="shared" si="12"/>
        <v>0</v>
      </c>
      <c r="I180" s="619">
        <v>0</v>
      </c>
      <c r="J180" s="619">
        <v>0</v>
      </c>
      <c r="K180" s="619">
        <f t="shared" si="13"/>
        <v>430000</v>
      </c>
      <c r="L180" s="619">
        <v>0</v>
      </c>
      <c r="M180" s="619">
        <v>430000</v>
      </c>
    </row>
    <row r="181" spans="1:13" s="553" customFormat="1" ht="18" customHeight="1">
      <c r="A181" s="1071"/>
      <c r="B181" s="1072"/>
      <c r="C181" s="1075" t="s">
        <v>1049</v>
      </c>
      <c r="D181" s="1076"/>
      <c r="E181" s="1073" t="s">
        <v>1100</v>
      </c>
      <c r="F181" s="1074"/>
      <c r="G181" s="619">
        <f t="shared" si="11"/>
        <v>100000</v>
      </c>
      <c r="H181" s="619">
        <f t="shared" si="12"/>
        <v>0</v>
      </c>
      <c r="I181" s="619">
        <v>0</v>
      </c>
      <c r="J181" s="619">
        <v>0</v>
      </c>
      <c r="K181" s="619">
        <f t="shared" si="13"/>
        <v>100000</v>
      </c>
      <c r="L181" s="619">
        <v>0</v>
      </c>
      <c r="M181" s="619">
        <v>100000</v>
      </c>
    </row>
    <row r="182" spans="1:13" s="553" customFormat="1" ht="18" customHeight="1">
      <c r="A182" s="1071"/>
      <c r="B182" s="1072"/>
      <c r="C182" s="1071"/>
      <c r="D182" s="1072"/>
      <c r="E182" s="1073" t="s">
        <v>1101</v>
      </c>
      <c r="F182" s="1074"/>
      <c r="G182" s="619">
        <f t="shared" si="11"/>
        <v>250000</v>
      </c>
      <c r="H182" s="619">
        <f t="shared" si="12"/>
        <v>0</v>
      </c>
      <c r="I182" s="619">
        <v>0</v>
      </c>
      <c r="J182" s="619">
        <v>0</v>
      </c>
      <c r="K182" s="619">
        <f t="shared" si="13"/>
        <v>250000</v>
      </c>
      <c r="L182" s="619">
        <v>0</v>
      </c>
      <c r="M182" s="619">
        <v>250000</v>
      </c>
    </row>
    <row r="183" spans="1:13" s="553" customFormat="1" ht="18" customHeight="1">
      <c r="A183" s="1071"/>
      <c r="B183" s="1072"/>
      <c r="C183" s="1071"/>
      <c r="D183" s="1072"/>
      <c r="E183" s="1073" t="s">
        <v>1102</v>
      </c>
      <c r="F183" s="1074"/>
      <c r="G183" s="619">
        <f t="shared" si="11"/>
        <v>150000</v>
      </c>
      <c r="H183" s="619">
        <f t="shared" si="12"/>
        <v>0</v>
      </c>
      <c r="I183" s="619">
        <v>0</v>
      </c>
      <c r="J183" s="619">
        <v>0</v>
      </c>
      <c r="K183" s="619">
        <f t="shared" si="13"/>
        <v>150000</v>
      </c>
      <c r="L183" s="619">
        <v>0</v>
      </c>
      <c r="M183" s="619">
        <v>150000</v>
      </c>
    </row>
    <row r="184" spans="1:13" s="638" customFormat="1" ht="30" customHeight="1">
      <c r="A184" s="1062"/>
      <c r="B184" s="1063"/>
      <c r="C184" s="1062"/>
      <c r="D184" s="1063"/>
      <c r="E184" s="1066" t="s">
        <v>1103</v>
      </c>
      <c r="F184" s="1067"/>
      <c r="G184" s="637">
        <f t="shared" si="11"/>
        <v>280000</v>
      </c>
      <c r="H184" s="637">
        <f t="shared" si="12"/>
        <v>0</v>
      </c>
      <c r="I184" s="637">
        <v>0</v>
      </c>
      <c r="J184" s="637">
        <v>0</v>
      </c>
      <c r="K184" s="637">
        <f t="shared" si="13"/>
        <v>280000</v>
      </c>
      <c r="L184" s="637">
        <v>0</v>
      </c>
      <c r="M184" s="637">
        <v>280000</v>
      </c>
    </row>
    <row r="185" spans="1:13" s="638" customFormat="1" ht="30" customHeight="1">
      <c r="A185" s="1062"/>
      <c r="B185" s="1063"/>
      <c r="C185" s="1062"/>
      <c r="D185" s="1063"/>
      <c r="E185" s="1066" t="s">
        <v>1104</v>
      </c>
      <c r="F185" s="1067"/>
      <c r="G185" s="599">
        <f t="shared" si="11"/>
        <v>230000</v>
      </c>
      <c r="H185" s="599">
        <f t="shared" si="12"/>
        <v>0</v>
      </c>
      <c r="I185" s="599">
        <v>0</v>
      </c>
      <c r="J185" s="599">
        <v>0</v>
      </c>
      <c r="K185" s="599">
        <f t="shared" si="13"/>
        <v>230000</v>
      </c>
      <c r="L185" s="599">
        <v>0</v>
      </c>
      <c r="M185" s="599">
        <v>230000</v>
      </c>
    </row>
    <row r="186" spans="1:13" s="638" customFormat="1" ht="30" customHeight="1">
      <c r="A186" s="1077" t="s">
        <v>40</v>
      </c>
      <c r="B186" s="1078"/>
      <c r="C186" s="1077" t="s">
        <v>899</v>
      </c>
      <c r="D186" s="1078"/>
      <c r="E186" s="1081" t="s">
        <v>1105</v>
      </c>
      <c r="F186" s="1067"/>
      <c r="G186" s="599">
        <f t="shared" si="11"/>
        <v>393588</v>
      </c>
      <c r="H186" s="599">
        <f t="shared" si="12"/>
        <v>393588</v>
      </c>
      <c r="I186" s="599">
        <v>393588</v>
      </c>
      <c r="J186" s="599">
        <v>0</v>
      </c>
      <c r="K186" s="599">
        <f t="shared" si="13"/>
        <v>0</v>
      </c>
      <c r="L186" s="599">
        <v>0</v>
      </c>
      <c r="M186" s="599">
        <v>0</v>
      </c>
    </row>
    <row r="187" spans="1:13" s="638" customFormat="1" ht="30" customHeight="1">
      <c r="A187" s="1062"/>
      <c r="B187" s="1063"/>
      <c r="C187" s="1062"/>
      <c r="D187" s="1063"/>
      <c r="E187" s="1081" t="s">
        <v>1106</v>
      </c>
      <c r="F187" s="1067"/>
      <c r="G187" s="599">
        <f>H187+K187</f>
        <v>71047</v>
      </c>
      <c r="H187" s="599">
        <f>I187+J187</f>
        <v>71047</v>
      </c>
      <c r="I187" s="599">
        <v>71047</v>
      </c>
      <c r="J187" s="599">
        <v>0</v>
      </c>
      <c r="K187" s="599">
        <f>L187+M187</f>
        <v>0</v>
      </c>
      <c r="L187" s="599">
        <v>0</v>
      </c>
      <c r="M187" s="599">
        <v>0</v>
      </c>
    </row>
    <row r="188" spans="1:13" s="638" customFormat="1" ht="30" customHeight="1">
      <c r="A188" s="1062"/>
      <c r="B188" s="1063"/>
      <c r="C188" s="1062"/>
      <c r="D188" s="1063"/>
      <c r="E188" s="1066" t="s">
        <v>1107</v>
      </c>
      <c r="F188" s="1067"/>
      <c r="G188" s="599">
        <f>H188+K188</f>
        <v>26794752</v>
      </c>
      <c r="H188" s="599">
        <f>I188+J188</f>
        <v>26794752</v>
      </c>
      <c r="I188" s="599">
        <v>26794752</v>
      </c>
      <c r="J188" s="599">
        <v>0</v>
      </c>
      <c r="K188" s="599">
        <f>L188+M188</f>
        <v>0</v>
      </c>
      <c r="L188" s="599">
        <v>0</v>
      </c>
      <c r="M188" s="599">
        <v>0</v>
      </c>
    </row>
    <row r="189" spans="1:13" s="638" customFormat="1" ht="30" customHeight="1">
      <c r="A189" s="1062"/>
      <c r="B189" s="1063"/>
      <c r="C189" s="1062"/>
      <c r="D189" s="1063"/>
      <c r="E189" s="1066" t="s">
        <v>1108</v>
      </c>
      <c r="F189" s="1067"/>
      <c r="G189" s="599">
        <f t="shared" si="11"/>
        <v>35053</v>
      </c>
      <c r="H189" s="599">
        <f t="shared" si="12"/>
        <v>35053</v>
      </c>
      <c r="I189" s="599">
        <v>0</v>
      </c>
      <c r="J189" s="599">
        <v>35053</v>
      </c>
      <c r="K189" s="599">
        <f t="shared" si="13"/>
        <v>0</v>
      </c>
      <c r="L189" s="599">
        <v>0</v>
      </c>
      <c r="M189" s="599">
        <v>0</v>
      </c>
    </row>
    <row r="190" spans="1:13" s="638" customFormat="1" ht="39.950000000000003" customHeight="1">
      <c r="A190" s="1062"/>
      <c r="B190" s="1063"/>
      <c r="C190" s="1062"/>
      <c r="D190" s="1063"/>
      <c r="E190" s="1066" t="s">
        <v>1109</v>
      </c>
      <c r="F190" s="1067"/>
      <c r="G190" s="599">
        <f t="shared" si="11"/>
        <v>1365000</v>
      </c>
      <c r="H190" s="599">
        <f t="shared" si="12"/>
        <v>1365000</v>
      </c>
      <c r="I190" s="599">
        <v>1365000</v>
      </c>
      <c r="J190" s="599">
        <v>0</v>
      </c>
      <c r="K190" s="599">
        <f t="shared" si="13"/>
        <v>0</v>
      </c>
      <c r="L190" s="599">
        <v>0</v>
      </c>
      <c r="M190" s="599">
        <v>0</v>
      </c>
    </row>
    <row r="191" spans="1:13" s="638" customFormat="1" ht="30" customHeight="1">
      <c r="A191" s="1062"/>
      <c r="B191" s="1063"/>
      <c r="C191" s="1062"/>
      <c r="D191" s="1063"/>
      <c r="E191" s="1066" t="s">
        <v>1110</v>
      </c>
      <c r="F191" s="1067"/>
      <c r="G191" s="599">
        <f t="shared" si="11"/>
        <v>28515</v>
      </c>
      <c r="H191" s="599">
        <f t="shared" si="12"/>
        <v>28515</v>
      </c>
      <c r="I191" s="599">
        <v>28515</v>
      </c>
      <c r="J191" s="599">
        <v>0</v>
      </c>
      <c r="K191" s="599">
        <f t="shared" si="13"/>
        <v>0</v>
      </c>
      <c r="L191" s="599">
        <v>0</v>
      </c>
      <c r="M191" s="599">
        <v>0</v>
      </c>
    </row>
    <row r="192" spans="1:13" s="638" customFormat="1" ht="53.45" customHeight="1">
      <c r="A192" s="1062"/>
      <c r="B192" s="1063"/>
      <c r="C192" s="1062"/>
      <c r="D192" s="1063"/>
      <c r="E192" s="1066" t="s">
        <v>1111</v>
      </c>
      <c r="F192" s="1067"/>
      <c r="G192" s="599">
        <f t="shared" si="11"/>
        <v>3678157</v>
      </c>
      <c r="H192" s="599">
        <f t="shared" si="12"/>
        <v>3678157</v>
      </c>
      <c r="I192" s="599">
        <v>3602928</v>
      </c>
      <c r="J192" s="599">
        <v>75229</v>
      </c>
      <c r="K192" s="599">
        <f t="shared" si="13"/>
        <v>0</v>
      </c>
      <c r="L192" s="599">
        <v>0</v>
      </c>
      <c r="M192" s="599">
        <v>0</v>
      </c>
    </row>
    <row r="193" spans="1:13" s="638" customFormat="1" ht="53.45" customHeight="1">
      <c r="A193" s="1064"/>
      <c r="B193" s="1065"/>
      <c r="C193" s="1064"/>
      <c r="D193" s="1065"/>
      <c r="E193" s="1066" t="s">
        <v>1112</v>
      </c>
      <c r="F193" s="1067"/>
      <c r="G193" s="599">
        <f t="shared" si="11"/>
        <v>7224736</v>
      </c>
      <c r="H193" s="599">
        <f t="shared" si="12"/>
        <v>7224736</v>
      </c>
      <c r="I193" s="599">
        <v>7224736</v>
      </c>
      <c r="J193" s="599">
        <v>0</v>
      </c>
      <c r="K193" s="599">
        <f t="shared" si="13"/>
        <v>0</v>
      </c>
      <c r="L193" s="599">
        <v>0</v>
      </c>
      <c r="M193" s="599">
        <v>0</v>
      </c>
    </row>
    <row r="194" spans="1:13" s="638" customFormat="1" ht="39.950000000000003" customHeight="1">
      <c r="A194" s="1077"/>
      <c r="B194" s="1078"/>
      <c r="C194" s="1077"/>
      <c r="D194" s="1078"/>
      <c r="E194" s="1066" t="s">
        <v>1113</v>
      </c>
      <c r="F194" s="1067"/>
      <c r="G194" s="599">
        <f t="shared" si="11"/>
        <v>545529</v>
      </c>
      <c r="H194" s="599">
        <f t="shared" si="12"/>
        <v>545529</v>
      </c>
      <c r="I194" s="599">
        <v>496267</v>
      </c>
      <c r="J194" s="599">
        <v>49262</v>
      </c>
      <c r="K194" s="599">
        <f t="shared" si="13"/>
        <v>0</v>
      </c>
      <c r="L194" s="599">
        <v>0</v>
      </c>
      <c r="M194" s="599">
        <v>0</v>
      </c>
    </row>
    <row r="195" spans="1:13" s="638" customFormat="1" ht="39.950000000000003" customHeight="1">
      <c r="A195" s="1062"/>
      <c r="B195" s="1063"/>
      <c r="C195" s="1064"/>
      <c r="D195" s="1065"/>
      <c r="E195" s="1066" t="s">
        <v>1114</v>
      </c>
      <c r="F195" s="1067"/>
      <c r="G195" s="599">
        <f t="shared" si="11"/>
        <v>1699039</v>
      </c>
      <c r="H195" s="599">
        <f t="shared" si="12"/>
        <v>1699039</v>
      </c>
      <c r="I195" s="599">
        <v>1516402</v>
      </c>
      <c r="J195" s="599">
        <v>182637</v>
      </c>
      <c r="K195" s="599">
        <f t="shared" si="13"/>
        <v>0</v>
      </c>
      <c r="L195" s="599">
        <v>0</v>
      </c>
      <c r="M195" s="599">
        <v>0</v>
      </c>
    </row>
    <row r="196" spans="1:13" s="638" customFormat="1" ht="39.950000000000003" customHeight="1">
      <c r="A196" s="1062"/>
      <c r="B196" s="1063"/>
      <c r="C196" s="1062" t="s">
        <v>1012</v>
      </c>
      <c r="D196" s="1063"/>
      <c r="E196" s="1066" t="s">
        <v>1115</v>
      </c>
      <c r="F196" s="1067"/>
      <c r="G196" s="599">
        <f>H196+K196</f>
        <v>8600194</v>
      </c>
      <c r="H196" s="599">
        <f>I196+J196</f>
        <v>8600194</v>
      </c>
      <c r="I196" s="599">
        <v>8600194</v>
      </c>
      <c r="J196" s="599">
        <v>0</v>
      </c>
      <c r="K196" s="599">
        <f>L196+M196</f>
        <v>0</v>
      </c>
      <c r="L196" s="599">
        <v>0</v>
      </c>
      <c r="M196" s="599">
        <v>0</v>
      </c>
    </row>
    <row r="197" spans="1:13" s="638" customFormat="1" ht="39.950000000000003" customHeight="1">
      <c r="A197" s="1062"/>
      <c r="B197" s="1063"/>
      <c r="C197" s="1077" t="s">
        <v>905</v>
      </c>
      <c r="D197" s="1078"/>
      <c r="E197" s="1066" t="s">
        <v>1116</v>
      </c>
      <c r="F197" s="1067"/>
      <c r="G197" s="599">
        <f t="shared" si="11"/>
        <v>310000</v>
      </c>
      <c r="H197" s="599">
        <f t="shared" si="12"/>
        <v>310000</v>
      </c>
      <c r="I197" s="599">
        <v>310000</v>
      </c>
      <c r="J197" s="599">
        <v>0</v>
      </c>
      <c r="K197" s="599">
        <f t="shared" si="13"/>
        <v>0</v>
      </c>
      <c r="L197" s="599">
        <v>0</v>
      </c>
      <c r="M197" s="599">
        <v>0</v>
      </c>
    </row>
    <row r="198" spans="1:13" s="638" customFormat="1" ht="39.950000000000003" customHeight="1">
      <c r="A198" s="1062"/>
      <c r="B198" s="1063"/>
      <c r="C198" s="1062"/>
      <c r="D198" s="1063"/>
      <c r="E198" s="1066" t="s">
        <v>1117</v>
      </c>
      <c r="F198" s="1067"/>
      <c r="G198" s="599">
        <f>H198+K198</f>
        <v>853213</v>
      </c>
      <c r="H198" s="599">
        <f>I198+J198</f>
        <v>853213</v>
      </c>
      <c r="I198" s="599">
        <v>853213</v>
      </c>
      <c r="J198" s="599">
        <v>0</v>
      </c>
      <c r="K198" s="599">
        <f>L198+M198</f>
        <v>0</v>
      </c>
      <c r="L198" s="599">
        <v>0</v>
      </c>
      <c r="M198" s="599">
        <v>0</v>
      </c>
    </row>
    <row r="199" spans="1:13" s="638" customFormat="1" ht="30" customHeight="1">
      <c r="A199" s="1062"/>
      <c r="B199" s="1063"/>
      <c r="C199" s="1062"/>
      <c r="D199" s="1063"/>
      <c r="E199" s="1066" t="s">
        <v>1118</v>
      </c>
      <c r="F199" s="1067"/>
      <c r="G199" s="599">
        <f>H199+K199</f>
        <v>40280</v>
      </c>
      <c r="H199" s="599">
        <f>I199+J199</f>
        <v>40280</v>
      </c>
      <c r="I199" s="599">
        <v>0</v>
      </c>
      <c r="J199" s="599">
        <v>40280</v>
      </c>
      <c r="K199" s="599">
        <f>L199+M199</f>
        <v>0</v>
      </c>
      <c r="L199" s="599">
        <v>0</v>
      </c>
      <c r="M199" s="599">
        <v>0</v>
      </c>
    </row>
    <row r="200" spans="1:13" s="638" customFormat="1" ht="30" customHeight="1">
      <c r="A200" s="1062"/>
      <c r="B200" s="1063"/>
      <c r="C200" s="1077" t="s">
        <v>908</v>
      </c>
      <c r="D200" s="1078"/>
      <c r="E200" s="1066" t="s">
        <v>1119</v>
      </c>
      <c r="F200" s="1067"/>
      <c r="G200" s="599">
        <f t="shared" si="11"/>
        <v>6000</v>
      </c>
      <c r="H200" s="599">
        <f t="shared" si="12"/>
        <v>6000</v>
      </c>
      <c r="I200" s="599">
        <v>0</v>
      </c>
      <c r="J200" s="599">
        <v>6000</v>
      </c>
      <c r="K200" s="599">
        <f t="shared" si="13"/>
        <v>0</v>
      </c>
      <c r="L200" s="599">
        <v>0</v>
      </c>
      <c r="M200" s="599">
        <v>0</v>
      </c>
    </row>
    <row r="201" spans="1:13" s="638" customFormat="1" ht="39.950000000000003" customHeight="1">
      <c r="A201" s="1062"/>
      <c r="B201" s="1063"/>
      <c r="C201" s="1062"/>
      <c r="D201" s="1063"/>
      <c r="E201" s="1066" t="s">
        <v>1120</v>
      </c>
      <c r="F201" s="1067"/>
      <c r="G201" s="599">
        <f t="shared" si="11"/>
        <v>221700</v>
      </c>
      <c r="H201" s="599">
        <f t="shared" si="12"/>
        <v>221700</v>
      </c>
      <c r="I201" s="599">
        <v>145700</v>
      </c>
      <c r="J201" s="599">
        <v>76000</v>
      </c>
      <c r="K201" s="599">
        <f t="shared" si="13"/>
        <v>0</v>
      </c>
      <c r="L201" s="599">
        <v>0</v>
      </c>
      <c r="M201" s="599">
        <v>0</v>
      </c>
    </row>
    <row r="202" spans="1:13" s="638" customFormat="1" ht="39.950000000000003" customHeight="1">
      <c r="A202" s="1062"/>
      <c r="B202" s="1063"/>
      <c r="C202" s="1062"/>
      <c r="D202" s="1063"/>
      <c r="E202" s="1066" t="s">
        <v>1121</v>
      </c>
      <c r="F202" s="1067"/>
      <c r="G202" s="599">
        <f t="shared" si="11"/>
        <v>137000</v>
      </c>
      <c r="H202" s="599">
        <f t="shared" si="12"/>
        <v>137000</v>
      </c>
      <c r="I202" s="599">
        <v>28290</v>
      </c>
      <c r="J202" s="599">
        <v>108710</v>
      </c>
      <c r="K202" s="599">
        <f t="shared" si="13"/>
        <v>0</v>
      </c>
      <c r="L202" s="599">
        <v>0</v>
      </c>
      <c r="M202" s="599">
        <v>0</v>
      </c>
    </row>
    <row r="203" spans="1:13" s="638" customFormat="1" ht="30" customHeight="1">
      <c r="A203" s="1062"/>
      <c r="B203" s="1063"/>
      <c r="C203" s="1077" t="s">
        <v>912</v>
      </c>
      <c r="D203" s="1078"/>
      <c r="E203" s="1066" t="s">
        <v>1122</v>
      </c>
      <c r="F203" s="1067"/>
      <c r="G203" s="599">
        <f t="shared" si="11"/>
        <v>74000</v>
      </c>
      <c r="H203" s="599">
        <f t="shared" si="12"/>
        <v>74000</v>
      </c>
      <c r="I203" s="599">
        <v>0</v>
      </c>
      <c r="J203" s="599">
        <v>74000</v>
      </c>
      <c r="K203" s="599">
        <f t="shared" si="13"/>
        <v>0</v>
      </c>
      <c r="L203" s="599">
        <v>0</v>
      </c>
      <c r="M203" s="599">
        <v>0</v>
      </c>
    </row>
    <row r="204" spans="1:13" s="638" customFormat="1" ht="39.950000000000003" customHeight="1">
      <c r="A204" s="1062"/>
      <c r="B204" s="1063"/>
      <c r="C204" s="1062"/>
      <c r="D204" s="1063"/>
      <c r="E204" s="1066" t="s">
        <v>1123</v>
      </c>
      <c r="F204" s="1067"/>
      <c r="G204" s="599">
        <f t="shared" si="11"/>
        <v>55887</v>
      </c>
      <c r="H204" s="599">
        <f t="shared" si="12"/>
        <v>55887</v>
      </c>
      <c r="I204" s="599">
        <v>55887</v>
      </c>
      <c r="J204" s="599">
        <v>0</v>
      </c>
      <c r="K204" s="599">
        <f t="shared" si="13"/>
        <v>0</v>
      </c>
      <c r="L204" s="599">
        <v>0</v>
      </c>
      <c r="M204" s="599">
        <v>0</v>
      </c>
    </row>
    <row r="205" spans="1:13" s="638" customFormat="1" ht="30" customHeight="1">
      <c r="A205" s="1062"/>
      <c r="B205" s="1063"/>
      <c r="C205" s="1062"/>
      <c r="D205" s="1063"/>
      <c r="E205" s="1066" t="s">
        <v>1124</v>
      </c>
      <c r="F205" s="1067"/>
      <c r="G205" s="599">
        <f>H205+K205</f>
        <v>42000</v>
      </c>
      <c r="H205" s="599">
        <f>I205+J205</f>
        <v>42000</v>
      </c>
      <c r="I205" s="599">
        <v>42000</v>
      </c>
      <c r="J205" s="599">
        <v>0</v>
      </c>
      <c r="K205" s="599">
        <f>L205+M205</f>
        <v>0</v>
      </c>
      <c r="L205" s="599">
        <v>0</v>
      </c>
      <c r="M205" s="599">
        <v>0</v>
      </c>
    </row>
    <row r="206" spans="1:13" s="553" customFormat="1" ht="18" customHeight="1">
      <c r="A206" s="1071"/>
      <c r="B206" s="1072"/>
      <c r="C206" s="1079" t="s">
        <v>1125</v>
      </c>
      <c r="D206" s="1080"/>
      <c r="E206" s="1073" t="s">
        <v>1126</v>
      </c>
      <c r="F206" s="1074"/>
      <c r="G206" s="619">
        <f t="shared" si="11"/>
        <v>1125000</v>
      </c>
      <c r="H206" s="619">
        <f t="shared" si="12"/>
        <v>225000</v>
      </c>
      <c r="I206" s="619">
        <v>0</v>
      </c>
      <c r="J206" s="619">
        <v>225000</v>
      </c>
      <c r="K206" s="619">
        <f t="shared" si="13"/>
        <v>900000</v>
      </c>
      <c r="L206" s="619">
        <v>0</v>
      </c>
      <c r="M206" s="619">
        <v>900000</v>
      </c>
    </row>
    <row r="207" spans="1:13" s="638" customFormat="1" ht="30" customHeight="1">
      <c r="A207" s="1062"/>
      <c r="B207" s="1063"/>
      <c r="C207" s="1077" t="s">
        <v>1127</v>
      </c>
      <c r="D207" s="1078"/>
      <c r="E207" s="1066" t="s">
        <v>1128</v>
      </c>
      <c r="F207" s="1067"/>
      <c r="G207" s="599">
        <f t="shared" si="11"/>
        <v>1100000</v>
      </c>
      <c r="H207" s="599">
        <f t="shared" si="12"/>
        <v>0</v>
      </c>
      <c r="I207" s="599">
        <v>0</v>
      </c>
      <c r="J207" s="599">
        <v>0</v>
      </c>
      <c r="K207" s="599">
        <f t="shared" si="13"/>
        <v>1100000</v>
      </c>
      <c r="L207" s="599">
        <v>0</v>
      </c>
      <c r="M207" s="599">
        <v>1100000</v>
      </c>
    </row>
    <row r="208" spans="1:13" s="553" customFormat="1" ht="18" customHeight="1">
      <c r="A208" s="1071"/>
      <c r="B208" s="1072"/>
      <c r="C208" s="1071"/>
      <c r="D208" s="1072"/>
      <c r="E208" s="1073" t="s">
        <v>1129</v>
      </c>
      <c r="F208" s="1074"/>
      <c r="G208" s="619">
        <f t="shared" si="11"/>
        <v>350000</v>
      </c>
      <c r="H208" s="619">
        <f t="shared" si="12"/>
        <v>350000</v>
      </c>
      <c r="I208" s="619">
        <v>0</v>
      </c>
      <c r="J208" s="619">
        <v>350000</v>
      </c>
      <c r="K208" s="619">
        <f t="shared" si="13"/>
        <v>0</v>
      </c>
      <c r="L208" s="619">
        <v>0</v>
      </c>
      <c r="M208" s="619">
        <v>0</v>
      </c>
    </row>
    <row r="209" spans="1:13" s="638" customFormat="1" ht="30" customHeight="1">
      <c r="A209" s="1062"/>
      <c r="B209" s="1063"/>
      <c r="C209" s="1062"/>
      <c r="D209" s="1063"/>
      <c r="E209" s="1066" t="s">
        <v>1130</v>
      </c>
      <c r="F209" s="1067"/>
      <c r="G209" s="599">
        <f t="shared" ref="G209:G218" si="17">H209+K209</f>
        <v>50000</v>
      </c>
      <c r="H209" s="599">
        <f t="shared" ref="H209:H218" si="18">I209+J209</f>
        <v>50000</v>
      </c>
      <c r="I209" s="599">
        <v>0</v>
      </c>
      <c r="J209" s="599">
        <v>50000</v>
      </c>
      <c r="K209" s="599">
        <f t="shared" ref="K209:K218" si="19">L209+M209</f>
        <v>0</v>
      </c>
      <c r="L209" s="599">
        <v>0</v>
      </c>
      <c r="M209" s="599">
        <v>0</v>
      </c>
    </row>
    <row r="210" spans="1:13" s="638" customFormat="1" ht="30" customHeight="1">
      <c r="A210" s="1064"/>
      <c r="B210" s="1065"/>
      <c r="C210" s="1064"/>
      <c r="D210" s="1065"/>
      <c r="E210" s="1066" t="s">
        <v>1131</v>
      </c>
      <c r="F210" s="1067"/>
      <c r="G210" s="599">
        <f t="shared" si="17"/>
        <v>640000</v>
      </c>
      <c r="H210" s="599">
        <f t="shared" si="18"/>
        <v>640000</v>
      </c>
      <c r="I210" s="599">
        <v>0</v>
      </c>
      <c r="J210" s="599">
        <v>640000</v>
      </c>
      <c r="K210" s="599">
        <f t="shared" si="19"/>
        <v>0</v>
      </c>
      <c r="L210" s="599">
        <v>0</v>
      </c>
      <c r="M210" s="599">
        <v>0</v>
      </c>
    </row>
    <row r="211" spans="1:13" s="638" customFormat="1" ht="30" customHeight="1">
      <c r="A211" s="1077"/>
      <c r="B211" s="1078"/>
      <c r="C211" s="1077"/>
      <c r="D211" s="1078"/>
      <c r="E211" s="1066" t="s">
        <v>1132</v>
      </c>
      <c r="F211" s="1067"/>
      <c r="G211" s="599">
        <f t="shared" si="17"/>
        <v>700000</v>
      </c>
      <c r="H211" s="599">
        <f t="shared" si="18"/>
        <v>700000</v>
      </c>
      <c r="I211" s="599">
        <v>0</v>
      </c>
      <c r="J211" s="599">
        <v>700000</v>
      </c>
      <c r="K211" s="599">
        <f t="shared" si="19"/>
        <v>0</v>
      </c>
      <c r="L211" s="599">
        <v>0</v>
      </c>
      <c r="M211" s="599">
        <v>0</v>
      </c>
    </row>
    <row r="212" spans="1:13" s="638" customFormat="1" ht="30" customHeight="1">
      <c r="A212" s="1062"/>
      <c r="B212" s="1063"/>
      <c r="C212" s="1062"/>
      <c r="D212" s="1063"/>
      <c r="E212" s="1066" t="s">
        <v>1133</v>
      </c>
      <c r="F212" s="1067"/>
      <c r="G212" s="599">
        <f t="shared" si="17"/>
        <v>600000</v>
      </c>
      <c r="H212" s="599">
        <f t="shared" si="18"/>
        <v>600000</v>
      </c>
      <c r="I212" s="599">
        <v>0</v>
      </c>
      <c r="J212" s="599">
        <v>600000</v>
      </c>
      <c r="K212" s="599">
        <f t="shared" si="19"/>
        <v>0</v>
      </c>
      <c r="L212" s="599">
        <v>0</v>
      </c>
      <c r="M212" s="599">
        <v>0</v>
      </c>
    </row>
    <row r="213" spans="1:13" s="638" customFormat="1" ht="39.950000000000003" customHeight="1">
      <c r="A213" s="1064"/>
      <c r="B213" s="1065"/>
      <c r="C213" s="1064"/>
      <c r="D213" s="1065"/>
      <c r="E213" s="1066" t="s">
        <v>1134</v>
      </c>
      <c r="F213" s="1067"/>
      <c r="G213" s="599">
        <f t="shared" si="17"/>
        <v>180000</v>
      </c>
      <c r="H213" s="599">
        <f t="shared" si="18"/>
        <v>180000</v>
      </c>
      <c r="I213" s="599">
        <v>0</v>
      </c>
      <c r="J213" s="599">
        <v>180000</v>
      </c>
      <c r="K213" s="599">
        <f t="shared" si="19"/>
        <v>0</v>
      </c>
      <c r="L213" s="599">
        <v>0</v>
      </c>
      <c r="M213" s="599">
        <v>0</v>
      </c>
    </row>
    <row r="214" spans="1:13" s="553" customFormat="1" ht="18" customHeight="1">
      <c r="A214" s="1075" t="s">
        <v>147</v>
      </c>
      <c r="B214" s="1076"/>
      <c r="C214" s="1075" t="s">
        <v>916</v>
      </c>
      <c r="D214" s="1076"/>
      <c r="E214" s="1073" t="s">
        <v>1135</v>
      </c>
      <c r="F214" s="1074"/>
      <c r="G214" s="618">
        <f t="shared" si="17"/>
        <v>2000000</v>
      </c>
      <c r="H214" s="618">
        <f t="shared" si="18"/>
        <v>0</v>
      </c>
      <c r="I214" s="618">
        <v>0</v>
      </c>
      <c r="J214" s="618">
        <v>0</v>
      </c>
      <c r="K214" s="618">
        <f t="shared" si="19"/>
        <v>2000000</v>
      </c>
      <c r="L214" s="618">
        <v>0</v>
      </c>
      <c r="M214" s="618">
        <v>2000000</v>
      </c>
    </row>
    <row r="215" spans="1:13" s="553" customFormat="1" ht="18" customHeight="1">
      <c r="A215" s="1071"/>
      <c r="B215" s="1072"/>
      <c r="C215" s="1071"/>
      <c r="D215" s="1072"/>
      <c r="E215" s="1073" t="s">
        <v>1136</v>
      </c>
      <c r="F215" s="1074"/>
      <c r="G215" s="618">
        <f t="shared" si="17"/>
        <v>900000</v>
      </c>
      <c r="H215" s="618">
        <f t="shared" si="18"/>
        <v>0</v>
      </c>
      <c r="I215" s="618">
        <v>0</v>
      </c>
      <c r="J215" s="618">
        <v>0</v>
      </c>
      <c r="K215" s="618">
        <f t="shared" si="19"/>
        <v>900000</v>
      </c>
      <c r="L215" s="618">
        <v>0</v>
      </c>
      <c r="M215" s="618">
        <v>900000</v>
      </c>
    </row>
    <row r="216" spans="1:13" s="553" customFormat="1" ht="18" customHeight="1">
      <c r="A216" s="1071"/>
      <c r="B216" s="1072"/>
      <c r="C216" s="1071"/>
      <c r="D216" s="1072"/>
      <c r="E216" s="1073" t="s">
        <v>1137</v>
      </c>
      <c r="F216" s="1074"/>
      <c r="G216" s="618">
        <f>H216+K216</f>
        <v>1900000</v>
      </c>
      <c r="H216" s="618">
        <f>I216+J216</f>
        <v>0</v>
      </c>
      <c r="I216" s="618">
        <v>0</v>
      </c>
      <c r="J216" s="618">
        <v>0</v>
      </c>
      <c r="K216" s="618">
        <f>L216+M216</f>
        <v>1900000</v>
      </c>
      <c r="L216" s="618">
        <v>0</v>
      </c>
      <c r="M216" s="618">
        <v>1900000</v>
      </c>
    </row>
    <row r="217" spans="1:13" s="553" customFormat="1" ht="18" customHeight="1">
      <c r="A217" s="1071"/>
      <c r="B217" s="1072"/>
      <c r="C217" s="1071"/>
      <c r="D217" s="1072"/>
      <c r="E217" s="1073" t="s">
        <v>1138</v>
      </c>
      <c r="F217" s="1074"/>
      <c r="G217" s="618">
        <f>H217+K217</f>
        <v>840000</v>
      </c>
      <c r="H217" s="618">
        <f>I217+J217</f>
        <v>0</v>
      </c>
      <c r="I217" s="618">
        <v>0</v>
      </c>
      <c r="J217" s="618">
        <v>0</v>
      </c>
      <c r="K217" s="618">
        <f>L217+M217</f>
        <v>840000</v>
      </c>
      <c r="L217" s="618">
        <v>0</v>
      </c>
      <c r="M217" s="618">
        <v>840000</v>
      </c>
    </row>
    <row r="218" spans="1:13" s="638" customFormat="1" ht="30" customHeight="1">
      <c r="A218" s="1062"/>
      <c r="B218" s="1063"/>
      <c r="C218" s="1064"/>
      <c r="D218" s="1065"/>
      <c r="E218" s="1066" t="s">
        <v>1139</v>
      </c>
      <c r="F218" s="1067"/>
      <c r="G218" s="637">
        <f t="shared" si="17"/>
        <v>3000000</v>
      </c>
      <c r="H218" s="637">
        <f t="shared" si="18"/>
        <v>3000000</v>
      </c>
      <c r="I218" s="637">
        <v>3000000</v>
      </c>
      <c r="J218" s="637">
        <v>0</v>
      </c>
      <c r="K218" s="637">
        <f t="shared" si="19"/>
        <v>0</v>
      </c>
      <c r="L218" s="637">
        <v>0</v>
      </c>
      <c r="M218" s="637">
        <v>0</v>
      </c>
    </row>
    <row r="219" spans="1:13" s="616" customFormat="1" ht="5.25" customHeight="1">
      <c r="A219" s="631"/>
      <c r="B219" s="632"/>
      <c r="C219" s="632"/>
      <c r="D219" s="632"/>
      <c r="E219" s="632"/>
      <c r="F219" s="632"/>
      <c r="G219" s="648"/>
      <c r="H219" s="649"/>
      <c r="I219" s="649"/>
      <c r="J219" s="649"/>
      <c r="K219" s="649"/>
      <c r="L219" s="649"/>
      <c r="M219" s="650"/>
    </row>
    <row r="220" spans="1:13" s="581" customFormat="1" ht="18" customHeight="1">
      <c r="A220" s="1068" t="s">
        <v>416</v>
      </c>
      <c r="B220" s="1069"/>
      <c r="C220" s="1069"/>
      <c r="D220" s="1069"/>
      <c r="E220" s="1069"/>
      <c r="F220" s="1070"/>
      <c r="G220" s="579">
        <f t="shared" ref="G220:M220" si="20">G12</f>
        <v>523667964</v>
      </c>
      <c r="H220" s="579">
        <f t="shared" si="20"/>
        <v>296587743</v>
      </c>
      <c r="I220" s="579">
        <f t="shared" si="20"/>
        <v>168963655</v>
      </c>
      <c r="J220" s="579">
        <f t="shared" si="20"/>
        <v>127624088</v>
      </c>
      <c r="K220" s="579">
        <f t="shared" si="20"/>
        <v>227080221</v>
      </c>
      <c r="L220" s="579">
        <f t="shared" si="20"/>
        <v>11968991</v>
      </c>
      <c r="M220" s="579">
        <f t="shared" si="20"/>
        <v>215111230</v>
      </c>
    </row>
    <row r="221" spans="1:13" s="553" customFormat="1" ht="3" customHeight="1">
      <c r="A221" s="651"/>
      <c r="B221" s="651"/>
      <c r="C221" s="651"/>
      <c r="D221" s="651"/>
      <c r="E221" s="652"/>
      <c r="F221" s="653"/>
      <c r="G221" s="654"/>
      <c r="H221" s="655"/>
      <c r="I221" s="655"/>
      <c r="J221" s="655"/>
      <c r="K221" s="655"/>
      <c r="L221" s="655"/>
      <c r="M221" s="655"/>
    </row>
    <row r="222" spans="1:13" ht="13.5" customHeight="1">
      <c r="A222" s="656" t="s">
        <v>1140</v>
      </c>
      <c r="B222" s="657"/>
      <c r="C222" s="658"/>
      <c r="D222" s="657"/>
      <c r="E222" s="658"/>
    </row>
    <row r="223" spans="1:13" ht="13.5" customHeight="1">
      <c r="A223" s="662" t="s">
        <v>1141</v>
      </c>
      <c r="B223" s="663"/>
      <c r="C223" s="562"/>
      <c r="D223" s="663"/>
      <c r="E223" s="562"/>
    </row>
  </sheetData>
  <sheetProtection algorithmName="SHA-512" hashValue="cQg8LlCFLhFnD8AaJSUg2ZHh/MITkq+KFx8mZYUFBWSSACthGX++x+iB6mdATRoiufxolzR1k4JnBOMrTnXqpw==" saltValue="nmSMXwx68ne3tk2nkVncyw==" spinCount="100000" sheet="1" objects="1" scenarios="1"/>
  <mergeCells count="522">
    <mergeCell ref="H8:H9"/>
    <mergeCell ref="K8:K9"/>
    <mergeCell ref="A10:B10"/>
    <mergeCell ref="C10:D10"/>
    <mergeCell ref="A12:F12"/>
    <mergeCell ref="A14:F14"/>
    <mergeCell ref="H1:J1"/>
    <mergeCell ref="K1:M1"/>
    <mergeCell ref="A4:M4"/>
    <mergeCell ref="A5:M5"/>
    <mergeCell ref="A7:B9"/>
    <mergeCell ref="C7:D9"/>
    <mergeCell ref="E7:F8"/>
    <mergeCell ref="G7:G9"/>
    <mergeCell ref="H7:J7"/>
    <mergeCell ref="K7:M7"/>
    <mergeCell ref="A18:B18"/>
    <mergeCell ref="C18:D18"/>
    <mergeCell ref="E18:F18"/>
    <mergeCell ref="A19:B19"/>
    <mergeCell ref="C19:D19"/>
    <mergeCell ref="E19:F19"/>
    <mergeCell ref="A16:B16"/>
    <mergeCell ref="C16:D16"/>
    <mergeCell ref="E16:F16"/>
    <mergeCell ref="A17:B17"/>
    <mergeCell ref="C17:D17"/>
    <mergeCell ref="E17:F17"/>
    <mergeCell ref="A22:B22"/>
    <mergeCell ref="C22:D22"/>
    <mergeCell ref="E22:F22"/>
    <mergeCell ref="A23:B23"/>
    <mergeCell ref="C23:D23"/>
    <mergeCell ref="E23:F23"/>
    <mergeCell ref="A20:B20"/>
    <mergeCell ref="C20:D20"/>
    <mergeCell ref="E20:F20"/>
    <mergeCell ref="A21:B21"/>
    <mergeCell ref="C21:D21"/>
    <mergeCell ref="E21:F21"/>
    <mergeCell ref="A26:B26"/>
    <mergeCell ref="C26:D26"/>
    <mergeCell ref="E26:F26"/>
    <mergeCell ref="A28:F28"/>
    <mergeCell ref="A30:F30"/>
    <mergeCell ref="A32:B32"/>
    <mergeCell ref="C32:D32"/>
    <mergeCell ref="E32:F32"/>
    <mergeCell ref="A24:B24"/>
    <mergeCell ref="C24:D24"/>
    <mergeCell ref="E24:F24"/>
    <mergeCell ref="A25:B25"/>
    <mergeCell ref="C25:D25"/>
    <mergeCell ref="E25:F25"/>
    <mergeCell ref="A35:B35"/>
    <mergeCell ref="C35:D35"/>
    <mergeCell ref="E35:F35"/>
    <mergeCell ref="A36:B36"/>
    <mergeCell ref="C36:D36"/>
    <mergeCell ref="E36:F36"/>
    <mergeCell ref="A33:B33"/>
    <mergeCell ref="C33:D33"/>
    <mergeCell ref="E33:F33"/>
    <mergeCell ref="A34:B34"/>
    <mergeCell ref="C34:D34"/>
    <mergeCell ref="E34:F34"/>
    <mergeCell ref="A39:B39"/>
    <mergeCell ref="C39:D39"/>
    <mergeCell ref="E39:F39"/>
    <mergeCell ref="A40:B40"/>
    <mergeCell ref="C40:D40"/>
    <mergeCell ref="E40:F40"/>
    <mergeCell ref="A37:B37"/>
    <mergeCell ref="C37:D37"/>
    <mergeCell ref="E37:F37"/>
    <mergeCell ref="A38:B38"/>
    <mergeCell ref="C38:D38"/>
    <mergeCell ref="E38:F38"/>
    <mergeCell ref="A43:B43"/>
    <mergeCell ref="C43:D43"/>
    <mergeCell ref="E43:F43"/>
    <mergeCell ref="A44:B44"/>
    <mergeCell ref="C44:D44"/>
    <mergeCell ref="E44:F44"/>
    <mergeCell ref="A41:B41"/>
    <mergeCell ref="C41:D41"/>
    <mergeCell ref="E41:F41"/>
    <mergeCell ref="A42:B42"/>
    <mergeCell ref="C42:D42"/>
    <mergeCell ref="E42:F42"/>
    <mergeCell ref="A47:B47"/>
    <mergeCell ref="C47:D47"/>
    <mergeCell ref="E47:F47"/>
    <mergeCell ref="A48:B48"/>
    <mergeCell ref="C48:D48"/>
    <mergeCell ref="E48:F48"/>
    <mergeCell ref="A45:B45"/>
    <mergeCell ref="C45:D45"/>
    <mergeCell ref="E45:F45"/>
    <mergeCell ref="A46:B46"/>
    <mergeCell ref="C46:D46"/>
    <mergeCell ref="E46:F46"/>
    <mergeCell ref="A51:B51"/>
    <mergeCell ref="C51:D51"/>
    <mergeCell ref="E51:F51"/>
    <mergeCell ref="A52:B52"/>
    <mergeCell ref="C52:D52"/>
    <mergeCell ref="E52:F52"/>
    <mergeCell ref="A49:B49"/>
    <mergeCell ref="C49:D49"/>
    <mergeCell ref="E49:F49"/>
    <mergeCell ref="A50:B50"/>
    <mergeCell ref="C50:D50"/>
    <mergeCell ref="E50:F50"/>
    <mergeCell ref="A55:B55"/>
    <mergeCell ref="C55:D55"/>
    <mergeCell ref="E55:F55"/>
    <mergeCell ref="A56:B56"/>
    <mergeCell ref="C56:D56"/>
    <mergeCell ref="E56:F56"/>
    <mergeCell ref="A53:B53"/>
    <mergeCell ref="C53:D53"/>
    <mergeCell ref="E53:F53"/>
    <mergeCell ref="A54:B54"/>
    <mergeCell ref="C54:D54"/>
    <mergeCell ref="E54:F54"/>
    <mergeCell ref="A59:B59"/>
    <mergeCell ref="C59:D59"/>
    <mergeCell ref="E59:F59"/>
    <mergeCell ref="A60:B60"/>
    <mergeCell ref="C60:D60"/>
    <mergeCell ref="E60:F60"/>
    <mergeCell ref="A57:B57"/>
    <mergeCell ref="C57:D57"/>
    <mergeCell ref="E57:F57"/>
    <mergeCell ref="A58:B58"/>
    <mergeCell ref="C58:D58"/>
    <mergeCell ref="E58:F58"/>
    <mergeCell ref="A63:B63"/>
    <mergeCell ref="C63:D63"/>
    <mergeCell ref="E63:F63"/>
    <mergeCell ref="A64:B64"/>
    <mergeCell ref="C64:D64"/>
    <mergeCell ref="E64:F64"/>
    <mergeCell ref="A61:B61"/>
    <mergeCell ref="C61:D61"/>
    <mergeCell ref="E61:F61"/>
    <mergeCell ref="A62:B62"/>
    <mergeCell ref="C62:D62"/>
    <mergeCell ref="E62:F62"/>
    <mergeCell ref="A67:B67"/>
    <mergeCell ref="C67:D67"/>
    <mergeCell ref="E67:F67"/>
    <mergeCell ref="A68:B68"/>
    <mergeCell ref="C68:D68"/>
    <mergeCell ref="E68:F68"/>
    <mergeCell ref="A65:B65"/>
    <mergeCell ref="C65:D65"/>
    <mergeCell ref="E65:F65"/>
    <mergeCell ref="A66:B66"/>
    <mergeCell ref="C66:D66"/>
    <mergeCell ref="E66:F66"/>
    <mergeCell ref="A71:B71"/>
    <mergeCell ref="C71:D71"/>
    <mergeCell ref="E71:F71"/>
    <mergeCell ref="A72:B72"/>
    <mergeCell ref="C72:D72"/>
    <mergeCell ref="E72:F72"/>
    <mergeCell ref="A69:B69"/>
    <mergeCell ref="C69:D69"/>
    <mergeCell ref="E69:F69"/>
    <mergeCell ref="A70:B70"/>
    <mergeCell ref="C70:D70"/>
    <mergeCell ref="E70:F70"/>
    <mergeCell ref="A75:B75"/>
    <mergeCell ref="C75:D75"/>
    <mergeCell ref="E75:F75"/>
    <mergeCell ref="A77:F77"/>
    <mergeCell ref="A79:F79"/>
    <mergeCell ref="A81:B81"/>
    <mergeCell ref="C81:D81"/>
    <mergeCell ref="A73:B73"/>
    <mergeCell ref="C73:D73"/>
    <mergeCell ref="E73:F73"/>
    <mergeCell ref="A74:B74"/>
    <mergeCell ref="C74:D74"/>
    <mergeCell ref="E74:F74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97:B97"/>
    <mergeCell ref="C97:D97"/>
    <mergeCell ref="A98:B98"/>
    <mergeCell ref="C98:D98"/>
    <mergeCell ref="A99:B99"/>
    <mergeCell ref="C99:D99"/>
    <mergeCell ref="A94:B94"/>
    <mergeCell ref="C94:D94"/>
    <mergeCell ref="A95:B95"/>
    <mergeCell ref="C95:D95"/>
    <mergeCell ref="A96:B96"/>
    <mergeCell ref="C96:D96"/>
    <mergeCell ref="A103:B103"/>
    <mergeCell ref="C103:D103"/>
    <mergeCell ref="A104:B104"/>
    <mergeCell ref="C104:D104"/>
    <mergeCell ref="A105:B105"/>
    <mergeCell ref="C105:D105"/>
    <mergeCell ref="A100:B100"/>
    <mergeCell ref="C100:D100"/>
    <mergeCell ref="A101:B101"/>
    <mergeCell ref="C101:D101"/>
    <mergeCell ref="A102:B102"/>
    <mergeCell ref="C102:D102"/>
    <mergeCell ref="A109:B109"/>
    <mergeCell ref="C109:D109"/>
    <mergeCell ref="A110:B110"/>
    <mergeCell ref="C110:D110"/>
    <mergeCell ref="A111:B111"/>
    <mergeCell ref="C111:D111"/>
    <mergeCell ref="A106:B106"/>
    <mergeCell ref="C106:D106"/>
    <mergeCell ref="A107:B107"/>
    <mergeCell ref="C107:D107"/>
    <mergeCell ref="A108:B108"/>
    <mergeCell ref="C108:D108"/>
    <mergeCell ref="A115:B115"/>
    <mergeCell ref="C115:D115"/>
    <mergeCell ref="A116:B116"/>
    <mergeCell ref="C116:D116"/>
    <mergeCell ref="A117:B117"/>
    <mergeCell ref="C117:D117"/>
    <mergeCell ref="A112:B112"/>
    <mergeCell ref="C112:D112"/>
    <mergeCell ref="A113:B113"/>
    <mergeCell ref="C113:D113"/>
    <mergeCell ref="A114:B114"/>
    <mergeCell ref="C114:D114"/>
    <mergeCell ref="A121:B121"/>
    <mergeCell ref="C121:D121"/>
    <mergeCell ref="A122:B122"/>
    <mergeCell ref="C122:D122"/>
    <mergeCell ref="A123:B123"/>
    <mergeCell ref="C123:D123"/>
    <mergeCell ref="A118:B118"/>
    <mergeCell ref="C118:D118"/>
    <mergeCell ref="A119:B119"/>
    <mergeCell ref="C119:D119"/>
    <mergeCell ref="A120:B120"/>
    <mergeCell ref="C120:D120"/>
    <mergeCell ref="A127:B127"/>
    <mergeCell ref="C127:D127"/>
    <mergeCell ref="A128:B128"/>
    <mergeCell ref="C128:D128"/>
    <mergeCell ref="A129:B129"/>
    <mergeCell ref="C129:D129"/>
    <mergeCell ref="A124:B124"/>
    <mergeCell ref="C124:D124"/>
    <mergeCell ref="A125:B125"/>
    <mergeCell ref="C125:D125"/>
    <mergeCell ref="A126:B126"/>
    <mergeCell ref="C126:D126"/>
    <mergeCell ref="A134:F134"/>
    <mergeCell ref="A136:B136"/>
    <mergeCell ref="C136:D136"/>
    <mergeCell ref="A137:B137"/>
    <mergeCell ref="C137:D137"/>
    <mergeCell ref="A139:F139"/>
    <mergeCell ref="A130:B130"/>
    <mergeCell ref="C130:D130"/>
    <mergeCell ref="A131:B131"/>
    <mergeCell ref="C131:D131"/>
    <mergeCell ref="A132:B132"/>
    <mergeCell ref="C132:D132"/>
    <mergeCell ref="A146:B146"/>
    <mergeCell ref="C146:D146"/>
    <mergeCell ref="E146:F146"/>
    <mergeCell ref="A147:B147"/>
    <mergeCell ref="C147:D147"/>
    <mergeCell ref="E147:F147"/>
    <mergeCell ref="A141:B141"/>
    <mergeCell ref="C141:D141"/>
    <mergeCell ref="E141:F141"/>
    <mergeCell ref="A143:F143"/>
    <mergeCell ref="A145:B145"/>
    <mergeCell ref="C145:D145"/>
    <mergeCell ref="E145:F145"/>
    <mergeCell ref="A150:B150"/>
    <mergeCell ref="C150:D150"/>
    <mergeCell ref="E150:F150"/>
    <mergeCell ref="A151:B151"/>
    <mergeCell ref="C151:D151"/>
    <mergeCell ref="E151:F151"/>
    <mergeCell ref="A148:B148"/>
    <mergeCell ref="C148:D148"/>
    <mergeCell ref="E148:F148"/>
    <mergeCell ref="A149:B149"/>
    <mergeCell ref="C149:D149"/>
    <mergeCell ref="E149:F149"/>
    <mergeCell ref="A154:B154"/>
    <mergeCell ref="C154:D154"/>
    <mergeCell ref="E154:F154"/>
    <mergeCell ref="A155:B155"/>
    <mergeCell ref="C155:D155"/>
    <mergeCell ref="E155:F155"/>
    <mergeCell ref="A152:B152"/>
    <mergeCell ref="C152:D152"/>
    <mergeCell ref="E152:F152"/>
    <mergeCell ref="A153:B153"/>
    <mergeCell ref="C153:D153"/>
    <mergeCell ref="E153:F153"/>
    <mergeCell ref="A158:B158"/>
    <mergeCell ref="C158:D158"/>
    <mergeCell ref="E158:F158"/>
    <mergeCell ref="A159:B159"/>
    <mergeCell ref="C159:D159"/>
    <mergeCell ref="E159:F159"/>
    <mergeCell ref="A156:B156"/>
    <mergeCell ref="C156:D156"/>
    <mergeCell ref="E156:F156"/>
    <mergeCell ref="A157:B157"/>
    <mergeCell ref="C157:D157"/>
    <mergeCell ref="E157:F157"/>
    <mergeCell ref="A162:B162"/>
    <mergeCell ref="C162:D162"/>
    <mergeCell ref="E162:F162"/>
    <mergeCell ref="A163:B163"/>
    <mergeCell ref="C163:D163"/>
    <mergeCell ref="E163:F163"/>
    <mergeCell ref="A160:B160"/>
    <mergeCell ref="C160:D160"/>
    <mergeCell ref="E160:F160"/>
    <mergeCell ref="A161:B161"/>
    <mergeCell ref="C161:D161"/>
    <mergeCell ref="E161:F161"/>
    <mergeCell ref="A166:B166"/>
    <mergeCell ref="C166:D166"/>
    <mergeCell ref="E166:F166"/>
    <mergeCell ref="A167:B167"/>
    <mergeCell ref="C167:D167"/>
    <mergeCell ref="E167:F167"/>
    <mergeCell ref="A164:B164"/>
    <mergeCell ref="C164:D164"/>
    <mergeCell ref="E164:F164"/>
    <mergeCell ref="A165:B165"/>
    <mergeCell ref="C165:D165"/>
    <mergeCell ref="E165:F165"/>
    <mergeCell ref="A170:B170"/>
    <mergeCell ref="C170:D170"/>
    <mergeCell ref="E170:F170"/>
    <mergeCell ref="A171:B171"/>
    <mergeCell ref="C171:D171"/>
    <mergeCell ref="E171:F171"/>
    <mergeCell ref="A168:B168"/>
    <mergeCell ref="C168:D168"/>
    <mergeCell ref="E168:F168"/>
    <mergeCell ref="A169:B169"/>
    <mergeCell ref="C169:D169"/>
    <mergeCell ref="E169:F169"/>
    <mergeCell ref="A174:B174"/>
    <mergeCell ref="C174:D174"/>
    <mergeCell ref="E174:F174"/>
    <mergeCell ref="A175:B175"/>
    <mergeCell ref="C175:D175"/>
    <mergeCell ref="E175:F175"/>
    <mergeCell ref="A172:B172"/>
    <mergeCell ref="C172:D172"/>
    <mergeCell ref="E172:F172"/>
    <mergeCell ref="A173:B173"/>
    <mergeCell ref="C173:D173"/>
    <mergeCell ref="E173:F173"/>
    <mergeCell ref="A178:B178"/>
    <mergeCell ref="C178:D178"/>
    <mergeCell ref="E178:F178"/>
    <mergeCell ref="A179:B179"/>
    <mergeCell ref="C179:D179"/>
    <mergeCell ref="E179:F179"/>
    <mergeCell ref="A176:B176"/>
    <mergeCell ref="C176:D176"/>
    <mergeCell ref="E176:F176"/>
    <mergeCell ref="A177:B177"/>
    <mergeCell ref="C177:D177"/>
    <mergeCell ref="E177:F177"/>
    <mergeCell ref="A182:B182"/>
    <mergeCell ref="C182:D182"/>
    <mergeCell ref="E182:F182"/>
    <mergeCell ref="A183:B183"/>
    <mergeCell ref="C183:D183"/>
    <mergeCell ref="E183:F183"/>
    <mergeCell ref="A180:B180"/>
    <mergeCell ref="C180:D180"/>
    <mergeCell ref="E180:F180"/>
    <mergeCell ref="A181:B181"/>
    <mergeCell ref="C181:D181"/>
    <mergeCell ref="E181:F181"/>
    <mergeCell ref="A186:B186"/>
    <mergeCell ref="C186:D186"/>
    <mergeCell ref="E186:F186"/>
    <mergeCell ref="A187:B187"/>
    <mergeCell ref="C187:D187"/>
    <mergeCell ref="E187:F187"/>
    <mergeCell ref="A184:B184"/>
    <mergeCell ref="C184:D184"/>
    <mergeCell ref="E184:F184"/>
    <mergeCell ref="A185:B185"/>
    <mergeCell ref="C185:D185"/>
    <mergeCell ref="E185:F185"/>
    <mergeCell ref="A190:B190"/>
    <mergeCell ref="C190:D190"/>
    <mergeCell ref="E190:F190"/>
    <mergeCell ref="A191:B191"/>
    <mergeCell ref="C191:D191"/>
    <mergeCell ref="E191:F191"/>
    <mergeCell ref="A188:B188"/>
    <mergeCell ref="C188:D188"/>
    <mergeCell ref="E188:F188"/>
    <mergeCell ref="A189:B189"/>
    <mergeCell ref="C189:D189"/>
    <mergeCell ref="E189:F189"/>
    <mergeCell ref="A194:B194"/>
    <mergeCell ref="C194:D194"/>
    <mergeCell ref="E194:F194"/>
    <mergeCell ref="A195:B195"/>
    <mergeCell ref="C195:D195"/>
    <mergeCell ref="E195:F195"/>
    <mergeCell ref="A192:B192"/>
    <mergeCell ref="C192:D192"/>
    <mergeCell ref="E192:F192"/>
    <mergeCell ref="A193:B193"/>
    <mergeCell ref="C193:D193"/>
    <mergeCell ref="E193:F193"/>
    <mergeCell ref="A198:B198"/>
    <mergeCell ref="C198:D198"/>
    <mergeCell ref="E198:F198"/>
    <mergeCell ref="A199:B199"/>
    <mergeCell ref="C199:D199"/>
    <mergeCell ref="E199:F199"/>
    <mergeCell ref="A196:B196"/>
    <mergeCell ref="C196:D196"/>
    <mergeCell ref="E196:F196"/>
    <mergeCell ref="A197:B197"/>
    <mergeCell ref="C197:D197"/>
    <mergeCell ref="E197:F197"/>
    <mergeCell ref="A202:B202"/>
    <mergeCell ref="C202:D202"/>
    <mergeCell ref="E202:F202"/>
    <mergeCell ref="A203:B203"/>
    <mergeCell ref="C203:D203"/>
    <mergeCell ref="E203:F203"/>
    <mergeCell ref="A200:B200"/>
    <mergeCell ref="C200:D200"/>
    <mergeCell ref="E200:F200"/>
    <mergeCell ref="A201:B201"/>
    <mergeCell ref="C201:D201"/>
    <mergeCell ref="E201:F201"/>
    <mergeCell ref="A206:B206"/>
    <mergeCell ref="C206:D206"/>
    <mergeCell ref="E206:F206"/>
    <mergeCell ref="A207:B207"/>
    <mergeCell ref="C207:D207"/>
    <mergeCell ref="E207:F207"/>
    <mergeCell ref="A204:B204"/>
    <mergeCell ref="C204:D204"/>
    <mergeCell ref="E204:F204"/>
    <mergeCell ref="A205:B205"/>
    <mergeCell ref="C205:D205"/>
    <mergeCell ref="E205:F205"/>
    <mergeCell ref="A210:B210"/>
    <mergeCell ref="C210:D210"/>
    <mergeCell ref="E210:F210"/>
    <mergeCell ref="A211:B211"/>
    <mergeCell ref="C211:D211"/>
    <mergeCell ref="E211:F211"/>
    <mergeCell ref="A208:B208"/>
    <mergeCell ref="C208:D208"/>
    <mergeCell ref="E208:F208"/>
    <mergeCell ref="A209:B209"/>
    <mergeCell ref="C209:D209"/>
    <mergeCell ref="E209:F209"/>
    <mergeCell ref="A214:B214"/>
    <mergeCell ref="C214:D214"/>
    <mergeCell ref="E214:F214"/>
    <mergeCell ref="A215:B215"/>
    <mergeCell ref="C215:D215"/>
    <mergeCell ref="E215:F215"/>
    <mergeCell ref="A212:B212"/>
    <mergeCell ref="C212:D212"/>
    <mergeCell ref="E212:F212"/>
    <mergeCell ref="A213:B213"/>
    <mergeCell ref="C213:D213"/>
    <mergeCell ref="E213:F213"/>
    <mergeCell ref="A218:B218"/>
    <mergeCell ref="C218:D218"/>
    <mergeCell ref="E218:F218"/>
    <mergeCell ref="A220:F220"/>
    <mergeCell ref="A216:B216"/>
    <mergeCell ref="C216:D216"/>
    <mergeCell ref="E216:F216"/>
    <mergeCell ref="A217:B217"/>
    <mergeCell ref="C217:D217"/>
    <mergeCell ref="E217:F217"/>
  </mergeCells>
  <printOptions horizontalCentered="1"/>
  <pageMargins left="0.59055118110236227" right="0.59055118110236227" top="0.98425196850393704" bottom="0.7480314960629921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19</vt:i4>
      </vt:variant>
    </vt:vector>
  </HeadingPairs>
  <TitlesOfParts>
    <vt:vector size="34" baseType="lpstr">
      <vt:lpstr>zał.1</vt:lpstr>
      <vt:lpstr>zał.2</vt:lpstr>
      <vt:lpstr>zał.3 </vt:lpstr>
      <vt:lpstr>zał.4</vt:lpstr>
      <vt:lpstr>zał.5</vt:lpstr>
      <vt:lpstr>zał.6</vt:lpstr>
      <vt:lpstr>zał.7</vt:lpstr>
      <vt:lpstr>zał.8</vt:lpstr>
      <vt:lpstr>zał.9</vt:lpstr>
      <vt:lpstr>zał.10</vt:lpstr>
      <vt:lpstr>zał.11A</vt:lpstr>
      <vt:lpstr>zał.11B</vt:lpstr>
      <vt:lpstr>zał.12</vt:lpstr>
      <vt:lpstr>zał.13</vt:lpstr>
      <vt:lpstr>zał.14</vt:lpstr>
      <vt:lpstr>zał.1!Obszar_wydruku</vt:lpstr>
      <vt:lpstr>zał.10!Obszar_wydruku</vt:lpstr>
      <vt:lpstr>zał.13!Obszar_wydruku</vt:lpstr>
      <vt:lpstr>zał.2!Obszar_wydruku</vt:lpstr>
      <vt:lpstr>zał.4!Obszar_wydruku</vt:lpstr>
      <vt:lpstr>zał.5!Obszar_wydruku</vt:lpstr>
      <vt:lpstr>zał.1!Tytuły_wydruku</vt:lpstr>
      <vt:lpstr>zał.10!Tytuły_wydruku</vt:lpstr>
      <vt:lpstr>zał.11A!Tytuły_wydruku</vt:lpstr>
      <vt:lpstr>zał.12!Tytuły_wydruku</vt:lpstr>
      <vt:lpstr>zał.13!Tytuły_wydruku</vt:lpstr>
      <vt:lpstr>zał.14!Tytuły_wydruku</vt:lpstr>
      <vt:lpstr>zał.2!Tytuły_wydruku</vt:lpstr>
      <vt:lpstr>'zał.3 '!Tytuły_wydruku</vt:lpstr>
      <vt:lpstr>zał.4!Tytuły_wydruku</vt:lpstr>
      <vt:lpstr>zał.6!Tytuły_wydruku</vt:lpstr>
      <vt:lpstr>zał.7!Tytuły_wydruku</vt:lpstr>
      <vt:lpstr>zał.8!Tytuły_wydruku</vt:lpstr>
      <vt:lpstr>zał.9!Tytuły_wydruku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b.bulak</dc:creator>
  <cp:lastModifiedBy>Krzysztof Ryszewski</cp:lastModifiedBy>
  <cp:lastPrinted>2021-11-11T09:42:53Z</cp:lastPrinted>
  <dcterms:created xsi:type="dcterms:W3CDTF">2010-11-02T12:16:55Z</dcterms:created>
  <dcterms:modified xsi:type="dcterms:W3CDTF">2021-12-08T08:34:56Z</dcterms:modified>
</cp:coreProperties>
</file>