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XXIV\"/>
    </mc:Choice>
  </mc:AlternateContent>
  <xr:revisionPtr revIDLastSave="0" documentId="8_{4766E061-2A0B-45CF-86D5-6199D55A2739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zał.1" sheetId="50" r:id="rId1"/>
    <sheet name="zał.2" sheetId="51" r:id="rId2"/>
    <sheet name="zał.3" sheetId="45" r:id="rId3"/>
    <sheet name="zał.4" sheetId="52" r:id="rId4"/>
    <sheet name="zał.5" sheetId="53" r:id="rId5"/>
    <sheet name="zał.6 " sheetId="54" r:id="rId6"/>
    <sheet name="zał.7" sheetId="55" r:id="rId7"/>
    <sheet name="zał.8 " sheetId="49" r:id="rId8"/>
    <sheet name="zał.9" sheetId="56" r:id="rId9"/>
    <sheet name="zał.10" sheetId="57" r:id="rId10"/>
    <sheet name="zał.11" sheetId="58" r:id="rId11"/>
  </sheets>
  <definedNames>
    <definedName name="_xlnm.Print_Area" localSheetId="0">zał.1!$A$1:$Q$163</definedName>
    <definedName name="_xlnm.Print_Area" localSheetId="10">zał.11!$A$1:$G$110</definedName>
    <definedName name="_xlnm.Print_Area" localSheetId="1">zał.2!$A$1:$G$61</definedName>
    <definedName name="_xlnm.Print_Area" localSheetId="3">zał.4!$A$1:$G$214</definedName>
    <definedName name="_xlnm.Print_Area" localSheetId="5">'zał.6 '!$A$1:$X$556</definedName>
    <definedName name="_xlnm.Print_Area" localSheetId="6">zał.7!$A$1:$W$126</definedName>
    <definedName name="_xlnm.Print_Area" localSheetId="8">zał.9!$A$1:$N$757</definedName>
    <definedName name="_xlnm.Print_Titles" localSheetId="0">zał.1!$7:$11</definedName>
    <definedName name="_xlnm.Print_Titles" localSheetId="9">zał.10!$6:$8</definedName>
    <definedName name="_xlnm.Print_Titles" localSheetId="10">zał.11!$6:$8</definedName>
    <definedName name="_xlnm.Print_Titles" localSheetId="1">zał.2!$7:$8</definedName>
    <definedName name="_xlnm.Print_Titles" localSheetId="2">zał.3!$7:$11</definedName>
    <definedName name="_xlnm.Print_Titles" localSheetId="3">zał.4!$7:$9</definedName>
    <definedName name="_xlnm.Print_Titles" localSheetId="5">'zał.6 '!$7:$13</definedName>
    <definedName name="_xlnm.Print_Titles" localSheetId="6">zał.7!$9:$15</definedName>
    <definedName name="_xlnm.Print_Titles" localSheetId="7">'zał.8 '!$7:$11</definedName>
    <definedName name="_xlnm.Print_Titles" localSheetId="8">zał.9!$6:$9</definedName>
  </definedNames>
  <calcPr calcId="191029"/>
</workbook>
</file>

<file path=xl/calcChain.xml><?xml version="1.0" encoding="utf-8"?>
<calcChain xmlns="http://schemas.openxmlformats.org/spreadsheetml/2006/main">
  <c r="G105" i="58" l="1"/>
  <c r="F105" i="58"/>
  <c r="G102" i="58"/>
  <c r="F102" i="58"/>
  <c r="G99" i="58"/>
  <c r="F99" i="58"/>
  <c r="G96" i="58"/>
  <c r="F96" i="58"/>
  <c r="G93" i="58"/>
  <c r="F93" i="58"/>
  <c r="G90" i="58"/>
  <c r="F90" i="58"/>
  <c r="G87" i="58"/>
  <c r="F87" i="58"/>
  <c r="G84" i="58"/>
  <c r="F84" i="58"/>
  <c r="G81" i="58"/>
  <c r="F81" i="58"/>
  <c r="G78" i="58"/>
  <c r="F78" i="58"/>
  <c r="G75" i="58"/>
  <c r="F75" i="58"/>
  <c r="G72" i="58"/>
  <c r="F72" i="58"/>
  <c r="G69" i="58"/>
  <c r="F69" i="58"/>
  <c r="G66" i="58"/>
  <c r="F66" i="58"/>
  <c r="G63" i="58"/>
  <c r="F63" i="58"/>
  <c r="G60" i="58"/>
  <c r="F60" i="58"/>
  <c r="G57" i="58"/>
  <c r="F57" i="58"/>
  <c r="G54" i="58"/>
  <c r="F54" i="58"/>
  <c r="G51" i="58"/>
  <c r="F51" i="58"/>
  <c r="G48" i="58"/>
  <c r="F48" i="58"/>
  <c r="G45" i="58"/>
  <c r="F45" i="58"/>
  <c r="G42" i="58"/>
  <c r="F42" i="58"/>
  <c r="G39" i="58"/>
  <c r="F39" i="58"/>
  <c r="G36" i="58"/>
  <c r="F36" i="58"/>
  <c r="G33" i="58"/>
  <c r="F33" i="58"/>
  <c r="G30" i="58"/>
  <c r="F30" i="58"/>
  <c r="G27" i="58"/>
  <c r="F27" i="58"/>
  <c r="G24" i="58"/>
  <c r="F24" i="58"/>
  <c r="G21" i="58"/>
  <c r="F21" i="58"/>
  <c r="G18" i="58"/>
  <c r="F18" i="58"/>
  <c r="G15" i="58"/>
  <c r="G11" i="58" s="1"/>
  <c r="F15" i="58"/>
  <c r="F11" i="58"/>
  <c r="G10" i="58"/>
  <c r="F10" i="58"/>
  <c r="G9" i="58"/>
  <c r="F9" i="58"/>
  <c r="G32" i="57"/>
  <c r="F32" i="57"/>
  <c r="G29" i="57"/>
  <c r="F29" i="57"/>
  <c r="G26" i="57"/>
  <c r="F26" i="57"/>
  <c r="G23" i="57"/>
  <c r="F23" i="57"/>
  <c r="G20" i="57"/>
  <c r="F20" i="57"/>
  <c r="G17" i="57"/>
  <c r="G11" i="57" s="1"/>
  <c r="F17" i="57"/>
  <c r="G14" i="57"/>
  <c r="F14" i="57"/>
  <c r="F11" i="57" s="1"/>
  <c r="G10" i="57"/>
  <c r="F10" i="57"/>
  <c r="G9" i="57"/>
  <c r="F9" i="57"/>
  <c r="N747" i="56"/>
  <c r="M747" i="56"/>
  <c r="L747" i="56"/>
  <c r="K747" i="56"/>
  <c r="J747" i="56"/>
  <c r="L746" i="56"/>
  <c r="I746" i="56"/>
  <c r="H746" i="56" s="1"/>
  <c r="L745" i="56"/>
  <c r="H745" i="56" s="1"/>
  <c r="I745" i="56"/>
  <c r="N744" i="56"/>
  <c r="M744" i="56"/>
  <c r="K744" i="56"/>
  <c r="J744" i="56"/>
  <c r="I744" i="56" s="1"/>
  <c r="L743" i="56"/>
  <c r="I743" i="56"/>
  <c r="H743" i="56" s="1"/>
  <c r="L742" i="56"/>
  <c r="I742" i="56"/>
  <c r="N741" i="56"/>
  <c r="M741" i="56"/>
  <c r="K741" i="56"/>
  <c r="J741" i="56"/>
  <c r="I741" i="56" s="1"/>
  <c r="L740" i="56"/>
  <c r="I740" i="56"/>
  <c r="H740" i="56" s="1"/>
  <c r="L739" i="56"/>
  <c r="I739" i="56"/>
  <c r="H739" i="56" s="1"/>
  <c r="N738" i="56"/>
  <c r="M738" i="56"/>
  <c r="K738" i="56"/>
  <c r="I738" i="56" s="1"/>
  <c r="J738" i="56"/>
  <c r="L737" i="56"/>
  <c r="H737" i="56" s="1"/>
  <c r="I737" i="56"/>
  <c r="L736" i="56"/>
  <c r="I736" i="56"/>
  <c r="N735" i="56"/>
  <c r="L735" i="56" s="1"/>
  <c r="M735" i="56"/>
  <c r="K735" i="56"/>
  <c r="J735" i="56"/>
  <c r="I735" i="56" s="1"/>
  <c r="L734" i="56"/>
  <c r="I734" i="56"/>
  <c r="L733" i="56"/>
  <c r="I733" i="56"/>
  <c r="N732" i="56"/>
  <c r="M732" i="56"/>
  <c r="L732" i="56" s="1"/>
  <c r="K732" i="56"/>
  <c r="J732" i="56"/>
  <c r="I732" i="56" s="1"/>
  <c r="L731" i="56"/>
  <c r="I731" i="56"/>
  <c r="H731" i="56"/>
  <c r="L730" i="56"/>
  <c r="I730" i="56"/>
  <c r="H730" i="56" s="1"/>
  <c r="N729" i="56"/>
  <c r="M729" i="56"/>
  <c r="K729" i="56"/>
  <c r="J729" i="56"/>
  <c r="L728" i="56"/>
  <c r="I728" i="56"/>
  <c r="H728" i="56" s="1"/>
  <c r="L727" i="56"/>
  <c r="I727" i="56"/>
  <c r="H727" i="56"/>
  <c r="N726" i="56"/>
  <c r="M726" i="56"/>
  <c r="K726" i="56"/>
  <c r="I726" i="56" s="1"/>
  <c r="J726" i="56"/>
  <c r="L725" i="56"/>
  <c r="H725" i="56" s="1"/>
  <c r="I725" i="56"/>
  <c r="L724" i="56"/>
  <c r="I724" i="56"/>
  <c r="H724" i="56" s="1"/>
  <c r="N723" i="56"/>
  <c r="M723" i="56"/>
  <c r="L723" i="56" s="1"/>
  <c r="K723" i="56"/>
  <c r="J723" i="56"/>
  <c r="I723" i="56" s="1"/>
  <c r="L722" i="56"/>
  <c r="I722" i="56"/>
  <c r="H722" i="56" s="1"/>
  <c r="L721" i="56"/>
  <c r="H721" i="56" s="1"/>
  <c r="I721" i="56"/>
  <c r="N720" i="56"/>
  <c r="M720" i="56"/>
  <c r="K720" i="56"/>
  <c r="J720" i="56"/>
  <c r="I720" i="56" s="1"/>
  <c r="L719" i="56"/>
  <c r="I719" i="56"/>
  <c r="H719" i="56" s="1"/>
  <c r="L718" i="56"/>
  <c r="I718" i="56"/>
  <c r="N717" i="56"/>
  <c r="M717" i="56"/>
  <c r="K717" i="56"/>
  <c r="J717" i="56"/>
  <c r="I717" i="56" s="1"/>
  <c r="L716" i="56"/>
  <c r="I716" i="56"/>
  <c r="L715" i="56"/>
  <c r="I715" i="56"/>
  <c r="H715" i="56" s="1"/>
  <c r="N714" i="56"/>
  <c r="M714" i="56"/>
  <c r="K714" i="56"/>
  <c r="J714" i="56"/>
  <c r="L713" i="56"/>
  <c r="H713" i="56" s="1"/>
  <c r="I713" i="56"/>
  <c r="L712" i="56"/>
  <c r="I712" i="56"/>
  <c r="N711" i="56"/>
  <c r="L711" i="56" s="1"/>
  <c r="M711" i="56"/>
  <c r="K711" i="56"/>
  <c r="J711" i="56"/>
  <c r="L710" i="56"/>
  <c r="I710" i="56"/>
  <c r="L709" i="56"/>
  <c r="I709" i="56"/>
  <c r="N708" i="56"/>
  <c r="M708" i="56"/>
  <c r="L708" i="56" s="1"/>
  <c r="K708" i="56"/>
  <c r="J708" i="56"/>
  <c r="I708" i="56" s="1"/>
  <c r="L707" i="56"/>
  <c r="I707" i="56"/>
  <c r="H707" i="56"/>
  <c r="L706" i="56"/>
  <c r="I706" i="56"/>
  <c r="H706" i="56" s="1"/>
  <c r="N705" i="56"/>
  <c r="L705" i="56" s="1"/>
  <c r="M705" i="56"/>
  <c r="K705" i="56"/>
  <c r="J705" i="56"/>
  <c r="L704" i="56"/>
  <c r="I704" i="56"/>
  <c r="H704" i="56" s="1"/>
  <c r="L703" i="56"/>
  <c r="I703" i="56"/>
  <c r="H703" i="56"/>
  <c r="N702" i="56"/>
  <c r="M702" i="56"/>
  <c r="K702" i="56"/>
  <c r="I702" i="56" s="1"/>
  <c r="J702" i="56"/>
  <c r="L701" i="56"/>
  <c r="H701" i="56" s="1"/>
  <c r="I701" i="56"/>
  <c r="L700" i="56"/>
  <c r="I700" i="56"/>
  <c r="H700" i="56" s="1"/>
  <c r="N699" i="56"/>
  <c r="M699" i="56"/>
  <c r="L699" i="56" s="1"/>
  <c r="H699" i="56" s="1"/>
  <c r="K699" i="56"/>
  <c r="J699" i="56"/>
  <c r="I699" i="56" s="1"/>
  <c r="L698" i="56"/>
  <c r="I698" i="56"/>
  <c r="H698" i="56" s="1"/>
  <c r="L697" i="56"/>
  <c r="H697" i="56" s="1"/>
  <c r="I697" i="56"/>
  <c r="N696" i="56"/>
  <c r="M696" i="56"/>
  <c r="K696" i="56"/>
  <c r="J696" i="56"/>
  <c r="I696" i="56" s="1"/>
  <c r="L695" i="56"/>
  <c r="I695" i="56"/>
  <c r="H695" i="56" s="1"/>
  <c r="L694" i="56"/>
  <c r="I694" i="56"/>
  <c r="N693" i="56"/>
  <c r="M693" i="56"/>
  <c r="K693" i="56"/>
  <c r="J693" i="56"/>
  <c r="I693" i="56" s="1"/>
  <c r="L692" i="56"/>
  <c r="I692" i="56"/>
  <c r="L691" i="56"/>
  <c r="I691" i="56"/>
  <c r="H691" i="56" s="1"/>
  <c r="N690" i="56"/>
  <c r="M690" i="56"/>
  <c r="K690" i="56"/>
  <c r="J690" i="56"/>
  <c r="I690" i="56" s="1"/>
  <c r="L689" i="56"/>
  <c r="I689" i="56"/>
  <c r="L688" i="56"/>
  <c r="I688" i="56"/>
  <c r="N687" i="56"/>
  <c r="L687" i="56" s="1"/>
  <c r="M687" i="56"/>
  <c r="K687" i="56"/>
  <c r="J687" i="56"/>
  <c r="L686" i="56"/>
  <c r="I686" i="56"/>
  <c r="L685" i="56"/>
  <c r="H685" i="56" s="1"/>
  <c r="I685" i="56"/>
  <c r="N684" i="56"/>
  <c r="M684" i="56"/>
  <c r="L684" i="56" s="1"/>
  <c r="K684" i="56"/>
  <c r="J684" i="56"/>
  <c r="I684" i="56" s="1"/>
  <c r="L683" i="56"/>
  <c r="I683" i="56"/>
  <c r="H683" i="56" s="1"/>
  <c r="L682" i="56"/>
  <c r="I682" i="56"/>
  <c r="H682" i="56" s="1"/>
  <c r="N681" i="56"/>
  <c r="L681" i="56" s="1"/>
  <c r="M681" i="56"/>
  <c r="K681" i="56"/>
  <c r="J681" i="56"/>
  <c r="L680" i="56"/>
  <c r="I680" i="56"/>
  <c r="L679" i="56"/>
  <c r="I679" i="56"/>
  <c r="H679" i="56" s="1"/>
  <c r="N678" i="56"/>
  <c r="M678" i="56"/>
  <c r="K678" i="56"/>
  <c r="J678" i="56"/>
  <c r="L677" i="56"/>
  <c r="I677" i="56"/>
  <c r="L676" i="56"/>
  <c r="I676" i="56"/>
  <c r="N675" i="56"/>
  <c r="M675" i="56"/>
  <c r="L675" i="56" s="1"/>
  <c r="K675" i="56"/>
  <c r="J675" i="56"/>
  <c r="L674" i="56"/>
  <c r="I674" i="56"/>
  <c r="H674" i="56" s="1"/>
  <c r="L673" i="56"/>
  <c r="H673" i="56" s="1"/>
  <c r="I673" i="56"/>
  <c r="N672" i="56"/>
  <c r="M672" i="56"/>
  <c r="K672" i="56"/>
  <c r="I672" i="56" s="1"/>
  <c r="J672" i="56"/>
  <c r="L671" i="56"/>
  <c r="I671" i="56"/>
  <c r="H671" i="56" s="1"/>
  <c r="L670" i="56"/>
  <c r="I670" i="56"/>
  <c r="N669" i="56"/>
  <c r="L669" i="56" s="1"/>
  <c r="M669" i="56"/>
  <c r="K669" i="56"/>
  <c r="J669" i="56"/>
  <c r="I669" i="56" s="1"/>
  <c r="L668" i="56"/>
  <c r="I668" i="56"/>
  <c r="L667" i="56"/>
  <c r="I667" i="56"/>
  <c r="H667" i="56"/>
  <c r="N666" i="56"/>
  <c r="M666" i="56"/>
  <c r="L666" i="56" s="1"/>
  <c r="K666" i="56"/>
  <c r="I666" i="56" s="1"/>
  <c r="H666" i="56" s="1"/>
  <c r="J666" i="56"/>
  <c r="L665" i="56"/>
  <c r="H665" i="56" s="1"/>
  <c r="I665" i="56"/>
  <c r="L664" i="56"/>
  <c r="I664" i="56"/>
  <c r="H664" i="56" s="1"/>
  <c r="N663" i="56"/>
  <c r="M663" i="56"/>
  <c r="L663" i="56"/>
  <c r="K663" i="56"/>
  <c r="J663" i="56"/>
  <c r="L662" i="56"/>
  <c r="I662" i="56"/>
  <c r="L661" i="56"/>
  <c r="H661" i="56" s="1"/>
  <c r="I661" i="56"/>
  <c r="N660" i="56"/>
  <c r="M660" i="56"/>
  <c r="L660" i="56" s="1"/>
  <c r="K660" i="56"/>
  <c r="J660" i="56"/>
  <c r="I660" i="56" s="1"/>
  <c r="L659" i="56"/>
  <c r="I659" i="56"/>
  <c r="H659" i="56" s="1"/>
  <c r="L658" i="56"/>
  <c r="I658" i="56"/>
  <c r="H658" i="56" s="1"/>
  <c r="N657" i="56"/>
  <c r="L657" i="56" s="1"/>
  <c r="M657" i="56"/>
  <c r="K657" i="56"/>
  <c r="J657" i="56"/>
  <c r="L656" i="56"/>
  <c r="I656" i="56"/>
  <c r="L655" i="56"/>
  <c r="I655" i="56"/>
  <c r="H655" i="56" s="1"/>
  <c r="N654" i="56"/>
  <c r="M654" i="56"/>
  <c r="K654" i="56"/>
  <c r="J654" i="56"/>
  <c r="L653" i="56"/>
  <c r="I653" i="56"/>
  <c r="L652" i="56"/>
  <c r="I652" i="56"/>
  <c r="N651" i="56"/>
  <c r="M651" i="56"/>
  <c r="L651" i="56" s="1"/>
  <c r="K651" i="56"/>
  <c r="J651" i="56"/>
  <c r="L650" i="56"/>
  <c r="I650" i="56"/>
  <c r="L649" i="56"/>
  <c r="H649" i="56" s="1"/>
  <c r="I649" i="56"/>
  <c r="N648" i="56"/>
  <c r="M648" i="56"/>
  <c r="L648" i="56" s="1"/>
  <c r="K648" i="56"/>
  <c r="J648" i="56"/>
  <c r="I648" i="56"/>
  <c r="H648" i="56" s="1"/>
  <c r="L647" i="56"/>
  <c r="I647" i="56"/>
  <c r="H647" i="56" s="1"/>
  <c r="L646" i="56"/>
  <c r="I646" i="56"/>
  <c r="H646" i="56" s="1"/>
  <c r="N645" i="56"/>
  <c r="M645" i="56"/>
  <c r="K645" i="56"/>
  <c r="J645" i="56"/>
  <c r="L644" i="56"/>
  <c r="I644" i="56"/>
  <c r="L643" i="56"/>
  <c r="I643" i="56"/>
  <c r="H643" i="56" s="1"/>
  <c r="N642" i="56"/>
  <c r="M642" i="56"/>
  <c r="L642" i="56" s="1"/>
  <c r="K642" i="56"/>
  <c r="I642" i="56" s="1"/>
  <c r="J642" i="56"/>
  <c r="L641" i="56"/>
  <c r="H641" i="56" s="1"/>
  <c r="I641" i="56"/>
  <c r="L640" i="56"/>
  <c r="I640" i="56"/>
  <c r="N639" i="56"/>
  <c r="M639" i="56"/>
  <c r="L639" i="56" s="1"/>
  <c r="K639" i="56"/>
  <c r="J639" i="56"/>
  <c r="L638" i="56"/>
  <c r="I638" i="56"/>
  <c r="H638" i="56" s="1"/>
  <c r="L637" i="56"/>
  <c r="I637" i="56"/>
  <c r="N636" i="56"/>
  <c r="M636" i="56"/>
  <c r="K636" i="56"/>
  <c r="J636" i="56"/>
  <c r="I636" i="56" s="1"/>
  <c r="L635" i="56"/>
  <c r="H635" i="56" s="1"/>
  <c r="I635" i="56"/>
  <c r="L634" i="56"/>
  <c r="I634" i="56"/>
  <c r="N633" i="56"/>
  <c r="L633" i="56" s="1"/>
  <c r="M633" i="56"/>
  <c r="K633" i="56"/>
  <c r="J633" i="56"/>
  <c r="I633" i="56" s="1"/>
  <c r="L632" i="56"/>
  <c r="I632" i="56"/>
  <c r="H632" i="56" s="1"/>
  <c r="L631" i="56"/>
  <c r="I631" i="56"/>
  <c r="H631" i="56" s="1"/>
  <c r="N630" i="56"/>
  <c r="M630" i="56"/>
  <c r="K630" i="56"/>
  <c r="I630" i="56" s="1"/>
  <c r="J630" i="56"/>
  <c r="L629" i="56"/>
  <c r="I629" i="56"/>
  <c r="L628" i="56"/>
  <c r="I628" i="56"/>
  <c r="N627" i="56"/>
  <c r="M627" i="56"/>
  <c r="L627" i="56"/>
  <c r="K627" i="56"/>
  <c r="J627" i="56"/>
  <c r="I627" i="56" s="1"/>
  <c r="L626" i="56"/>
  <c r="I626" i="56"/>
  <c r="L625" i="56"/>
  <c r="H625" i="56" s="1"/>
  <c r="I625" i="56"/>
  <c r="N624" i="56"/>
  <c r="M624" i="56"/>
  <c r="L624" i="56" s="1"/>
  <c r="K624" i="56"/>
  <c r="J624" i="56"/>
  <c r="I624" i="56"/>
  <c r="L623" i="56"/>
  <c r="I623" i="56"/>
  <c r="H623" i="56" s="1"/>
  <c r="L622" i="56"/>
  <c r="I622" i="56"/>
  <c r="H622" i="56" s="1"/>
  <c r="N621" i="56"/>
  <c r="M621" i="56"/>
  <c r="K621" i="56"/>
  <c r="J621" i="56"/>
  <c r="L620" i="56"/>
  <c r="I620" i="56"/>
  <c r="L619" i="56"/>
  <c r="I619" i="56"/>
  <c r="H619" i="56" s="1"/>
  <c r="N618" i="56"/>
  <c r="M618" i="56"/>
  <c r="L618" i="56" s="1"/>
  <c r="K618" i="56"/>
  <c r="I618" i="56" s="1"/>
  <c r="J618" i="56"/>
  <c r="L617" i="56"/>
  <c r="H617" i="56" s="1"/>
  <c r="I617" i="56"/>
  <c r="L616" i="56"/>
  <c r="I616" i="56"/>
  <c r="N615" i="56"/>
  <c r="M615" i="56"/>
  <c r="L615" i="56" s="1"/>
  <c r="K615" i="56"/>
  <c r="J615" i="56"/>
  <c r="L614" i="56"/>
  <c r="I614" i="56"/>
  <c r="H614" i="56" s="1"/>
  <c r="L613" i="56"/>
  <c r="I613" i="56"/>
  <c r="N612" i="56"/>
  <c r="M612" i="56"/>
  <c r="K612" i="56"/>
  <c r="J612" i="56"/>
  <c r="I612" i="56" s="1"/>
  <c r="L611" i="56"/>
  <c r="H611" i="56" s="1"/>
  <c r="I611" i="56"/>
  <c r="L610" i="56"/>
  <c r="I610" i="56"/>
  <c r="N609" i="56"/>
  <c r="L609" i="56" s="1"/>
  <c r="M609" i="56"/>
  <c r="K609" i="56"/>
  <c r="J609" i="56"/>
  <c r="I609" i="56" s="1"/>
  <c r="L608" i="56"/>
  <c r="I608" i="56"/>
  <c r="H608" i="56" s="1"/>
  <c r="L607" i="56"/>
  <c r="I607" i="56"/>
  <c r="N606" i="56"/>
  <c r="M606" i="56"/>
  <c r="K606" i="56"/>
  <c r="I606" i="56" s="1"/>
  <c r="J606" i="56"/>
  <c r="L605" i="56"/>
  <c r="I605" i="56"/>
  <c r="L604" i="56"/>
  <c r="I604" i="56"/>
  <c r="N603" i="56"/>
  <c r="M603" i="56"/>
  <c r="L603" i="56"/>
  <c r="H603" i="56" s="1"/>
  <c r="K603" i="56"/>
  <c r="J603" i="56"/>
  <c r="I603" i="56" s="1"/>
  <c r="L602" i="56"/>
  <c r="I602" i="56"/>
  <c r="L601" i="56"/>
  <c r="H601" i="56" s="1"/>
  <c r="I601" i="56"/>
  <c r="N600" i="56"/>
  <c r="M600" i="56"/>
  <c r="L600" i="56" s="1"/>
  <c r="K600" i="56"/>
  <c r="J600" i="56"/>
  <c r="I600" i="56"/>
  <c r="H600" i="56" s="1"/>
  <c r="L599" i="56"/>
  <c r="I599" i="56"/>
  <c r="H599" i="56" s="1"/>
  <c r="L598" i="56"/>
  <c r="I598" i="56"/>
  <c r="H598" i="56" s="1"/>
  <c r="N597" i="56"/>
  <c r="M597" i="56"/>
  <c r="K597" i="56"/>
  <c r="J597" i="56"/>
  <c r="L596" i="56"/>
  <c r="I596" i="56"/>
  <c r="L595" i="56"/>
  <c r="I595" i="56"/>
  <c r="H595" i="56" s="1"/>
  <c r="N594" i="56"/>
  <c r="M594" i="56"/>
  <c r="L594" i="56" s="1"/>
  <c r="K594" i="56"/>
  <c r="I594" i="56" s="1"/>
  <c r="J594" i="56"/>
  <c r="L593" i="56"/>
  <c r="H593" i="56" s="1"/>
  <c r="I593" i="56"/>
  <c r="L592" i="56"/>
  <c r="I592" i="56"/>
  <c r="N591" i="56"/>
  <c r="M591" i="56"/>
  <c r="L591" i="56" s="1"/>
  <c r="K591" i="56"/>
  <c r="J591" i="56"/>
  <c r="L590" i="56"/>
  <c r="I590" i="56"/>
  <c r="L589" i="56"/>
  <c r="I589" i="56"/>
  <c r="N588" i="56"/>
  <c r="M588" i="56"/>
  <c r="K588" i="56"/>
  <c r="J588" i="56"/>
  <c r="I588" i="56"/>
  <c r="L587" i="56"/>
  <c r="I587" i="56"/>
  <c r="H587" i="56"/>
  <c r="L586" i="56"/>
  <c r="I586" i="56"/>
  <c r="N585" i="56"/>
  <c r="L585" i="56" s="1"/>
  <c r="M585" i="56"/>
  <c r="K585" i="56"/>
  <c r="J585" i="56"/>
  <c r="L584" i="56"/>
  <c r="I584" i="56"/>
  <c r="H584" i="56" s="1"/>
  <c r="L583" i="56"/>
  <c r="I583" i="56"/>
  <c r="H583" i="56" s="1"/>
  <c r="N582" i="56"/>
  <c r="M582" i="56"/>
  <c r="L582" i="56" s="1"/>
  <c r="K582" i="56"/>
  <c r="J582" i="56"/>
  <c r="L581" i="56"/>
  <c r="H581" i="56" s="1"/>
  <c r="I581" i="56"/>
  <c r="L580" i="56"/>
  <c r="I580" i="56"/>
  <c r="N579" i="56"/>
  <c r="M579" i="56"/>
  <c r="L579" i="56" s="1"/>
  <c r="K579" i="56"/>
  <c r="J579" i="56"/>
  <c r="I579" i="56" s="1"/>
  <c r="L578" i="56"/>
  <c r="I578" i="56"/>
  <c r="L577" i="56"/>
  <c r="H577" i="56" s="1"/>
  <c r="I577" i="56"/>
  <c r="N576" i="56"/>
  <c r="M576" i="56"/>
  <c r="K576" i="56"/>
  <c r="J576" i="56"/>
  <c r="I576" i="56" s="1"/>
  <c r="L575" i="56"/>
  <c r="I575" i="56"/>
  <c r="H575" i="56" s="1"/>
  <c r="L574" i="56"/>
  <c r="I574" i="56"/>
  <c r="N573" i="56"/>
  <c r="M573" i="56"/>
  <c r="K573" i="56"/>
  <c r="J573" i="56"/>
  <c r="L572" i="56"/>
  <c r="I572" i="56"/>
  <c r="L571" i="56"/>
  <c r="H571" i="56" s="1"/>
  <c r="I571" i="56"/>
  <c r="N570" i="56"/>
  <c r="M570" i="56"/>
  <c r="K570" i="56"/>
  <c r="I570" i="56" s="1"/>
  <c r="J570" i="56"/>
  <c r="L569" i="56"/>
  <c r="I569" i="56"/>
  <c r="L568" i="56"/>
  <c r="I568" i="56"/>
  <c r="H568" i="56" s="1"/>
  <c r="N567" i="56"/>
  <c r="M567" i="56"/>
  <c r="L567" i="56" s="1"/>
  <c r="K567" i="56"/>
  <c r="J567" i="56"/>
  <c r="L566" i="56"/>
  <c r="I566" i="56"/>
  <c r="L565" i="56"/>
  <c r="I565" i="56"/>
  <c r="N564" i="56"/>
  <c r="M564" i="56"/>
  <c r="K564" i="56"/>
  <c r="J564" i="56"/>
  <c r="I564" i="56"/>
  <c r="L563" i="56"/>
  <c r="I563" i="56"/>
  <c r="L562" i="56"/>
  <c r="I562" i="56"/>
  <c r="N561" i="56"/>
  <c r="M561" i="56"/>
  <c r="L561" i="56" s="1"/>
  <c r="K561" i="56"/>
  <c r="J561" i="56"/>
  <c r="L560" i="56"/>
  <c r="I560" i="56"/>
  <c r="H560" i="56" s="1"/>
  <c r="L559" i="56"/>
  <c r="I559" i="56"/>
  <c r="H559" i="56" s="1"/>
  <c r="N558" i="56"/>
  <c r="M558" i="56"/>
  <c r="K558" i="56"/>
  <c r="J558" i="56"/>
  <c r="I558" i="56" s="1"/>
  <c r="L557" i="56"/>
  <c r="I557" i="56"/>
  <c r="L556" i="56"/>
  <c r="I556" i="56"/>
  <c r="H556" i="56" s="1"/>
  <c r="N555" i="56"/>
  <c r="L555" i="56" s="1"/>
  <c r="M555" i="56"/>
  <c r="K555" i="56"/>
  <c r="I555" i="56" s="1"/>
  <c r="J555" i="56"/>
  <c r="L554" i="56"/>
  <c r="H554" i="56" s="1"/>
  <c r="I554" i="56"/>
  <c r="L553" i="56"/>
  <c r="I553" i="56"/>
  <c r="N552" i="56"/>
  <c r="M552" i="56"/>
  <c r="L552" i="56" s="1"/>
  <c r="K552" i="56"/>
  <c r="J552" i="56"/>
  <c r="I552" i="56" s="1"/>
  <c r="L551" i="56"/>
  <c r="I551" i="56"/>
  <c r="H551" i="56"/>
  <c r="L550" i="56"/>
  <c r="I550" i="56"/>
  <c r="N549" i="56"/>
  <c r="M549" i="56"/>
  <c r="K549" i="56"/>
  <c r="J549" i="56"/>
  <c r="I549" i="56" s="1"/>
  <c r="L548" i="56"/>
  <c r="I548" i="56"/>
  <c r="L547" i="56"/>
  <c r="I547" i="56"/>
  <c r="H547" i="56" s="1"/>
  <c r="N546" i="56"/>
  <c r="L546" i="56" s="1"/>
  <c r="M546" i="56"/>
  <c r="K546" i="56"/>
  <c r="J546" i="56"/>
  <c r="I546" i="56" s="1"/>
  <c r="L545" i="56"/>
  <c r="I545" i="56"/>
  <c r="H545" i="56" s="1"/>
  <c r="L544" i="56"/>
  <c r="I544" i="56"/>
  <c r="N543" i="56"/>
  <c r="M543" i="56"/>
  <c r="L543" i="56" s="1"/>
  <c r="H543" i="56" s="1"/>
  <c r="K543" i="56"/>
  <c r="I543" i="56" s="1"/>
  <c r="J543" i="56"/>
  <c r="L542" i="56"/>
  <c r="I542" i="56"/>
  <c r="L541" i="56"/>
  <c r="I541" i="56"/>
  <c r="N540" i="56"/>
  <c r="M540" i="56"/>
  <c r="L540" i="56"/>
  <c r="K540" i="56"/>
  <c r="J540" i="56"/>
  <c r="I540" i="56"/>
  <c r="H540" i="56" s="1"/>
  <c r="L539" i="56"/>
  <c r="I539" i="56"/>
  <c r="H539" i="56" s="1"/>
  <c r="L538" i="56"/>
  <c r="H538" i="56" s="1"/>
  <c r="I538" i="56"/>
  <c r="N537" i="56"/>
  <c r="M537" i="56"/>
  <c r="K537" i="56"/>
  <c r="J537" i="56"/>
  <c r="I537" i="56" s="1"/>
  <c r="L536" i="56"/>
  <c r="I536" i="56"/>
  <c r="H536" i="56" s="1"/>
  <c r="L535" i="56"/>
  <c r="I535" i="56"/>
  <c r="H535" i="56" s="1"/>
  <c r="N534" i="56"/>
  <c r="L534" i="56" s="1"/>
  <c r="M534" i="56"/>
  <c r="K534" i="56"/>
  <c r="J534" i="56"/>
  <c r="I534" i="56" s="1"/>
  <c r="L533" i="56"/>
  <c r="I533" i="56"/>
  <c r="H533" i="56" s="1"/>
  <c r="L532" i="56"/>
  <c r="I532" i="56"/>
  <c r="N531" i="56"/>
  <c r="M531" i="56"/>
  <c r="L531" i="56"/>
  <c r="K531" i="56"/>
  <c r="J531" i="56"/>
  <c r="L530" i="56"/>
  <c r="H530" i="56" s="1"/>
  <c r="I530" i="56"/>
  <c r="L529" i="56"/>
  <c r="I529" i="56"/>
  <c r="N528" i="56"/>
  <c r="M528" i="56"/>
  <c r="L528" i="56" s="1"/>
  <c r="K528" i="56"/>
  <c r="J528" i="56"/>
  <c r="I528" i="56" s="1"/>
  <c r="H528" i="56" s="1"/>
  <c r="L527" i="56"/>
  <c r="I527" i="56"/>
  <c r="H527" i="56"/>
  <c r="L526" i="56"/>
  <c r="I526" i="56"/>
  <c r="N525" i="56"/>
  <c r="M525" i="56"/>
  <c r="K525" i="56"/>
  <c r="J525" i="56"/>
  <c r="I525" i="56" s="1"/>
  <c r="L524" i="56"/>
  <c r="I524" i="56"/>
  <c r="L523" i="56"/>
  <c r="I523" i="56"/>
  <c r="H523" i="56" s="1"/>
  <c r="N522" i="56"/>
  <c r="L522" i="56" s="1"/>
  <c r="M522" i="56"/>
  <c r="K522" i="56"/>
  <c r="J522" i="56"/>
  <c r="L521" i="56"/>
  <c r="I521" i="56"/>
  <c r="H521" i="56" s="1"/>
  <c r="L520" i="56"/>
  <c r="I520" i="56"/>
  <c r="N519" i="56"/>
  <c r="M519" i="56"/>
  <c r="L519" i="56" s="1"/>
  <c r="H519" i="56" s="1"/>
  <c r="K519" i="56"/>
  <c r="I519" i="56" s="1"/>
  <c r="J519" i="56"/>
  <c r="L518" i="56"/>
  <c r="I518" i="56"/>
  <c r="L517" i="56"/>
  <c r="I517" i="56"/>
  <c r="N516" i="56"/>
  <c r="M516" i="56"/>
  <c r="L516" i="56"/>
  <c r="K516" i="56"/>
  <c r="J516" i="56"/>
  <c r="I516" i="56"/>
  <c r="H516" i="56" s="1"/>
  <c r="L515" i="56"/>
  <c r="I515" i="56"/>
  <c r="H515" i="56" s="1"/>
  <c r="L514" i="56"/>
  <c r="H514" i="56" s="1"/>
  <c r="I514" i="56"/>
  <c r="N513" i="56"/>
  <c r="M513" i="56"/>
  <c r="K513" i="56"/>
  <c r="J513" i="56"/>
  <c r="I513" i="56" s="1"/>
  <c r="L512" i="56"/>
  <c r="I512" i="56"/>
  <c r="H512" i="56" s="1"/>
  <c r="L511" i="56"/>
  <c r="I511" i="56"/>
  <c r="H511" i="56" s="1"/>
  <c r="N510" i="56"/>
  <c r="L510" i="56" s="1"/>
  <c r="M510" i="56"/>
  <c r="K510" i="56"/>
  <c r="J510" i="56"/>
  <c r="I510" i="56" s="1"/>
  <c r="L509" i="56"/>
  <c r="I509" i="56"/>
  <c r="H509" i="56" s="1"/>
  <c r="L508" i="56"/>
  <c r="I508" i="56"/>
  <c r="H508" i="56" s="1"/>
  <c r="N507" i="56"/>
  <c r="M507" i="56"/>
  <c r="L507" i="56"/>
  <c r="K507" i="56"/>
  <c r="J507" i="56"/>
  <c r="L506" i="56"/>
  <c r="H506" i="56" s="1"/>
  <c r="I506" i="56"/>
  <c r="L505" i="56"/>
  <c r="I505" i="56"/>
  <c r="N504" i="56"/>
  <c r="M504" i="56"/>
  <c r="L504" i="56" s="1"/>
  <c r="H504" i="56" s="1"/>
  <c r="K504" i="56"/>
  <c r="J504" i="56"/>
  <c r="I504" i="56" s="1"/>
  <c r="L503" i="56"/>
  <c r="I503" i="56"/>
  <c r="H503" i="56" s="1"/>
  <c r="L502" i="56"/>
  <c r="H502" i="56" s="1"/>
  <c r="I502" i="56"/>
  <c r="N501" i="56"/>
  <c r="M501" i="56"/>
  <c r="L501" i="56" s="1"/>
  <c r="K501" i="56"/>
  <c r="J501" i="56"/>
  <c r="I501" i="56" s="1"/>
  <c r="L500" i="56"/>
  <c r="I500" i="56"/>
  <c r="H500" i="56" s="1"/>
  <c r="L499" i="56"/>
  <c r="I499" i="56"/>
  <c r="H499" i="56"/>
  <c r="N498" i="56"/>
  <c r="L498" i="56" s="1"/>
  <c r="M498" i="56"/>
  <c r="K498" i="56"/>
  <c r="J498" i="56"/>
  <c r="L497" i="56"/>
  <c r="I497" i="56"/>
  <c r="L496" i="56"/>
  <c r="I496" i="56"/>
  <c r="H496" i="56" s="1"/>
  <c r="N495" i="56"/>
  <c r="M495" i="56"/>
  <c r="L495" i="56" s="1"/>
  <c r="K495" i="56"/>
  <c r="J495" i="56"/>
  <c r="L494" i="56"/>
  <c r="I494" i="56"/>
  <c r="L493" i="56"/>
  <c r="I493" i="56"/>
  <c r="N492" i="56"/>
  <c r="M492" i="56"/>
  <c r="L492" i="56"/>
  <c r="K492" i="56"/>
  <c r="J492" i="56"/>
  <c r="I492" i="56"/>
  <c r="H492" i="56" s="1"/>
  <c r="L491" i="56"/>
  <c r="I491" i="56"/>
  <c r="H491" i="56" s="1"/>
  <c r="L490" i="56"/>
  <c r="H490" i="56" s="1"/>
  <c r="I490" i="56"/>
  <c r="N489" i="56"/>
  <c r="M489" i="56"/>
  <c r="K489" i="56"/>
  <c r="J489" i="56"/>
  <c r="L488" i="56"/>
  <c r="I488" i="56"/>
  <c r="H488" i="56"/>
  <c r="L487" i="56"/>
  <c r="I487" i="56"/>
  <c r="H487" i="56"/>
  <c r="N486" i="56"/>
  <c r="L486" i="56" s="1"/>
  <c r="M486" i="56"/>
  <c r="K486" i="56"/>
  <c r="J486" i="56"/>
  <c r="L485" i="56"/>
  <c r="I485" i="56"/>
  <c r="L484" i="56"/>
  <c r="I484" i="56"/>
  <c r="H484" i="56" s="1"/>
  <c r="N483" i="56"/>
  <c r="M483" i="56"/>
  <c r="L483" i="56" s="1"/>
  <c r="K483" i="56"/>
  <c r="I483" i="56" s="1"/>
  <c r="J483" i="56"/>
  <c r="L482" i="56"/>
  <c r="I482" i="56"/>
  <c r="L481" i="56"/>
  <c r="I481" i="56"/>
  <c r="N480" i="56"/>
  <c r="M480" i="56"/>
  <c r="L480" i="56"/>
  <c r="K480" i="56"/>
  <c r="J480" i="56"/>
  <c r="I480" i="56"/>
  <c r="H480" i="56" s="1"/>
  <c r="L479" i="56"/>
  <c r="I479" i="56"/>
  <c r="H479" i="56" s="1"/>
  <c r="L478" i="56"/>
  <c r="H478" i="56" s="1"/>
  <c r="I478" i="56"/>
  <c r="N477" i="56"/>
  <c r="M477" i="56"/>
  <c r="L477" i="56" s="1"/>
  <c r="K477" i="56"/>
  <c r="J477" i="56"/>
  <c r="I477" i="56" s="1"/>
  <c r="L476" i="56"/>
  <c r="I476" i="56"/>
  <c r="H476" i="56" s="1"/>
  <c r="L475" i="56"/>
  <c r="I475" i="56"/>
  <c r="H475" i="56"/>
  <c r="N474" i="56"/>
  <c r="L474" i="56" s="1"/>
  <c r="M474" i="56"/>
  <c r="K474" i="56"/>
  <c r="J474" i="56"/>
  <c r="L473" i="56"/>
  <c r="I473" i="56"/>
  <c r="L472" i="56"/>
  <c r="I472" i="56"/>
  <c r="H472" i="56" s="1"/>
  <c r="N471" i="56"/>
  <c r="M471" i="56"/>
  <c r="L471" i="56" s="1"/>
  <c r="K471" i="56"/>
  <c r="J471" i="56"/>
  <c r="L470" i="56"/>
  <c r="H470" i="56" s="1"/>
  <c r="I470" i="56"/>
  <c r="L469" i="56"/>
  <c r="I469" i="56"/>
  <c r="N468" i="56"/>
  <c r="M468" i="56"/>
  <c r="L468" i="56" s="1"/>
  <c r="K468" i="56"/>
  <c r="J468" i="56"/>
  <c r="I468" i="56" s="1"/>
  <c r="H468" i="56" s="1"/>
  <c r="L467" i="56"/>
  <c r="I467" i="56"/>
  <c r="H467" i="56" s="1"/>
  <c r="L466" i="56"/>
  <c r="I466" i="56"/>
  <c r="N465" i="56"/>
  <c r="M465" i="56"/>
  <c r="K465" i="56"/>
  <c r="J465" i="56"/>
  <c r="L464" i="56"/>
  <c r="I464" i="56"/>
  <c r="H464" i="56"/>
  <c r="L463" i="56"/>
  <c r="I463" i="56"/>
  <c r="H463" i="56"/>
  <c r="N462" i="56"/>
  <c r="L462" i="56" s="1"/>
  <c r="M462" i="56"/>
  <c r="K462" i="56"/>
  <c r="J462" i="56"/>
  <c r="L461" i="56"/>
  <c r="I461" i="56"/>
  <c r="L460" i="56"/>
  <c r="I460" i="56"/>
  <c r="H460" i="56" s="1"/>
  <c r="N459" i="56"/>
  <c r="M459" i="56"/>
  <c r="L459" i="56" s="1"/>
  <c r="K459" i="56"/>
  <c r="I459" i="56" s="1"/>
  <c r="J459" i="56"/>
  <c r="L458" i="56"/>
  <c r="I458" i="56"/>
  <c r="L457" i="56"/>
  <c r="I457" i="56"/>
  <c r="N456" i="56"/>
  <c r="M456" i="56"/>
  <c r="K456" i="56"/>
  <c r="J456" i="56"/>
  <c r="I456" i="56" s="1"/>
  <c r="L455" i="56"/>
  <c r="I455" i="56"/>
  <c r="H455" i="56" s="1"/>
  <c r="L454" i="56"/>
  <c r="I454" i="56"/>
  <c r="N453" i="56"/>
  <c r="M453" i="56"/>
  <c r="K453" i="56"/>
  <c r="J453" i="56"/>
  <c r="I453" i="56" s="1"/>
  <c r="L452" i="56"/>
  <c r="I452" i="56"/>
  <c r="L451" i="56"/>
  <c r="I451" i="56"/>
  <c r="H451" i="56" s="1"/>
  <c r="N450" i="56"/>
  <c r="M450" i="56"/>
  <c r="L450" i="56" s="1"/>
  <c r="K450" i="56"/>
  <c r="J450" i="56"/>
  <c r="L449" i="56"/>
  <c r="I449" i="56"/>
  <c r="L448" i="56"/>
  <c r="I448" i="56"/>
  <c r="N447" i="56"/>
  <c r="M447" i="56"/>
  <c r="L447" i="56" s="1"/>
  <c r="K447" i="56"/>
  <c r="J447" i="56"/>
  <c r="L446" i="56"/>
  <c r="I446" i="56"/>
  <c r="L445" i="56"/>
  <c r="I445" i="56"/>
  <c r="N444" i="56"/>
  <c r="M444" i="56"/>
  <c r="K444" i="56"/>
  <c r="J444" i="56"/>
  <c r="I444" i="56"/>
  <c r="L443" i="56"/>
  <c r="I443" i="56"/>
  <c r="H443" i="56" s="1"/>
  <c r="L442" i="56"/>
  <c r="I442" i="56"/>
  <c r="N441" i="56"/>
  <c r="M441" i="56"/>
  <c r="K441" i="56"/>
  <c r="J441" i="56"/>
  <c r="I441" i="56"/>
  <c r="L440" i="56"/>
  <c r="I440" i="56"/>
  <c r="H440" i="56" s="1"/>
  <c r="L439" i="56"/>
  <c r="I439" i="56"/>
  <c r="H439" i="56" s="1"/>
  <c r="N438" i="56"/>
  <c r="M438" i="56"/>
  <c r="K438" i="56"/>
  <c r="J438" i="56"/>
  <c r="L437" i="56"/>
  <c r="I437" i="56"/>
  <c r="L436" i="56"/>
  <c r="H436" i="56" s="1"/>
  <c r="I436" i="56"/>
  <c r="N435" i="56"/>
  <c r="M435" i="56"/>
  <c r="L435" i="56" s="1"/>
  <c r="K435" i="56"/>
  <c r="J435" i="56"/>
  <c r="L434" i="56"/>
  <c r="I434" i="56"/>
  <c r="L433" i="56"/>
  <c r="I433" i="56"/>
  <c r="N432" i="56"/>
  <c r="M432" i="56"/>
  <c r="L432" i="56" s="1"/>
  <c r="K432" i="56"/>
  <c r="J432" i="56"/>
  <c r="I432" i="56" s="1"/>
  <c r="H432" i="56" s="1"/>
  <c r="L431" i="56"/>
  <c r="I431" i="56"/>
  <c r="L430" i="56"/>
  <c r="I430" i="56"/>
  <c r="N429" i="56"/>
  <c r="M429" i="56"/>
  <c r="K429" i="56"/>
  <c r="J429" i="56"/>
  <c r="I429" i="56" s="1"/>
  <c r="L428" i="56"/>
  <c r="I428" i="56"/>
  <c r="L427" i="56"/>
  <c r="I427" i="56"/>
  <c r="H427" i="56" s="1"/>
  <c r="N426" i="56"/>
  <c r="M426" i="56"/>
  <c r="L426" i="56" s="1"/>
  <c r="K426" i="56"/>
  <c r="J426" i="56"/>
  <c r="L425" i="56"/>
  <c r="I425" i="56"/>
  <c r="L424" i="56"/>
  <c r="I424" i="56"/>
  <c r="N423" i="56"/>
  <c r="M423" i="56"/>
  <c r="L423" i="56" s="1"/>
  <c r="K423" i="56"/>
  <c r="J423" i="56"/>
  <c r="L422" i="56"/>
  <c r="I422" i="56"/>
  <c r="L421" i="56"/>
  <c r="I421" i="56"/>
  <c r="H421" i="56" s="1"/>
  <c r="N420" i="56"/>
  <c r="M420" i="56"/>
  <c r="L420" i="56" s="1"/>
  <c r="K420" i="56"/>
  <c r="J420" i="56"/>
  <c r="I420" i="56"/>
  <c r="H420" i="56" s="1"/>
  <c r="L419" i="56"/>
  <c r="I419" i="56"/>
  <c r="H419" i="56" s="1"/>
  <c r="L418" i="56"/>
  <c r="H418" i="56" s="1"/>
  <c r="I418" i="56"/>
  <c r="N417" i="56"/>
  <c r="M417" i="56"/>
  <c r="K417" i="56"/>
  <c r="J417" i="56"/>
  <c r="I417" i="56"/>
  <c r="L416" i="56"/>
  <c r="I416" i="56"/>
  <c r="L415" i="56"/>
  <c r="I415" i="56"/>
  <c r="H415" i="56" s="1"/>
  <c r="L414" i="56"/>
  <c r="I414" i="56"/>
  <c r="L413" i="56"/>
  <c r="I413" i="56"/>
  <c r="L412" i="56"/>
  <c r="I412" i="56"/>
  <c r="H412" i="56" s="1"/>
  <c r="N409" i="56"/>
  <c r="M409" i="56"/>
  <c r="K409" i="56"/>
  <c r="J409" i="56"/>
  <c r="I409" i="56" s="1"/>
  <c r="N408" i="56"/>
  <c r="M408" i="56"/>
  <c r="K408" i="56"/>
  <c r="J408" i="56"/>
  <c r="I408" i="56" s="1"/>
  <c r="N406" i="56"/>
  <c r="N402" i="56" s="1"/>
  <c r="M406" i="56"/>
  <c r="K406" i="56"/>
  <c r="J406" i="56"/>
  <c r="J402" i="56" s="1"/>
  <c r="I402" i="56" s="1"/>
  <c r="L405" i="56"/>
  <c r="H405" i="56" s="1"/>
  <c r="I405" i="56"/>
  <c r="L404" i="56"/>
  <c r="H404" i="56" s="1"/>
  <c r="I404" i="56"/>
  <c r="M402" i="56"/>
  <c r="K402" i="56"/>
  <c r="N401" i="56"/>
  <c r="M401" i="56"/>
  <c r="L401" i="56" s="1"/>
  <c r="K401" i="56"/>
  <c r="J401" i="56"/>
  <c r="I401" i="56" s="1"/>
  <c r="N400" i="56"/>
  <c r="M400" i="56"/>
  <c r="L400" i="56" s="1"/>
  <c r="K400" i="56"/>
  <c r="J400" i="56"/>
  <c r="N398" i="56"/>
  <c r="M398" i="56"/>
  <c r="K398" i="56"/>
  <c r="J398" i="56"/>
  <c r="I398" i="56" s="1"/>
  <c r="L397" i="56"/>
  <c r="I397" i="56"/>
  <c r="L396" i="56"/>
  <c r="I396" i="56"/>
  <c r="H396" i="56"/>
  <c r="N395" i="56"/>
  <c r="M395" i="56"/>
  <c r="L395" i="56"/>
  <c r="K395" i="56"/>
  <c r="K391" i="56" s="1"/>
  <c r="J395" i="56"/>
  <c r="L394" i="56"/>
  <c r="I394" i="56"/>
  <c r="H394" i="56" s="1"/>
  <c r="L393" i="56"/>
  <c r="I393" i="56"/>
  <c r="H393" i="56" s="1"/>
  <c r="M391" i="56"/>
  <c r="N390" i="56"/>
  <c r="M390" i="56"/>
  <c r="K390" i="56"/>
  <c r="J390" i="56"/>
  <c r="N389" i="56"/>
  <c r="M389" i="56"/>
  <c r="L389" i="56" s="1"/>
  <c r="K389" i="56"/>
  <c r="J389" i="56"/>
  <c r="N387" i="56"/>
  <c r="M387" i="56"/>
  <c r="K387" i="56"/>
  <c r="J387" i="56"/>
  <c r="I387" i="56" s="1"/>
  <c r="L386" i="56"/>
  <c r="I386" i="56"/>
  <c r="H386" i="56" s="1"/>
  <c r="L385" i="56"/>
  <c r="H385" i="56" s="1"/>
  <c r="I385" i="56"/>
  <c r="N384" i="56"/>
  <c r="M384" i="56"/>
  <c r="K384" i="56"/>
  <c r="J384" i="56"/>
  <c r="L383" i="56"/>
  <c r="I383" i="56"/>
  <c r="L382" i="56"/>
  <c r="I382" i="56"/>
  <c r="H382" i="56"/>
  <c r="N381" i="56"/>
  <c r="M381" i="56"/>
  <c r="L381" i="56"/>
  <c r="K381" i="56"/>
  <c r="J381" i="56"/>
  <c r="L380" i="56"/>
  <c r="I380" i="56"/>
  <c r="H380" i="56" s="1"/>
  <c r="L379" i="56"/>
  <c r="I379" i="56"/>
  <c r="H379" i="56" s="1"/>
  <c r="N378" i="56"/>
  <c r="M378" i="56"/>
  <c r="L378" i="56" s="1"/>
  <c r="K378" i="56"/>
  <c r="J378" i="56"/>
  <c r="I378" i="56"/>
  <c r="H378" i="56" s="1"/>
  <c r="L377" i="56"/>
  <c r="I377" i="56"/>
  <c r="H377" i="56"/>
  <c r="L376" i="56"/>
  <c r="I376" i="56"/>
  <c r="N375" i="56"/>
  <c r="M375" i="56"/>
  <c r="L375" i="56" s="1"/>
  <c r="K375" i="56"/>
  <c r="L374" i="56"/>
  <c r="I374" i="56"/>
  <c r="L373" i="56"/>
  <c r="J373" i="56"/>
  <c r="J375" i="56" s="1"/>
  <c r="I375" i="56" s="1"/>
  <c r="H375" i="56" s="1"/>
  <c r="I373" i="56"/>
  <c r="H373" i="56" s="1"/>
  <c r="N372" i="56"/>
  <c r="M372" i="56"/>
  <c r="L372" i="56" s="1"/>
  <c r="K372" i="56"/>
  <c r="J372" i="56"/>
  <c r="L371" i="56"/>
  <c r="I371" i="56"/>
  <c r="H371" i="56" s="1"/>
  <c r="L370" i="56"/>
  <c r="I370" i="56"/>
  <c r="H370" i="56" s="1"/>
  <c r="N369" i="56"/>
  <c r="M369" i="56"/>
  <c r="K369" i="56"/>
  <c r="I369" i="56" s="1"/>
  <c r="J369" i="56"/>
  <c r="L368" i="56"/>
  <c r="H368" i="56" s="1"/>
  <c r="I368" i="56"/>
  <c r="L367" i="56"/>
  <c r="I367" i="56"/>
  <c r="H367" i="56" s="1"/>
  <c r="N366" i="56"/>
  <c r="M366" i="56"/>
  <c r="K366" i="56"/>
  <c r="J366" i="56"/>
  <c r="I366" i="56" s="1"/>
  <c r="L365" i="56"/>
  <c r="I365" i="56"/>
  <c r="H365" i="56"/>
  <c r="L364" i="56"/>
  <c r="I364" i="56"/>
  <c r="H364" i="56" s="1"/>
  <c r="N363" i="56"/>
  <c r="M363" i="56"/>
  <c r="K363" i="56"/>
  <c r="J363" i="56"/>
  <c r="L362" i="56"/>
  <c r="I362" i="56"/>
  <c r="L361" i="56"/>
  <c r="I361" i="56"/>
  <c r="H361" i="56"/>
  <c r="N360" i="56"/>
  <c r="M360" i="56"/>
  <c r="L360" i="56"/>
  <c r="K360" i="56"/>
  <c r="J360" i="56"/>
  <c r="L359" i="56"/>
  <c r="I359" i="56"/>
  <c r="H359" i="56" s="1"/>
  <c r="L358" i="56"/>
  <c r="I358" i="56"/>
  <c r="H358" i="56" s="1"/>
  <c r="N357" i="56"/>
  <c r="M357" i="56"/>
  <c r="L357" i="56" s="1"/>
  <c r="H357" i="56" s="1"/>
  <c r="K357" i="56"/>
  <c r="J357" i="56"/>
  <c r="I357" i="56"/>
  <c r="L356" i="56"/>
  <c r="I356" i="56"/>
  <c r="H356" i="56"/>
  <c r="L355" i="56"/>
  <c r="I355" i="56"/>
  <c r="N354" i="56"/>
  <c r="M354" i="56"/>
  <c r="L354" i="56" s="1"/>
  <c r="K354" i="56"/>
  <c r="J354" i="56"/>
  <c r="L353" i="56"/>
  <c r="I353" i="56"/>
  <c r="H353" i="56" s="1"/>
  <c r="L352" i="56"/>
  <c r="H352" i="56" s="1"/>
  <c r="I352" i="56"/>
  <c r="N351" i="56"/>
  <c r="M351" i="56"/>
  <c r="K351" i="56"/>
  <c r="J351" i="56"/>
  <c r="I351" i="56" s="1"/>
  <c r="L350" i="56"/>
  <c r="I350" i="56"/>
  <c r="L349" i="56"/>
  <c r="I349" i="56"/>
  <c r="H349" i="56"/>
  <c r="N348" i="56"/>
  <c r="M348" i="56"/>
  <c r="L348" i="56"/>
  <c r="K348" i="56"/>
  <c r="J348" i="56"/>
  <c r="L347" i="56"/>
  <c r="I347" i="56"/>
  <c r="H347" i="56" s="1"/>
  <c r="L346" i="56"/>
  <c r="I346" i="56"/>
  <c r="N345" i="56"/>
  <c r="M345" i="56"/>
  <c r="L345" i="56" s="1"/>
  <c r="K345" i="56"/>
  <c r="J345" i="56"/>
  <c r="L344" i="56"/>
  <c r="I344" i="56"/>
  <c r="H344" i="56" s="1"/>
  <c r="L343" i="56"/>
  <c r="I343" i="56"/>
  <c r="H343" i="56" s="1"/>
  <c r="N342" i="56"/>
  <c r="M342" i="56"/>
  <c r="K342" i="56"/>
  <c r="J342" i="56"/>
  <c r="I342" i="56"/>
  <c r="L341" i="56"/>
  <c r="I341" i="56"/>
  <c r="H341" i="56"/>
  <c r="L340" i="56"/>
  <c r="I340" i="56"/>
  <c r="N339" i="56"/>
  <c r="M339" i="56"/>
  <c r="L339" i="56" s="1"/>
  <c r="K339" i="56"/>
  <c r="J339" i="56"/>
  <c r="L338" i="56"/>
  <c r="I338" i="56"/>
  <c r="H338" i="56" s="1"/>
  <c r="L337" i="56"/>
  <c r="H337" i="56" s="1"/>
  <c r="I337" i="56"/>
  <c r="N336" i="56"/>
  <c r="M336" i="56"/>
  <c r="K336" i="56"/>
  <c r="L335" i="56"/>
  <c r="I335" i="56"/>
  <c r="L334" i="56"/>
  <c r="J334" i="56"/>
  <c r="N333" i="56"/>
  <c r="M333" i="56"/>
  <c r="K333" i="56"/>
  <c r="J333" i="56"/>
  <c r="I333" i="56" s="1"/>
  <c r="L332" i="56"/>
  <c r="H332" i="56" s="1"/>
  <c r="I332" i="56"/>
  <c r="L331" i="56"/>
  <c r="I331" i="56"/>
  <c r="N330" i="56"/>
  <c r="L330" i="56" s="1"/>
  <c r="M330" i="56"/>
  <c r="K330" i="56"/>
  <c r="J330" i="56"/>
  <c r="L329" i="56"/>
  <c r="I329" i="56"/>
  <c r="H329" i="56" s="1"/>
  <c r="L328" i="56"/>
  <c r="I328" i="56"/>
  <c r="H328" i="56"/>
  <c r="N327" i="56"/>
  <c r="M327" i="56"/>
  <c r="L327" i="56" s="1"/>
  <c r="K327" i="56"/>
  <c r="J327" i="56"/>
  <c r="I327" i="56" s="1"/>
  <c r="H327" i="56" s="1"/>
  <c r="L326" i="56"/>
  <c r="I326" i="56"/>
  <c r="H326" i="56" s="1"/>
  <c r="L325" i="56"/>
  <c r="I325" i="56"/>
  <c r="N324" i="56"/>
  <c r="L324" i="56" s="1"/>
  <c r="M324" i="56"/>
  <c r="K324" i="56"/>
  <c r="I324" i="56" s="1"/>
  <c r="J324" i="56"/>
  <c r="H324" i="56"/>
  <c r="L323" i="56"/>
  <c r="I323" i="56"/>
  <c r="L322" i="56"/>
  <c r="I322" i="56"/>
  <c r="N321" i="56"/>
  <c r="M321" i="56"/>
  <c r="L321" i="56" s="1"/>
  <c r="K321" i="56"/>
  <c r="J321" i="56"/>
  <c r="I321" i="56" s="1"/>
  <c r="L320" i="56"/>
  <c r="I320" i="56"/>
  <c r="H320" i="56" s="1"/>
  <c r="L319" i="56"/>
  <c r="H319" i="56" s="1"/>
  <c r="I319" i="56"/>
  <c r="N318" i="56"/>
  <c r="M318" i="56"/>
  <c r="K318" i="56"/>
  <c r="J318" i="56"/>
  <c r="L317" i="56"/>
  <c r="I317" i="56"/>
  <c r="H317" i="56" s="1"/>
  <c r="L316" i="56"/>
  <c r="I316" i="56"/>
  <c r="H316" i="56" s="1"/>
  <c r="N315" i="56"/>
  <c r="M315" i="56"/>
  <c r="L315" i="56"/>
  <c r="K315" i="56"/>
  <c r="J315" i="56"/>
  <c r="L314" i="56"/>
  <c r="H314" i="56" s="1"/>
  <c r="I314" i="56"/>
  <c r="L313" i="56"/>
  <c r="I313" i="56"/>
  <c r="H313" i="56" s="1"/>
  <c r="N312" i="56"/>
  <c r="M312" i="56"/>
  <c r="L312" i="56" s="1"/>
  <c r="K312" i="56"/>
  <c r="J312" i="56"/>
  <c r="I312" i="56" s="1"/>
  <c r="L311" i="56"/>
  <c r="H311" i="56" s="1"/>
  <c r="I311" i="56"/>
  <c r="L310" i="56"/>
  <c r="I310" i="56"/>
  <c r="N309" i="56"/>
  <c r="M309" i="56"/>
  <c r="K309" i="56"/>
  <c r="J309" i="56"/>
  <c r="I309" i="56" s="1"/>
  <c r="L308" i="56"/>
  <c r="I308" i="56"/>
  <c r="L307" i="56"/>
  <c r="I307" i="56"/>
  <c r="H307" i="56" s="1"/>
  <c r="N306" i="56"/>
  <c r="L306" i="56" s="1"/>
  <c r="M306" i="56"/>
  <c r="K306" i="56"/>
  <c r="J306" i="56"/>
  <c r="L305" i="56"/>
  <c r="I305" i="56"/>
  <c r="H305" i="56" s="1"/>
  <c r="L304" i="56"/>
  <c r="I304" i="56"/>
  <c r="H304" i="56"/>
  <c r="N303" i="56"/>
  <c r="M303" i="56"/>
  <c r="J303" i="56"/>
  <c r="L302" i="56"/>
  <c r="H302" i="56" s="1"/>
  <c r="I302" i="56"/>
  <c r="L301" i="56"/>
  <c r="K301" i="56"/>
  <c r="N300" i="56"/>
  <c r="M300" i="56"/>
  <c r="K300" i="56"/>
  <c r="J300" i="56"/>
  <c r="I300" i="56" s="1"/>
  <c r="L299" i="56"/>
  <c r="I299" i="56"/>
  <c r="H299" i="56" s="1"/>
  <c r="L298" i="56"/>
  <c r="I298" i="56"/>
  <c r="H298" i="56" s="1"/>
  <c r="N297" i="56"/>
  <c r="M297" i="56"/>
  <c r="K297" i="56"/>
  <c r="J297" i="56"/>
  <c r="I297" i="56" s="1"/>
  <c r="L296" i="56"/>
  <c r="I296" i="56"/>
  <c r="L295" i="56"/>
  <c r="I295" i="56"/>
  <c r="N294" i="56"/>
  <c r="M294" i="56"/>
  <c r="L294" i="56" s="1"/>
  <c r="K294" i="56"/>
  <c r="J294" i="56"/>
  <c r="L293" i="56"/>
  <c r="H293" i="56" s="1"/>
  <c r="I293" i="56"/>
  <c r="L292" i="56"/>
  <c r="I292" i="56"/>
  <c r="N291" i="56"/>
  <c r="L291" i="56" s="1"/>
  <c r="M291" i="56"/>
  <c r="K291" i="56"/>
  <c r="I291" i="56" s="1"/>
  <c r="H291" i="56" s="1"/>
  <c r="J291" i="56"/>
  <c r="L290" i="56"/>
  <c r="I290" i="56"/>
  <c r="H290" i="56" s="1"/>
  <c r="L289" i="56"/>
  <c r="I289" i="56"/>
  <c r="N288" i="56"/>
  <c r="M288" i="56"/>
  <c r="K288" i="56"/>
  <c r="J288" i="56"/>
  <c r="I288" i="56"/>
  <c r="L287" i="56"/>
  <c r="I287" i="56"/>
  <c r="H287" i="56"/>
  <c r="L286" i="56"/>
  <c r="I286" i="56"/>
  <c r="N285" i="56"/>
  <c r="M285" i="56"/>
  <c r="J285" i="56"/>
  <c r="L284" i="56"/>
  <c r="I284" i="56"/>
  <c r="H284" i="56" s="1"/>
  <c r="L283" i="56"/>
  <c r="K283" i="56"/>
  <c r="N282" i="56"/>
  <c r="M282" i="56"/>
  <c r="L282" i="56" s="1"/>
  <c r="J282" i="56"/>
  <c r="L281" i="56"/>
  <c r="I281" i="56"/>
  <c r="H281" i="56" s="1"/>
  <c r="L280" i="56"/>
  <c r="K280" i="56"/>
  <c r="N279" i="56"/>
  <c r="L279" i="56" s="1"/>
  <c r="M279" i="56"/>
  <c r="K279" i="56"/>
  <c r="J279" i="56"/>
  <c r="L278" i="56"/>
  <c r="I278" i="56"/>
  <c r="H278" i="56" s="1"/>
  <c r="L277" i="56"/>
  <c r="I277" i="56"/>
  <c r="H277" i="56" s="1"/>
  <c r="N276" i="56"/>
  <c r="L276" i="56" s="1"/>
  <c r="H276" i="56" s="1"/>
  <c r="M276" i="56"/>
  <c r="K276" i="56"/>
  <c r="J276" i="56"/>
  <c r="I276" i="56" s="1"/>
  <c r="L275" i="56"/>
  <c r="I275" i="56"/>
  <c r="L274" i="56"/>
  <c r="I274" i="56"/>
  <c r="H274" i="56" s="1"/>
  <c r="N273" i="56"/>
  <c r="M273" i="56"/>
  <c r="L273" i="56" s="1"/>
  <c r="J273" i="56"/>
  <c r="L272" i="56"/>
  <c r="I272" i="56"/>
  <c r="H272" i="56"/>
  <c r="L271" i="56"/>
  <c r="K271" i="56"/>
  <c r="N270" i="56"/>
  <c r="L270" i="56" s="1"/>
  <c r="M270" i="56"/>
  <c r="K270" i="56"/>
  <c r="J270" i="56"/>
  <c r="I270" i="56" s="1"/>
  <c r="H270" i="56" s="1"/>
  <c r="L269" i="56"/>
  <c r="I269" i="56"/>
  <c r="H269" i="56" s="1"/>
  <c r="L268" i="56"/>
  <c r="I268" i="56"/>
  <c r="H268" i="56" s="1"/>
  <c r="N267" i="56"/>
  <c r="M267" i="56"/>
  <c r="K267" i="56"/>
  <c r="J267" i="56"/>
  <c r="L266" i="56"/>
  <c r="H266" i="56" s="1"/>
  <c r="I266" i="56"/>
  <c r="L265" i="56"/>
  <c r="I265" i="56"/>
  <c r="H265" i="56" s="1"/>
  <c r="N264" i="56"/>
  <c r="M264" i="56"/>
  <c r="L264" i="56"/>
  <c r="K264" i="56"/>
  <c r="J264" i="56"/>
  <c r="L263" i="56"/>
  <c r="I263" i="56"/>
  <c r="L262" i="56"/>
  <c r="I262" i="56"/>
  <c r="N261" i="56"/>
  <c r="M261" i="56"/>
  <c r="K261" i="56"/>
  <c r="J261" i="56"/>
  <c r="I261" i="56" s="1"/>
  <c r="L260" i="56"/>
  <c r="I260" i="56"/>
  <c r="H260" i="56" s="1"/>
  <c r="L259" i="56"/>
  <c r="H259" i="56" s="1"/>
  <c r="I259" i="56"/>
  <c r="N258" i="56"/>
  <c r="M258" i="56"/>
  <c r="K258" i="56"/>
  <c r="J258" i="56"/>
  <c r="I258" i="56" s="1"/>
  <c r="L257" i="56"/>
  <c r="I257" i="56"/>
  <c r="L256" i="56"/>
  <c r="I256" i="56"/>
  <c r="H256" i="56"/>
  <c r="N255" i="56"/>
  <c r="M255" i="56"/>
  <c r="L255" i="56"/>
  <c r="K255" i="56"/>
  <c r="I255" i="56" s="1"/>
  <c r="J255" i="56"/>
  <c r="L254" i="56"/>
  <c r="I254" i="56"/>
  <c r="L253" i="56"/>
  <c r="I253" i="56"/>
  <c r="N252" i="56"/>
  <c r="M252" i="56"/>
  <c r="L252" i="56" s="1"/>
  <c r="H252" i="56" s="1"/>
  <c r="K252" i="56"/>
  <c r="I252" i="56" s="1"/>
  <c r="J252" i="56"/>
  <c r="L251" i="56"/>
  <c r="I251" i="56"/>
  <c r="H251" i="56" s="1"/>
  <c r="L250" i="56"/>
  <c r="H250" i="56" s="1"/>
  <c r="I250" i="56"/>
  <c r="N249" i="56"/>
  <c r="M249" i="56"/>
  <c r="K249" i="56"/>
  <c r="J249" i="56"/>
  <c r="I249" i="56" s="1"/>
  <c r="L248" i="56"/>
  <c r="I248" i="56"/>
  <c r="H248" i="56" s="1"/>
  <c r="L247" i="56"/>
  <c r="I247" i="56"/>
  <c r="N246" i="56"/>
  <c r="M246" i="56"/>
  <c r="K246" i="56"/>
  <c r="J246" i="56"/>
  <c r="I246" i="56" s="1"/>
  <c r="L245" i="56"/>
  <c r="I245" i="56"/>
  <c r="H245" i="56" s="1"/>
  <c r="L244" i="56"/>
  <c r="I244" i="56"/>
  <c r="N243" i="56"/>
  <c r="M243" i="56"/>
  <c r="L243" i="56" s="1"/>
  <c r="K243" i="56"/>
  <c r="J243" i="56"/>
  <c r="L242" i="56"/>
  <c r="I242" i="56"/>
  <c r="L241" i="56"/>
  <c r="I241" i="56"/>
  <c r="H241" i="56" s="1"/>
  <c r="N240" i="56"/>
  <c r="L240" i="56" s="1"/>
  <c r="M240" i="56"/>
  <c r="K240" i="56"/>
  <c r="J240" i="56"/>
  <c r="I240" i="56" s="1"/>
  <c r="H240" i="56" s="1"/>
  <c r="L239" i="56"/>
  <c r="I239" i="56"/>
  <c r="H239" i="56" s="1"/>
  <c r="L238" i="56"/>
  <c r="I238" i="56"/>
  <c r="H238" i="56" s="1"/>
  <c r="N237" i="56"/>
  <c r="M237" i="56"/>
  <c r="K237" i="56"/>
  <c r="J237" i="56"/>
  <c r="I237" i="56"/>
  <c r="L236" i="56"/>
  <c r="I236" i="56"/>
  <c r="H236" i="56"/>
  <c r="L235" i="56"/>
  <c r="I235" i="56"/>
  <c r="N234" i="56"/>
  <c r="M234" i="56"/>
  <c r="K234" i="56"/>
  <c r="J234" i="56"/>
  <c r="I234" i="56" s="1"/>
  <c r="L233" i="56"/>
  <c r="I233" i="56"/>
  <c r="H233" i="56" s="1"/>
  <c r="L232" i="56"/>
  <c r="H232" i="56" s="1"/>
  <c r="I232" i="56"/>
  <c r="N231" i="56"/>
  <c r="L231" i="56" s="1"/>
  <c r="M231" i="56"/>
  <c r="K231" i="56"/>
  <c r="J231" i="56"/>
  <c r="L230" i="56"/>
  <c r="H230" i="56" s="1"/>
  <c r="I230" i="56"/>
  <c r="L229" i="56"/>
  <c r="I229" i="56"/>
  <c r="N228" i="56"/>
  <c r="M228" i="56"/>
  <c r="L228" i="56"/>
  <c r="K228" i="56"/>
  <c r="J228" i="56"/>
  <c r="L227" i="56"/>
  <c r="H227" i="56" s="1"/>
  <c r="I227" i="56"/>
  <c r="L226" i="56"/>
  <c r="I226" i="56"/>
  <c r="N225" i="56"/>
  <c r="M225" i="56"/>
  <c r="K225" i="56"/>
  <c r="J225" i="56"/>
  <c r="I225" i="56" s="1"/>
  <c r="L224" i="56"/>
  <c r="I224" i="56"/>
  <c r="H224" i="56" s="1"/>
  <c r="L223" i="56"/>
  <c r="I223" i="56"/>
  <c r="N222" i="56"/>
  <c r="M222" i="56"/>
  <c r="L222" i="56" s="1"/>
  <c r="K222" i="56"/>
  <c r="J222" i="56"/>
  <c r="L221" i="56"/>
  <c r="I221" i="56"/>
  <c r="L220" i="56"/>
  <c r="I220" i="56"/>
  <c r="N219" i="56"/>
  <c r="M219" i="56"/>
  <c r="L219" i="56" s="1"/>
  <c r="K219" i="56"/>
  <c r="J219" i="56"/>
  <c r="I219" i="56" s="1"/>
  <c r="L218" i="56"/>
  <c r="I218" i="56"/>
  <c r="L217" i="56"/>
  <c r="I217" i="56"/>
  <c r="H217" i="56" s="1"/>
  <c r="N214" i="56"/>
  <c r="M214" i="56"/>
  <c r="L214" i="56"/>
  <c r="K214" i="56"/>
  <c r="J214" i="56"/>
  <c r="N213" i="56"/>
  <c r="M213" i="56"/>
  <c r="L213" i="56" s="1"/>
  <c r="N210" i="56"/>
  <c r="N207" i="56"/>
  <c r="N204" i="56" s="1"/>
  <c r="M207" i="56"/>
  <c r="L207" i="56" s="1"/>
  <c r="K207" i="56"/>
  <c r="J207" i="56"/>
  <c r="L206" i="56"/>
  <c r="I206" i="56"/>
  <c r="L205" i="56"/>
  <c r="I205" i="56"/>
  <c r="H205" i="56"/>
  <c r="K204" i="56"/>
  <c r="N203" i="56"/>
  <c r="M203" i="56"/>
  <c r="K203" i="56"/>
  <c r="J203" i="56"/>
  <c r="N202" i="56"/>
  <c r="M202" i="56"/>
  <c r="L202" i="56" s="1"/>
  <c r="K202" i="56"/>
  <c r="J202" i="56"/>
  <c r="I202" i="56" s="1"/>
  <c r="N201" i="56"/>
  <c r="M201" i="56"/>
  <c r="L201" i="56" s="1"/>
  <c r="K201" i="56"/>
  <c r="J201" i="56"/>
  <c r="I201" i="56"/>
  <c r="H201" i="56" s="1"/>
  <c r="L200" i="56"/>
  <c r="I200" i="56"/>
  <c r="H200" i="56" s="1"/>
  <c r="L199" i="56"/>
  <c r="I199" i="56"/>
  <c r="H199" i="56" s="1"/>
  <c r="N198" i="56"/>
  <c r="M198" i="56"/>
  <c r="L198" i="56" s="1"/>
  <c r="K198" i="56"/>
  <c r="J198" i="56"/>
  <c r="I198" i="56"/>
  <c r="L197" i="56"/>
  <c r="H197" i="56" s="1"/>
  <c r="I197" i="56"/>
  <c r="L196" i="56"/>
  <c r="I196" i="56"/>
  <c r="H196" i="56"/>
  <c r="N195" i="56"/>
  <c r="M195" i="56"/>
  <c r="L195" i="56" s="1"/>
  <c r="K195" i="56"/>
  <c r="J195" i="56"/>
  <c r="L194" i="56"/>
  <c r="I194" i="56"/>
  <c r="L193" i="56"/>
  <c r="I193" i="56"/>
  <c r="H193" i="56" s="1"/>
  <c r="N192" i="56"/>
  <c r="N189" i="56" s="1"/>
  <c r="M192" i="56"/>
  <c r="L192" i="56" s="1"/>
  <c r="K192" i="56"/>
  <c r="J192" i="56"/>
  <c r="L191" i="56"/>
  <c r="I191" i="56"/>
  <c r="H191" i="56" s="1"/>
  <c r="L190" i="56"/>
  <c r="I190" i="56"/>
  <c r="N188" i="56"/>
  <c r="M188" i="56"/>
  <c r="L188" i="56" s="1"/>
  <c r="K188" i="56"/>
  <c r="J188" i="56"/>
  <c r="N187" i="56"/>
  <c r="M187" i="56"/>
  <c r="L187" i="56" s="1"/>
  <c r="K187" i="56"/>
  <c r="J187" i="56"/>
  <c r="N186" i="56"/>
  <c r="M186" i="56"/>
  <c r="K186" i="56"/>
  <c r="J186" i="56"/>
  <c r="I186" i="56"/>
  <c r="L185" i="56"/>
  <c r="I185" i="56"/>
  <c r="H185" i="56" s="1"/>
  <c r="L184" i="56"/>
  <c r="I184" i="56"/>
  <c r="H184" i="56"/>
  <c r="N183" i="56"/>
  <c r="M183" i="56"/>
  <c r="L183" i="56" s="1"/>
  <c r="K183" i="56"/>
  <c r="J183" i="56"/>
  <c r="L182" i="56"/>
  <c r="I182" i="56"/>
  <c r="H182" i="56" s="1"/>
  <c r="L181" i="56"/>
  <c r="I181" i="56"/>
  <c r="H181" i="56"/>
  <c r="N180" i="56"/>
  <c r="N177" i="56" s="1"/>
  <c r="M180" i="56"/>
  <c r="L180" i="56" s="1"/>
  <c r="K180" i="56"/>
  <c r="J180" i="56"/>
  <c r="I180" i="56" s="1"/>
  <c r="L179" i="56"/>
  <c r="I179" i="56"/>
  <c r="H179" i="56" s="1"/>
  <c r="L178" i="56"/>
  <c r="I178" i="56"/>
  <c r="H178" i="56" s="1"/>
  <c r="N176" i="56"/>
  <c r="L176" i="56" s="1"/>
  <c r="M176" i="56"/>
  <c r="K176" i="56"/>
  <c r="J176" i="56"/>
  <c r="N175" i="56"/>
  <c r="M175" i="56"/>
  <c r="L175" i="56" s="1"/>
  <c r="K175" i="56"/>
  <c r="J175" i="56"/>
  <c r="N174" i="56"/>
  <c r="M174" i="56"/>
  <c r="L174" i="56" s="1"/>
  <c r="K174" i="56"/>
  <c r="J174" i="56"/>
  <c r="I174" i="56"/>
  <c r="L173" i="56"/>
  <c r="I173" i="56"/>
  <c r="H173" i="56" s="1"/>
  <c r="L172" i="56"/>
  <c r="I172" i="56"/>
  <c r="H172" i="56" s="1"/>
  <c r="N171" i="56"/>
  <c r="M171" i="56"/>
  <c r="L171" i="56" s="1"/>
  <c r="K171" i="56"/>
  <c r="J171" i="56"/>
  <c r="I170" i="56"/>
  <c r="H170" i="56" s="1"/>
  <c r="I169" i="56"/>
  <c r="H169" i="56" s="1"/>
  <c r="N168" i="56"/>
  <c r="M168" i="56"/>
  <c r="K168" i="56"/>
  <c r="J168" i="56"/>
  <c r="I168" i="56" s="1"/>
  <c r="L167" i="56"/>
  <c r="I167" i="56"/>
  <c r="H167" i="56" s="1"/>
  <c r="L166" i="56"/>
  <c r="I166" i="56"/>
  <c r="H166" i="56"/>
  <c r="N165" i="56"/>
  <c r="N162" i="56" s="1"/>
  <c r="N164" i="56"/>
  <c r="N161" i="56" s="1"/>
  <c r="M164" i="56"/>
  <c r="K164" i="56"/>
  <c r="I164" i="56" s="1"/>
  <c r="J164" i="56"/>
  <c r="J161" i="56" s="1"/>
  <c r="N163" i="56"/>
  <c r="M163" i="56"/>
  <c r="L163" i="56"/>
  <c r="K163" i="56"/>
  <c r="J163" i="56"/>
  <c r="I163" i="56" s="1"/>
  <c r="H163" i="56" s="1"/>
  <c r="N160" i="56"/>
  <c r="M160" i="56"/>
  <c r="L160" i="56" s="1"/>
  <c r="K160" i="56"/>
  <c r="J160" i="56"/>
  <c r="I160" i="56" s="1"/>
  <c r="H160" i="56" s="1"/>
  <c r="N159" i="56"/>
  <c r="L159" i="56" s="1"/>
  <c r="M159" i="56"/>
  <c r="K159" i="56"/>
  <c r="J159" i="56"/>
  <c r="I159" i="56"/>
  <c r="L158" i="56"/>
  <c r="I158" i="56"/>
  <c r="H158" i="56" s="1"/>
  <c r="L157" i="56"/>
  <c r="H157" i="56" s="1"/>
  <c r="I157" i="56"/>
  <c r="N156" i="56"/>
  <c r="M156" i="56"/>
  <c r="K156" i="56"/>
  <c r="J156" i="56"/>
  <c r="I156" i="56" s="1"/>
  <c r="L155" i="56"/>
  <c r="I155" i="56"/>
  <c r="H155" i="56" s="1"/>
  <c r="L154" i="56"/>
  <c r="I154" i="56"/>
  <c r="H154" i="56"/>
  <c r="K153" i="56"/>
  <c r="K150" i="56" s="1"/>
  <c r="J153" i="56"/>
  <c r="I153" i="56" s="1"/>
  <c r="N152" i="56"/>
  <c r="N149" i="56" s="1"/>
  <c r="M152" i="56"/>
  <c r="K152" i="56"/>
  <c r="J152" i="56"/>
  <c r="I152" i="56"/>
  <c r="N151" i="56"/>
  <c r="M151" i="56"/>
  <c r="L151" i="56"/>
  <c r="K151" i="56"/>
  <c r="K148" i="56" s="1"/>
  <c r="J151" i="56"/>
  <c r="K149" i="56"/>
  <c r="J149" i="56"/>
  <c r="I149" i="56" s="1"/>
  <c r="N148" i="56"/>
  <c r="M148" i="56"/>
  <c r="J148" i="56"/>
  <c r="I148" i="56" s="1"/>
  <c r="N147" i="56"/>
  <c r="M147" i="56"/>
  <c r="M144" i="56" s="1"/>
  <c r="L144" i="56" s="1"/>
  <c r="L147" i="56"/>
  <c r="K147" i="56"/>
  <c r="K144" i="56" s="1"/>
  <c r="J147" i="56"/>
  <c r="I147" i="56" s="1"/>
  <c r="H147" i="56" s="1"/>
  <c r="L146" i="56"/>
  <c r="I146" i="56"/>
  <c r="H146" i="56"/>
  <c r="L145" i="56"/>
  <c r="I145" i="56"/>
  <c r="N144" i="56"/>
  <c r="N143" i="56"/>
  <c r="M143" i="56"/>
  <c r="L143" i="56"/>
  <c r="K143" i="56"/>
  <c r="I143" i="56" s="1"/>
  <c r="J143" i="56"/>
  <c r="N142" i="56"/>
  <c r="M142" i="56"/>
  <c r="L142" i="56"/>
  <c r="K142" i="56"/>
  <c r="J142" i="56"/>
  <c r="N141" i="56"/>
  <c r="N138" i="56" s="1"/>
  <c r="L138" i="56" s="1"/>
  <c r="M141" i="56"/>
  <c r="K141" i="56"/>
  <c r="J141" i="56"/>
  <c r="L140" i="56"/>
  <c r="I140" i="56"/>
  <c r="H140" i="56" s="1"/>
  <c r="L139" i="56"/>
  <c r="I139" i="56"/>
  <c r="H139" i="56" s="1"/>
  <c r="M138" i="56"/>
  <c r="K138" i="56"/>
  <c r="N137" i="56"/>
  <c r="M137" i="56"/>
  <c r="K137" i="56"/>
  <c r="J137" i="56"/>
  <c r="I137" i="56" s="1"/>
  <c r="N136" i="56"/>
  <c r="M136" i="56"/>
  <c r="K136" i="56"/>
  <c r="J136" i="56"/>
  <c r="I136" i="56" s="1"/>
  <c r="N135" i="56"/>
  <c r="M135" i="56"/>
  <c r="M132" i="56" s="1"/>
  <c r="L132" i="56" s="1"/>
  <c r="K135" i="56"/>
  <c r="K132" i="56" s="1"/>
  <c r="J135" i="56"/>
  <c r="I135" i="56" s="1"/>
  <c r="L134" i="56"/>
  <c r="I134" i="56"/>
  <c r="H134" i="56"/>
  <c r="L133" i="56"/>
  <c r="I133" i="56"/>
  <c r="N132" i="56"/>
  <c r="N131" i="56"/>
  <c r="M131" i="56"/>
  <c r="L131" i="56"/>
  <c r="K131" i="56"/>
  <c r="I131" i="56" s="1"/>
  <c r="J131" i="56"/>
  <c r="N130" i="56"/>
  <c r="M130" i="56"/>
  <c r="L130" i="56"/>
  <c r="K130" i="56"/>
  <c r="J130" i="56"/>
  <c r="N129" i="56"/>
  <c r="N126" i="56" s="1"/>
  <c r="L126" i="56" s="1"/>
  <c r="M129" i="56"/>
  <c r="K129" i="56"/>
  <c r="J129" i="56"/>
  <c r="L128" i="56"/>
  <c r="I128" i="56"/>
  <c r="H128" i="56" s="1"/>
  <c r="L127" i="56"/>
  <c r="I127" i="56"/>
  <c r="H127" i="56" s="1"/>
  <c r="M126" i="56"/>
  <c r="K126" i="56"/>
  <c r="N125" i="56"/>
  <c r="M125" i="56"/>
  <c r="K125" i="56"/>
  <c r="J125" i="56"/>
  <c r="I125" i="56" s="1"/>
  <c r="N124" i="56"/>
  <c r="M124" i="56"/>
  <c r="K124" i="56"/>
  <c r="J124" i="56"/>
  <c r="I124" i="56" s="1"/>
  <c r="N123" i="56"/>
  <c r="M123" i="56"/>
  <c r="L123" i="56"/>
  <c r="K123" i="56"/>
  <c r="J123" i="56"/>
  <c r="I123" i="56" s="1"/>
  <c r="H123" i="56" s="1"/>
  <c r="L122" i="56"/>
  <c r="I122" i="56"/>
  <c r="H122" i="56"/>
  <c r="L121" i="56"/>
  <c r="I121" i="56"/>
  <c r="N120" i="56"/>
  <c r="M120" i="56"/>
  <c r="K120" i="56"/>
  <c r="J120" i="56"/>
  <c r="I120" i="56"/>
  <c r="L119" i="56"/>
  <c r="I119" i="56"/>
  <c r="H119" i="56"/>
  <c r="L118" i="56"/>
  <c r="H118" i="56" s="1"/>
  <c r="I118" i="56"/>
  <c r="N117" i="56"/>
  <c r="M117" i="56"/>
  <c r="K117" i="56"/>
  <c r="K114" i="56" s="1"/>
  <c r="K111" i="56" s="1"/>
  <c r="J117" i="56"/>
  <c r="I117" i="56" s="1"/>
  <c r="L116" i="56"/>
  <c r="I116" i="56"/>
  <c r="L115" i="56"/>
  <c r="I115" i="56"/>
  <c r="H115" i="56" s="1"/>
  <c r="N113" i="56"/>
  <c r="N110" i="56" s="1"/>
  <c r="M113" i="56"/>
  <c r="K113" i="56"/>
  <c r="J113" i="56"/>
  <c r="N112" i="56"/>
  <c r="M112" i="56"/>
  <c r="L112" i="56" s="1"/>
  <c r="K112" i="56"/>
  <c r="J112" i="56"/>
  <c r="J109" i="56" s="1"/>
  <c r="I109" i="56" s="1"/>
  <c r="I112" i="56"/>
  <c r="H112" i="56" s="1"/>
  <c r="M110" i="56"/>
  <c r="K110" i="56"/>
  <c r="N109" i="56"/>
  <c r="K109" i="56"/>
  <c r="N108" i="56"/>
  <c r="M108" i="56"/>
  <c r="L108" i="56" s="1"/>
  <c r="K108" i="56"/>
  <c r="J108" i="56"/>
  <c r="I108" i="56"/>
  <c r="H108" i="56" s="1"/>
  <c r="L107" i="56"/>
  <c r="H107" i="56" s="1"/>
  <c r="I107" i="56"/>
  <c r="L106" i="56"/>
  <c r="I106" i="56"/>
  <c r="H106" i="56"/>
  <c r="N105" i="56"/>
  <c r="K105" i="56"/>
  <c r="J105" i="56"/>
  <c r="N104" i="56"/>
  <c r="M104" i="56"/>
  <c r="L104" i="56" s="1"/>
  <c r="K104" i="56"/>
  <c r="J104" i="56"/>
  <c r="I104" i="56"/>
  <c r="H104" i="56" s="1"/>
  <c r="N103" i="56"/>
  <c r="M103" i="56"/>
  <c r="L103" i="56" s="1"/>
  <c r="K103" i="56"/>
  <c r="J103" i="56"/>
  <c r="I103" i="56" s="1"/>
  <c r="H103" i="56" s="1"/>
  <c r="N102" i="56"/>
  <c r="N99" i="56" s="1"/>
  <c r="M102" i="56"/>
  <c r="L102" i="56"/>
  <c r="K102" i="56"/>
  <c r="K99" i="56" s="1"/>
  <c r="I99" i="56" s="1"/>
  <c r="J102" i="56"/>
  <c r="L101" i="56"/>
  <c r="H101" i="56" s="1"/>
  <c r="I101" i="56"/>
  <c r="L100" i="56"/>
  <c r="I100" i="56"/>
  <c r="H100" i="56" s="1"/>
  <c r="M99" i="56"/>
  <c r="J99" i="56"/>
  <c r="N98" i="56"/>
  <c r="M98" i="56"/>
  <c r="L98" i="56"/>
  <c r="K98" i="56"/>
  <c r="I98" i="56" s="1"/>
  <c r="H98" i="56" s="1"/>
  <c r="J98" i="56"/>
  <c r="N97" i="56"/>
  <c r="L97" i="56" s="1"/>
  <c r="M97" i="56"/>
  <c r="K97" i="56"/>
  <c r="J97" i="56"/>
  <c r="I97" i="56" s="1"/>
  <c r="N96" i="56"/>
  <c r="M96" i="56"/>
  <c r="L96" i="56" s="1"/>
  <c r="K96" i="56"/>
  <c r="J96" i="56"/>
  <c r="I96" i="56"/>
  <c r="H96" i="56" s="1"/>
  <c r="L95" i="56"/>
  <c r="H95" i="56" s="1"/>
  <c r="I95" i="56"/>
  <c r="L94" i="56"/>
  <c r="I94" i="56"/>
  <c r="H94" i="56"/>
  <c r="N93" i="56"/>
  <c r="K93" i="56"/>
  <c r="J93" i="56"/>
  <c r="N92" i="56"/>
  <c r="M92" i="56"/>
  <c r="L92" i="56" s="1"/>
  <c r="K92" i="56"/>
  <c r="J92" i="56"/>
  <c r="I92" i="56"/>
  <c r="H92" i="56" s="1"/>
  <c r="N91" i="56"/>
  <c r="M91" i="56"/>
  <c r="L91" i="56" s="1"/>
  <c r="K91" i="56"/>
  <c r="J91" i="56"/>
  <c r="I91" i="56" s="1"/>
  <c r="N90" i="56"/>
  <c r="M90" i="56"/>
  <c r="L90" i="56"/>
  <c r="K90" i="56"/>
  <c r="I90" i="56" s="1"/>
  <c r="J90" i="56"/>
  <c r="L89" i="56"/>
  <c r="H89" i="56" s="1"/>
  <c r="I89" i="56"/>
  <c r="L88" i="56"/>
  <c r="I88" i="56"/>
  <c r="H88" i="56" s="1"/>
  <c r="N87" i="56"/>
  <c r="N84" i="56" s="1"/>
  <c r="M87" i="56"/>
  <c r="L87" i="56" s="1"/>
  <c r="H87" i="56" s="1"/>
  <c r="K87" i="56"/>
  <c r="J87" i="56"/>
  <c r="I87" i="56" s="1"/>
  <c r="L86" i="56"/>
  <c r="I86" i="56"/>
  <c r="H86" i="56" s="1"/>
  <c r="L85" i="56"/>
  <c r="H85" i="56" s="1"/>
  <c r="I85" i="56"/>
  <c r="N83" i="56"/>
  <c r="M83" i="56"/>
  <c r="L83" i="56" s="1"/>
  <c r="K83" i="56"/>
  <c r="J83" i="56"/>
  <c r="I83" i="56" s="1"/>
  <c r="N82" i="56"/>
  <c r="M82" i="56"/>
  <c r="L82" i="56"/>
  <c r="K82" i="56"/>
  <c r="J82" i="56"/>
  <c r="N81" i="56"/>
  <c r="N78" i="56" s="1"/>
  <c r="L78" i="56" s="1"/>
  <c r="M81" i="56"/>
  <c r="K81" i="56"/>
  <c r="J81" i="56"/>
  <c r="L80" i="56"/>
  <c r="I80" i="56"/>
  <c r="H80" i="56" s="1"/>
  <c r="L79" i="56"/>
  <c r="I79" i="56"/>
  <c r="H79" i="56" s="1"/>
  <c r="M78" i="56"/>
  <c r="K78" i="56"/>
  <c r="N77" i="56"/>
  <c r="M77" i="56"/>
  <c r="K77" i="56"/>
  <c r="J77" i="56"/>
  <c r="N76" i="56"/>
  <c r="M76" i="56"/>
  <c r="K76" i="56"/>
  <c r="J76" i="56"/>
  <c r="I76" i="56" s="1"/>
  <c r="N75" i="56"/>
  <c r="M75" i="56"/>
  <c r="M72" i="56" s="1"/>
  <c r="L72" i="56" s="1"/>
  <c r="K75" i="56"/>
  <c r="K72" i="56" s="1"/>
  <c r="J75" i="56"/>
  <c r="I75" i="56" s="1"/>
  <c r="L74" i="56"/>
  <c r="I74" i="56"/>
  <c r="H74" i="56"/>
  <c r="L73" i="56"/>
  <c r="I73" i="56"/>
  <c r="N72" i="56"/>
  <c r="N71" i="56"/>
  <c r="M71" i="56"/>
  <c r="L71" i="56"/>
  <c r="K71" i="56"/>
  <c r="I71" i="56" s="1"/>
  <c r="J71" i="56"/>
  <c r="N70" i="56"/>
  <c r="M70" i="56"/>
  <c r="L70" i="56"/>
  <c r="K70" i="56"/>
  <c r="J70" i="56"/>
  <c r="J60" i="56" s="1"/>
  <c r="N69" i="56"/>
  <c r="N66" i="56" s="1"/>
  <c r="M69" i="56"/>
  <c r="K69" i="56"/>
  <c r="J69" i="56"/>
  <c r="L68" i="56"/>
  <c r="I68" i="56"/>
  <c r="H68" i="56" s="1"/>
  <c r="L67" i="56"/>
  <c r="I67" i="56"/>
  <c r="H67" i="56" s="1"/>
  <c r="M66" i="56"/>
  <c r="K66" i="56"/>
  <c r="N65" i="56"/>
  <c r="M65" i="56"/>
  <c r="K65" i="56"/>
  <c r="J65" i="56"/>
  <c r="N64" i="56"/>
  <c r="N60" i="56" s="1"/>
  <c r="N56" i="56" s="1"/>
  <c r="M64" i="56"/>
  <c r="K64" i="56"/>
  <c r="J64" i="56"/>
  <c r="I64" i="56" s="1"/>
  <c r="N54" i="56"/>
  <c r="L54" i="56" s="1"/>
  <c r="M54" i="56"/>
  <c r="K54" i="56"/>
  <c r="J54" i="56"/>
  <c r="I54" i="56" s="1"/>
  <c r="L53" i="56"/>
  <c r="I53" i="56"/>
  <c r="H53" i="56" s="1"/>
  <c r="L52" i="56"/>
  <c r="I52" i="56"/>
  <c r="H52" i="56"/>
  <c r="N51" i="56"/>
  <c r="L51" i="56" s="1"/>
  <c r="M51" i="56"/>
  <c r="K51" i="56"/>
  <c r="J51" i="56"/>
  <c r="L50" i="56"/>
  <c r="H50" i="56" s="1"/>
  <c r="I50" i="56"/>
  <c r="L49" i="56"/>
  <c r="I49" i="56"/>
  <c r="N48" i="56"/>
  <c r="M48" i="56"/>
  <c r="L48" i="56" s="1"/>
  <c r="K48" i="56"/>
  <c r="J48" i="56"/>
  <c r="I48" i="56" s="1"/>
  <c r="L47" i="56"/>
  <c r="I47" i="56"/>
  <c r="H47" i="56" s="1"/>
  <c r="L46" i="56"/>
  <c r="H46" i="56" s="1"/>
  <c r="I46" i="56"/>
  <c r="N45" i="56"/>
  <c r="M45" i="56"/>
  <c r="L45" i="56" s="1"/>
  <c r="K45" i="56"/>
  <c r="J45" i="56"/>
  <c r="I45" i="56" s="1"/>
  <c r="L44" i="56"/>
  <c r="I44" i="56"/>
  <c r="H44" i="56" s="1"/>
  <c r="L43" i="56"/>
  <c r="I43" i="56"/>
  <c r="H43" i="56" s="1"/>
  <c r="N42" i="56"/>
  <c r="L42" i="56" s="1"/>
  <c r="M42" i="56"/>
  <c r="K42" i="56"/>
  <c r="J42" i="56"/>
  <c r="I42" i="56" s="1"/>
  <c r="L41" i="56"/>
  <c r="I41" i="56"/>
  <c r="H41" i="56" s="1"/>
  <c r="L40" i="56"/>
  <c r="I40" i="56"/>
  <c r="H40" i="56"/>
  <c r="N39" i="56"/>
  <c r="L39" i="56" s="1"/>
  <c r="M39" i="56"/>
  <c r="K39" i="56"/>
  <c r="J39" i="56"/>
  <c r="L38" i="56"/>
  <c r="H38" i="56" s="1"/>
  <c r="I38" i="56"/>
  <c r="L37" i="56"/>
  <c r="I37" i="56"/>
  <c r="N36" i="56"/>
  <c r="M36" i="56"/>
  <c r="L36" i="56" s="1"/>
  <c r="K36" i="56"/>
  <c r="J36" i="56"/>
  <c r="I36" i="56" s="1"/>
  <c r="L35" i="56"/>
  <c r="H35" i="56" s="1"/>
  <c r="I35" i="56"/>
  <c r="L34" i="56"/>
  <c r="I34" i="56"/>
  <c r="N33" i="56"/>
  <c r="M33" i="56"/>
  <c r="L33" i="56" s="1"/>
  <c r="K33" i="56"/>
  <c r="J33" i="56"/>
  <c r="I33" i="56" s="1"/>
  <c r="H33" i="56" s="1"/>
  <c r="L32" i="56"/>
  <c r="I32" i="56"/>
  <c r="H32" i="56" s="1"/>
  <c r="L31" i="56"/>
  <c r="I31" i="56"/>
  <c r="H31" i="56"/>
  <c r="N30" i="56"/>
  <c r="L30" i="56" s="1"/>
  <c r="M30" i="56"/>
  <c r="K30" i="56"/>
  <c r="J30" i="56"/>
  <c r="I30" i="56" s="1"/>
  <c r="L29" i="56"/>
  <c r="I29" i="56"/>
  <c r="H29" i="56" s="1"/>
  <c r="L28" i="56"/>
  <c r="I28" i="56"/>
  <c r="H28" i="56"/>
  <c r="N27" i="56"/>
  <c r="M27" i="56"/>
  <c r="L27" i="56"/>
  <c r="K27" i="56"/>
  <c r="J27" i="56"/>
  <c r="L26" i="56"/>
  <c r="I26" i="56"/>
  <c r="L25" i="56"/>
  <c r="I25" i="56"/>
  <c r="N24" i="56"/>
  <c r="M24" i="56"/>
  <c r="L24" i="56" s="1"/>
  <c r="H24" i="56" s="1"/>
  <c r="K24" i="56"/>
  <c r="J24" i="56"/>
  <c r="I24" i="56"/>
  <c r="L23" i="56"/>
  <c r="H23" i="56" s="1"/>
  <c r="I23" i="56"/>
  <c r="L22" i="56"/>
  <c r="H22" i="56" s="1"/>
  <c r="I22" i="56"/>
  <c r="N21" i="56"/>
  <c r="M21" i="56"/>
  <c r="L21" i="56" s="1"/>
  <c r="K21" i="56"/>
  <c r="J21" i="56"/>
  <c r="I21" i="56" s="1"/>
  <c r="H21" i="56" s="1"/>
  <c r="L20" i="56"/>
  <c r="I20" i="56"/>
  <c r="H20" i="56" s="1"/>
  <c r="L19" i="56"/>
  <c r="I19" i="56"/>
  <c r="H19" i="56"/>
  <c r="N17" i="56"/>
  <c r="N16" i="56"/>
  <c r="M16" i="56"/>
  <c r="L16" i="56" s="1"/>
  <c r="K16" i="56"/>
  <c r="J16" i="56"/>
  <c r="I16" i="56"/>
  <c r="N15" i="56"/>
  <c r="M15" i="56"/>
  <c r="L15" i="56" s="1"/>
  <c r="K15" i="56"/>
  <c r="J15" i="56"/>
  <c r="I15" i="56" s="1"/>
  <c r="H15" i="56" s="1"/>
  <c r="H48" i="56" l="1"/>
  <c r="H83" i="56"/>
  <c r="H180" i="56"/>
  <c r="H76" i="56"/>
  <c r="H159" i="56"/>
  <c r="H36" i="56"/>
  <c r="H91" i="56"/>
  <c r="L99" i="56"/>
  <c r="H71" i="56"/>
  <c r="H131" i="56"/>
  <c r="H143" i="56"/>
  <c r="K282" i="56"/>
  <c r="I282" i="56" s="1"/>
  <c r="H282" i="56" s="1"/>
  <c r="I280" i="56"/>
  <c r="H280" i="56" s="1"/>
  <c r="K285" i="56"/>
  <c r="I285" i="56" s="1"/>
  <c r="H285" i="56" s="1"/>
  <c r="I283" i="56"/>
  <c r="H283" i="56" s="1"/>
  <c r="H312" i="56"/>
  <c r="H323" i="56"/>
  <c r="H331" i="56"/>
  <c r="H340" i="56"/>
  <c r="L369" i="56"/>
  <c r="I389" i="56"/>
  <c r="H389" i="56" s="1"/>
  <c r="H660" i="56"/>
  <c r="H26" i="56"/>
  <c r="I65" i="56"/>
  <c r="K60" i="56"/>
  <c r="K56" i="56" s="1"/>
  <c r="H73" i="56"/>
  <c r="L75" i="56"/>
  <c r="H75" i="56" s="1"/>
  <c r="I77" i="56"/>
  <c r="I82" i="56"/>
  <c r="H82" i="56" s="1"/>
  <c r="H121" i="56"/>
  <c r="I130" i="56"/>
  <c r="H130" i="56" s="1"/>
  <c r="H133" i="56"/>
  <c r="L135" i="56"/>
  <c r="H135" i="56" s="1"/>
  <c r="I142" i="56"/>
  <c r="H142" i="56" s="1"/>
  <c r="H145" i="56"/>
  <c r="K165" i="56"/>
  <c r="K162" i="56" s="1"/>
  <c r="I228" i="56"/>
  <c r="H228" i="56" s="1"/>
  <c r="H247" i="56"/>
  <c r="I264" i="56"/>
  <c r="H264" i="56" s="1"/>
  <c r="I406" i="56"/>
  <c r="H431" i="56"/>
  <c r="H532" i="56"/>
  <c r="H555" i="56"/>
  <c r="H579" i="56"/>
  <c r="H607" i="56"/>
  <c r="L110" i="56"/>
  <c r="I301" i="56"/>
  <c r="K303" i="56"/>
  <c r="I303" i="56" s="1"/>
  <c r="H696" i="56"/>
  <c r="K17" i="56"/>
  <c r="N153" i="56"/>
  <c r="N150" i="56" s="1"/>
  <c r="H219" i="56"/>
  <c r="I231" i="56"/>
  <c r="H231" i="56" s="1"/>
  <c r="I267" i="56"/>
  <c r="H30" i="56"/>
  <c r="H34" i="56"/>
  <c r="I39" i="56"/>
  <c r="H39" i="56" s="1"/>
  <c r="I51" i="56"/>
  <c r="H51" i="56" s="1"/>
  <c r="N61" i="56"/>
  <c r="N57" i="56" s="1"/>
  <c r="N12" i="56" s="1"/>
  <c r="N750" i="56" s="1"/>
  <c r="I69" i="56"/>
  <c r="J72" i="56"/>
  <c r="I72" i="56" s="1"/>
  <c r="L77" i="56"/>
  <c r="I81" i="56"/>
  <c r="J84" i="56"/>
  <c r="N114" i="56"/>
  <c r="N111" i="56" s="1"/>
  <c r="L125" i="56"/>
  <c r="I129" i="56"/>
  <c r="J132" i="56"/>
  <c r="I132" i="56" s="1"/>
  <c r="L137" i="56"/>
  <c r="I141" i="56"/>
  <c r="J144" i="56"/>
  <c r="I144" i="56" s="1"/>
  <c r="L186" i="56"/>
  <c r="H186" i="56" s="1"/>
  <c r="I192" i="56"/>
  <c r="H192" i="56" s="1"/>
  <c r="H194" i="56"/>
  <c r="H206" i="56"/>
  <c r="K213" i="56"/>
  <c r="K209" i="56" s="1"/>
  <c r="M215" i="56"/>
  <c r="H242" i="56"/>
  <c r="L267" i="56"/>
  <c r="H267" i="56" s="1"/>
  <c r="H296" i="56"/>
  <c r="H308" i="56"/>
  <c r="L318" i="56"/>
  <c r="L402" i="56"/>
  <c r="M84" i="56"/>
  <c r="L84" i="56" s="1"/>
  <c r="I151" i="56"/>
  <c r="H151" i="56" s="1"/>
  <c r="K161" i="56"/>
  <c r="I161" i="56" s="1"/>
  <c r="H220" i="56"/>
  <c r="H223" i="56"/>
  <c r="J17" i="56"/>
  <c r="I17" i="56" s="1"/>
  <c r="H25" i="56"/>
  <c r="L120" i="56"/>
  <c r="L152" i="56"/>
  <c r="H152" i="56" s="1"/>
  <c r="I187" i="56"/>
  <c r="L203" i="56"/>
  <c r="H226" i="56"/>
  <c r="H235" i="56"/>
  <c r="H257" i="56"/>
  <c r="H262" i="56"/>
  <c r="K273" i="56"/>
  <c r="I273" i="56" s="1"/>
  <c r="H273" i="56" s="1"/>
  <c r="I271" i="56"/>
  <c r="H271" i="56" s="1"/>
  <c r="L336" i="56"/>
  <c r="I345" i="56"/>
  <c r="H345" i="56" s="1"/>
  <c r="H374" i="56"/>
  <c r="L390" i="56"/>
  <c r="H416" i="56"/>
  <c r="H37" i="56"/>
  <c r="H49" i="56"/>
  <c r="L64" i="56"/>
  <c r="H64" i="56" s="1"/>
  <c r="L76" i="56"/>
  <c r="H90" i="56"/>
  <c r="I93" i="56"/>
  <c r="H99" i="56"/>
  <c r="I105" i="56"/>
  <c r="I113" i="56"/>
  <c r="H116" i="56"/>
  <c r="L124" i="56"/>
  <c r="H124" i="56" s="1"/>
  <c r="L136" i="56"/>
  <c r="H136" i="56" s="1"/>
  <c r="L148" i="56"/>
  <c r="H148" i="56" s="1"/>
  <c r="I175" i="56"/>
  <c r="H190" i="56"/>
  <c r="I214" i="56"/>
  <c r="H214" i="56" s="1"/>
  <c r="H221" i="56"/>
  <c r="H243" i="56"/>
  <c r="H255" i="56"/>
  <c r="H263" i="56"/>
  <c r="H286" i="56"/>
  <c r="L303" i="56"/>
  <c r="L444" i="56"/>
  <c r="H444" i="56" s="1"/>
  <c r="I465" i="56"/>
  <c r="H615" i="56"/>
  <c r="I243" i="56"/>
  <c r="H289" i="56"/>
  <c r="I294" i="56"/>
  <c r="H294" i="56" s="1"/>
  <c r="H414" i="56"/>
  <c r="L438" i="56"/>
  <c r="H438" i="56" s="1"/>
  <c r="H445" i="56"/>
  <c r="H458" i="56"/>
  <c r="H482" i="56"/>
  <c r="H494" i="56"/>
  <c r="H518" i="56"/>
  <c r="H542" i="56"/>
  <c r="H565" i="56"/>
  <c r="L573" i="56"/>
  <c r="H589" i="56"/>
  <c r="H605" i="56"/>
  <c r="H627" i="56"/>
  <c r="H629" i="56"/>
  <c r="I714" i="56"/>
  <c r="H714" i="56" s="1"/>
  <c r="L258" i="56"/>
  <c r="H346" i="56"/>
  <c r="I354" i="56"/>
  <c r="H354" i="56" s="1"/>
  <c r="L363" i="56"/>
  <c r="L384" i="56"/>
  <c r="L406" i="56"/>
  <c r="H424" i="56"/>
  <c r="L429" i="56"/>
  <c r="H434" i="56"/>
  <c r="H448" i="56"/>
  <c r="L453" i="56"/>
  <c r="H461" i="56"/>
  <c r="H473" i="56"/>
  <c r="H497" i="56"/>
  <c r="I507" i="56"/>
  <c r="H507" i="56" s="1"/>
  <c r="H524" i="56"/>
  <c r="H526" i="56"/>
  <c r="I531" i="56"/>
  <c r="H531" i="56" s="1"/>
  <c r="H548" i="56"/>
  <c r="H550" i="56"/>
  <c r="I561" i="56"/>
  <c r="H561" i="56" s="1"/>
  <c r="H563" i="56"/>
  <c r="H566" i="56"/>
  <c r="H574" i="56"/>
  <c r="L576" i="56"/>
  <c r="I582" i="56"/>
  <c r="H582" i="56" s="1"/>
  <c r="I585" i="56"/>
  <c r="H590" i="56"/>
  <c r="H592" i="56"/>
  <c r="L597" i="56"/>
  <c r="H613" i="56"/>
  <c r="H616" i="56"/>
  <c r="L621" i="56"/>
  <c r="H637" i="56"/>
  <c r="H640" i="56"/>
  <c r="L645" i="56"/>
  <c r="I651" i="56"/>
  <c r="H651" i="56" s="1"/>
  <c r="H653" i="56"/>
  <c r="H656" i="56"/>
  <c r="I675" i="56"/>
  <c r="H675" i="56" s="1"/>
  <c r="H677" i="56"/>
  <c r="H680" i="56"/>
  <c r="L690" i="56"/>
  <c r="L714" i="56"/>
  <c r="L738" i="56"/>
  <c r="H459" i="56"/>
  <c r="H483" i="56"/>
  <c r="H546" i="56"/>
  <c r="H606" i="56"/>
  <c r="H609" i="56"/>
  <c r="H723" i="56"/>
  <c r="L234" i="56"/>
  <c r="L246" i="56"/>
  <c r="H246" i="56" s="1"/>
  <c r="L285" i="56"/>
  <c r="H292" i="56"/>
  <c r="L297" i="56"/>
  <c r="H297" i="56" s="1"/>
  <c r="N410" i="56"/>
  <c r="H425" i="56"/>
  <c r="I435" i="56"/>
  <c r="H435" i="56" s="1"/>
  <c r="H437" i="56"/>
  <c r="H449" i="56"/>
  <c r="L456" i="56"/>
  <c r="H456" i="56" s="1"/>
  <c r="I462" i="56"/>
  <c r="H466" i="56"/>
  <c r="I471" i="56"/>
  <c r="H471" i="56" s="1"/>
  <c r="I474" i="56"/>
  <c r="H474" i="56" s="1"/>
  <c r="I486" i="56"/>
  <c r="I495" i="56"/>
  <c r="H495" i="56" s="1"/>
  <c r="I498" i="56"/>
  <c r="H498" i="56" s="1"/>
  <c r="L558" i="56"/>
  <c r="I567" i="56"/>
  <c r="H567" i="56" s="1"/>
  <c r="H569" i="56"/>
  <c r="H572" i="56"/>
  <c r="L606" i="56"/>
  <c r="L630" i="56"/>
  <c r="H630" i="56" s="1"/>
  <c r="I654" i="56"/>
  <c r="I657" i="56"/>
  <c r="H657" i="56" s="1"/>
  <c r="H662" i="56"/>
  <c r="H670" i="56"/>
  <c r="L672" i="56"/>
  <c r="I678" i="56"/>
  <c r="H678" i="56" s="1"/>
  <c r="I681" i="56"/>
  <c r="H686" i="56"/>
  <c r="H688" i="56"/>
  <c r="L693" i="56"/>
  <c r="H709" i="56"/>
  <c r="H712" i="56"/>
  <c r="L717" i="56"/>
  <c r="H717" i="56" s="1"/>
  <c r="H733" i="56"/>
  <c r="H736" i="56"/>
  <c r="L741" i="56"/>
  <c r="I747" i="56"/>
  <c r="H747" i="56" s="1"/>
  <c r="L225" i="56"/>
  <c r="H244" i="56"/>
  <c r="L249" i="56"/>
  <c r="H254" i="56"/>
  <c r="I279" i="56"/>
  <c r="H279" i="56" s="1"/>
  <c r="H295" i="56"/>
  <c r="L300" i="56"/>
  <c r="I306" i="56"/>
  <c r="H310" i="56"/>
  <c r="I315" i="56"/>
  <c r="H315" i="56" s="1"/>
  <c r="I318" i="56"/>
  <c r="H318" i="56" s="1"/>
  <c r="I330" i="56"/>
  <c r="H330" i="56" s="1"/>
  <c r="L366" i="56"/>
  <c r="H366" i="56" s="1"/>
  <c r="H376" i="56"/>
  <c r="L387" i="56"/>
  <c r="I400" i="56"/>
  <c r="H400" i="56" s="1"/>
  <c r="I423" i="56"/>
  <c r="H423" i="56" s="1"/>
  <c r="H428" i="56"/>
  <c r="H442" i="56"/>
  <c r="I447" i="56"/>
  <c r="H447" i="56" s="1"/>
  <c r="H452" i="56"/>
  <c r="H580" i="56"/>
  <c r="I591" i="56"/>
  <c r="H591" i="56" s="1"/>
  <c r="H596" i="56"/>
  <c r="I615" i="56"/>
  <c r="H620" i="56"/>
  <c r="I639" i="56"/>
  <c r="H639" i="56" s="1"/>
  <c r="H644" i="56"/>
  <c r="L654" i="56"/>
  <c r="L678" i="56"/>
  <c r="H694" i="56"/>
  <c r="L696" i="56"/>
  <c r="I705" i="56"/>
  <c r="H705" i="56" s="1"/>
  <c r="H710" i="56"/>
  <c r="H718" i="56"/>
  <c r="L720" i="56"/>
  <c r="I729" i="56"/>
  <c r="H734" i="56"/>
  <c r="H742" i="56"/>
  <c r="L744" i="56"/>
  <c r="H744" i="56" s="1"/>
  <c r="L342" i="56"/>
  <c r="H355" i="56"/>
  <c r="I360" i="56"/>
  <c r="H360" i="56" s="1"/>
  <c r="H362" i="56"/>
  <c r="I381" i="56"/>
  <c r="H381" i="56" s="1"/>
  <c r="H383" i="56"/>
  <c r="I395" i="56"/>
  <c r="H395" i="56" s="1"/>
  <c r="H413" i="56"/>
  <c r="I438" i="56"/>
  <c r="I450" i="56"/>
  <c r="H450" i="56" s="1"/>
  <c r="I489" i="56"/>
  <c r="H489" i="56" s="1"/>
  <c r="H493" i="56"/>
  <c r="H517" i="56"/>
  <c r="H541" i="56"/>
  <c r="L564" i="56"/>
  <c r="H564" i="56" s="1"/>
  <c r="I573" i="56"/>
  <c r="H578" i="56"/>
  <c r="H586" i="56"/>
  <c r="L588" i="56"/>
  <c r="H604" i="56"/>
  <c r="H628" i="56"/>
  <c r="I663" i="56"/>
  <c r="H663" i="56" s="1"/>
  <c r="H668" i="56"/>
  <c r="H689" i="56"/>
  <c r="L702" i="56"/>
  <c r="H702" i="56" s="1"/>
  <c r="L726" i="56"/>
  <c r="H726" i="56" s="1"/>
  <c r="K410" i="56"/>
  <c r="H469" i="56"/>
  <c r="H520" i="56"/>
  <c r="L525" i="56"/>
  <c r="H544" i="56"/>
  <c r="L549" i="56"/>
  <c r="H557" i="56"/>
  <c r="H562" i="56"/>
  <c r="L570" i="56"/>
  <c r="H570" i="56" s="1"/>
  <c r="I597" i="56"/>
  <c r="H602" i="56"/>
  <c r="H610" i="56"/>
  <c r="L612" i="56"/>
  <c r="H618" i="56"/>
  <c r="I621" i="56"/>
  <c r="H621" i="56" s="1"/>
  <c r="H626" i="56"/>
  <c r="H634" i="56"/>
  <c r="L636" i="56"/>
  <c r="I645" i="56"/>
  <c r="H650" i="56"/>
  <c r="H652" i="56"/>
  <c r="H676" i="56"/>
  <c r="I687" i="56"/>
  <c r="H687" i="56" s="1"/>
  <c r="H692" i="56"/>
  <c r="I711" i="56"/>
  <c r="H711" i="56" s="1"/>
  <c r="H716" i="56"/>
  <c r="H735" i="56"/>
  <c r="L729" i="56"/>
  <c r="H45" i="56"/>
  <c r="N62" i="56"/>
  <c r="N58" i="56" s="1"/>
  <c r="L66" i="56"/>
  <c r="H72" i="56"/>
  <c r="H120" i="56"/>
  <c r="H132" i="56"/>
  <c r="H144" i="56"/>
  <c r="H552" i="56"/>
  <c r="H16" i="56"/>
  <c r="H42" i="56"/>
  <c r="H54" i="56"/>
  <c r="H77" i="56"/>
  <c r="H97" i="56"/>
  <c r="H125" i="56"/>
  <c r="H137" i="56"/>
  <c r="H369" i="56"/>
  <c r="L164" i="56"/>
  <c r="H164" i="56" s="1"/>
  <c r="M161" i="56"/>
  <c r="L161" i="56" s="1"/>
  <c r="I222" i="56"/>
  <c r="H222" i="56" s="1"/>
  <c r="K210" i="56"/>
  <c r="J336" i="56"/>
  <c r="I336" i="56" s="1"/>
  <c r="H336" i="56" s="1"/>
  <c r="I334" i="56"/>
  <c r="H334" i="56" s="1"/>
  <c r="H387" i="56"/>
  <c r="I27" i="56"/>
  <c r="H27" i="56" s="1"/>
  <c r="L65" i="56"/>
  <c r="H65" i="56" s="1"/>
  <c r="L69" i="56"/>
  <c r="H69" i="56" s="1"/>
  <c r="I70" i="56"/>
  <c r="H70" i="56" s="1"/>
  <c r="L81" i="56"/>
  <c r="H81" i="56" s="1"/>
  <c r="K84" i="56"/>
  <c r="I102" i="56"/>
  <c r="H102" i="56" s="1"/>
  <c r="L113" i="56"/>
  <c r="H113" i="56" s="1"/>
  <c r="M114" i="56"/>
  <c r="L117" i="56"/>
  <c r="H117" i="56" s="1"/>
  <c r="L129" i="56"/>
  <c r="H129" i="56" s="1"/>
  <c r="L141" i="56"/>
  <c r="H141" i="56" s="1"/>
  <c r="J165" i="56"/>
  <c r="L168" i="56"/>
  <c r="H168" i="56" s="1"/>
  <c r="M165" i="56"/>
  <c r="H175" i="56"/>
  <c r="K177" i="56"/>
  <c r="H187" i="56"/>
  <c r="K189" i="56"/>
  <c r="H202" i="56"/>
  <c r="N209" i="56"/>
  <c r="N11" i="56" s="1"/>
  <c r="N749" i="56" s="1"/>
  <c r="H225" i="56"/>
  <c r="H234" i="56"/>
  <c r="H249" i="56"/>
  <c r="H258" i="56"/>
  <c r="H300" i="56"/>
  <c r="H306" i="56"/>
  <c r="H321" i="56"/>
  <c r="L398" i="56"/>
  <c r="N391" i="56"/>
  <c r="L391" i="56" s="1"/>
  <c r="H402" i="56"/>
  <c r="H408" i="56"/>
  <c r="L156" i="56"/>
  <c r="H156" i="56" s="1"/>
  <c r="M153" i="56"/>
  <c r="H174" i="56"/>
  <c r="H198" i="56"/>
  <c r="M210" i="56"/>
  <c r="L210" i="56" s="1"/>
  <c r="H342" i="56"/>
  <c r="H401" i="56"/>
  <c r="J410" i="56"/>
  <c r="I410" i="56" s="1"/>
  <c r="M17" i="56"/>
  <c r="J56" i="56"/>
  <c r="J66" i="56"/>
  <c r="J78" i="56"/>
  <c r="I78" i="56" s="1"/>
  <c r="H78" i="56" s="1"/>
  <c r="M93" i="56"/>
  <c r="L93" i="56" s="1"/>
  <c r="H93" i="56" s="1"/>
  <c r="M105" i="56"/>
  <c r="L105" i="56" s="1"/>
  <c r="H105" i="56" s="1"/>
  <c r="M109" i="56"/>
  <c r="L109" i="56" s="1"/>
  <c r="H109" i="56" s="1"/>
  <c r="J110" i="56"/>
  <c r="I110" i="56" s="1"/>
  <c r="H110" i="56" s="1"/>
  <c r="J114" i="56"/>
  <c r="J126" i="56"/>
  <c r="I126" i="56" s="1"/>
  <c r="H126" i="56" s="1"/>
  <c r="J138" i="56"/>
  <c r="I138" i="56" s="1"/>
  <c r="H138" i="56" s="1"/>
  <c r="M149" i="56"/>
  <c r="L149" i="56" s="1"/>
  <c r="H149" i="56" s="1"/>
  <c r="J150" i="56"/>
  <c r="I150" i="56" s="1"/>
  <c r="I171" i="56"/>
  <c r="H171" i="56" s="1"/>
  <c r="I176" i="56"/>
  <c r="H176" i="56" s="1"/>
  <c r="M177" i="56"/>
  <c r="L177" i="56" s="1"/>
  <c r="I183" i="56"/>
  <c r="H183" i="56" s="1"/>
  <c r="I188" i="56"/>
  <c r="H188" i="56" s="1"/>
  <c r="M189" i="56"/>
  <c r="L189" i="56" s="1"/>
  <c r="I195" i="56"/>
  <c r="H195" i="56" s="1"/>
  <c r="I203" i="56"/>
  <c r="H203" i="56" s="1"/>
  <c r="I207" i="56"/>
  <c r="H207" i="56" s="1"/>
  <c r="J204" i="56"/>
  <c r="I204" i="56" s="1"/>
  <c r="H204" i="56" s="1"/>
  <c r="J213" i="56"/>
  <c r="H218" i="56"/>
  <c r="N215" i="56"/>
  <c r="N211" i="56" s="1"/>
  <c r="H229" i="56"/>
  <c r="L237" i="56"/>
  <c r="H237" i="56" s="1"/>
  <c r="H253" i="56"/>
  <c r="L261" i="56"/>
  <c r="H261" i="56" s="1"/>
  <c r="H275" i="56"/>
  <c r="L288" i="56"/>
  <c r="H288" i="56" s="1"/>
  <c r="H301" i="56"/>
  <c r="L309" i="56"/>
  <c r="H309" i="56" s="1"/>
  <c r="H322" i="56"/>
  <c r="H325" i="56"/>
  <c r="L333" i="56"/>
  <c r="H333" i="56" s="1"/>
  <c r="H335" i="56"/>
  <c r="I339" i="56"/>
  <c r="H339" i="56" s="1"/>
  <c r="I348" i="56"/>
  <c r="H348" i="56" s="1"/>
  <c r="H350" i="56"/>
  <c r="L351" i="56"/>
  <c r="H351" i="56" s="1"/>
  <c r="I363" i="56"/>
  <c r="H363" i="56" s="1"/>
  <c r="I372" i="56"/>
  <c r="H372" i="56" s="1"/>
  <c r="I384" i="56"/>
  <c r="H384" i="56" s="1"/>
  <c r="I390" i="56"/>
  <c r="H390" i="56" s="1"/>
  <c r="H398" i="56"/>
  <c r="I426" i="56"/>
  <c r="H426" i="56" s="1"/>
  <c r="H485" i="56"/>
  <c r="I522" i="56"/>
  <c r="H522" i="56" s="1"/>
  <c r="J177" i="56"/>
  <c r="J189" i="56"/>
  <c r="M204" i="56"/>
  <c r="L204" i="56" s="1"/>
  <c r="M209" i="56"/>
  <c r="L209" i="56" s="1"/>
  <c r="J210" i="56"/>
  <c r="J391" i="56"/>
  <c r="I391" i="56" s="1"/>
  <c r="H391" i="56" s="1"/>
  <c r="L408" i="56"/>
  <c r="L409" i="56"/>
  <c r="H409" i="56" s="1"/>
  <c r="H429" i="56"/>
  <c r="H453" i="56"/>
  <c r="H462" i="56"/>
  <c r="H477" i="56"/>
  <c r="H486" i="56"/>
  <c r="H501" i="56"/>
  <c r="H510" i="56"/>
  <c r="H525" i="56"/>
  <c r="H534" i="56"/>
  <c r="H549" i="56"/>
  <c r="H558" i="56"/>
  <c r="H612" i="56"/>
  <c r="H708" i="56"/>
  <c r="H397" i="56"/>
  <c r="L417" i="56"/>
  <c r="H417" i="56" s="1"/>
  <c r="M410" i="56"/>
  <c r="L410" i="56" s="1"/>
  <c r="H422" i="56"/>
  <c r="H430" i="56"/>
  <c r="H433" i="56"/>
  <c r="L441" i="56"/>
  <c r="H441" i="56" s="1"/>
  <c r="H446" i="56"/>
  <c r="H454" i="56"/>
  <c r="H457" i="56"/>
  <c r="L465" i="56"/>
  <c r="H465" i="56" s="1"/>
  <c r="H481" i="56"/>
  <c r="L489" i="56"/>
  <c r="H505" i="56"/>
  <c r="L513" i="56"/>
  <c r="H513" i="56" s="1"/>
  <c r="H529" i="56"/>
  <c r="L537" i="56"/>
  <c r="H537" i="56" s="1"/>
  <c r="H553" i="56"/>
  <c r="H573" i="56"/>
  <c r="H654" i="56"/>
  <c r="H669" i="56"/>
  <c r="H576" i="56"/>
  <c r="H585" i="56"/>
  <c r="H624" i="56"/>
  <c r="H633" i="56"/>
  <c r="H672" i="56"/>
  <c r="H681" i="56"/>
  <c r="H690" i="56"/>
  <c r="H720" i="56"/>
  <c r="H729" i="56"/>
  <c r="H588" i="56"/>
  <c r="H594" i="56"/>
  <c r="H597" i="56"/>
  <c r="H636" i="56"/>
  <c r="H642" i="56"/>
  <c r="H645" i="56"/>
  <c r="H684" i="56"/>
  <c r="H693" i="56"/>
  <c r="H732" i="56"/>
  <c r="H738" i="56"/>
  <c r="H741" i="56"/>
  <c r="K215" i="56" l="1"/>
  <c r="K211" i="56" s="1"/>
  <c r="M60" i="56"/>
  <c r="N13" i="56"/>
  <c r="N751" i="56" s="1"/>
  <c r="I60" i="56"/>
  <c r="H410" i="56"/>
  <c r="H161" i="56"/>
  <c r="K11" i="56"/>
  <c r="K749" i="56" s="1"/>
  <c r="K61" i="56"/>
  <c r="K57" i="56" s="1"/>
  <c r="K12" i="56" s="1"/>
  <c r="K750" i="56" s="1"/>
  <c r="I84" i="56"/>
  <c r="H84" i="56" s="1"/>
  <c r="H303" i="56"/>
  <c r="H406" i="56"/>
  <c r="I189" i="56"/>
  <c r="H189" i="56" s="1"/>
  <c r="I114" i="56"/>
  <c r="J111" i="56"/>
  <c r="I111" i="56" s="1"/>
  <c r="L60" i="56"/>
  <c r="H60" i="56" s="1"/>
  <c r="M56" i="56"/>
  <c r="L165" i="56"/>
  <c r="M162" i="56"/>
  <c r="L162" i="56" s="1"/>
  <c r="L215" i="56"/>
  <c r="I210" i="56"/>
  <c r="H210" i="56" s="1"/>
  <c r="I177" i="56"/>
  <c r="H177" i="56" s="1"/>
  <c r="I213" i="56"/>
  <c r="H213" i="56" s="1"/>
  <c r="J209" i="56"/>
  <c r="I209" i="56" s="1"/>
  <c r="H209" i="56" s="1"/>
  <c r="I56" i="56"/>
  <c r="M211" i="56"/>
  <c r="L211" i="56" s="1"/>
  <c r="L153" i="56"/>
  <c r="H153" i="56" s="1"/>
  <c r="M150" i="56"/>
  <c r="L150" i="56" s="1"/>
  <c r="H150" i="56" s="1"/>
  <c r="M61" i="56"/>
  <c r="I66" i="56"/>
  <c r="H66" i="56" s="1"/>
  <c r="L17" i="56"/>
  <c r="H17" i="56" s="1"/>
  <c r="I165" i="56"/>
  <c r="J162" i="56"/>
  <c r="I162" i="56" s="1"/>
  <c r="H162" i="56" s="1"/>
  <c r="K62" i="56"/>
  <c r="K58" i="56" s="1"/>
  <c r="K13" i="56" s="1"/>
  <c r="K751" i="56" s="1"/>
  <c r="J61" i="56"/>
  <c r="L114" i="56"/>
  <c r="M111" i="56"/>
  <c r="L111" i="56" s="1"/>
  <c r="J215" i="56"/>
  <c r="M62" i="56" l="1"/>
  <c r="J62" i="56"/>
  <c r="L62" i="56"/>
  <c r="M58" i="56"/>
  <c r="H165" i="56"/>
  <c r="H111" i="56"/>
  <c r="I215" i="56"/>
  <c r="H215" i="56" s="1"/>
  <c r="J211" i="56"/>
  <c r="I211" i="56" s="1"/>
  <c r="H211" i="56" s="1"/>
  <c r="J57" i="56"/>
  <c r="I61" i="56"/>
  <c r="L61" i="56"/>
  <c r="M57" i="56"/>
  <c r="H114" i="56"/>
  <c r="J11" i="56"/>
  <c r="L56" i="56"/>
  <c r="H56" i="56" s="1"/>
  <c r="M11" i="56"/>
  <c r="L57" i="56" l="1"/>
  <c r="M12" i="56"/>
  <c r="L58" i="56"/>
  <c r="M13" i="56"/>
  <c r="M749" i="56"/>
  <c r="L11" i="56"/>
  <c r="L749" i="56" s="1"/>
  <c r="J12" i="56"/>
  <c r="I57" i="56"/>
  <c r="H57" i="56" s="1"/>
  <c r="J749" i="56"/>
  <c r="I11" i="56"/>
  <c r="H61" i="56"/>
  <c r="I62" i="56"/>
  <c r="H62" i="56" s="1"/>
  <c r="J58" i="56"/>
  <c r="M751" i="56" l="1"/>
  <c r="L13" i="56"/>
  <c r="L751" i="56" s="1"/>
  <c r="J750" i="56"/>
  <c r="I12" i="56"/>
  <c r="I749" i="56"/>
  <c r="H11" i="56"/>
  <c r="H749" i="56" s="1"/>
  <c r="M750" i="56"/>
  <c r="L12" i="56"/>
  <c r="L750" i="56" s="1"/>
  <c r="I58" i="56"/>
  <c r="H58" i="56" s="1"/>
  <c r="J13" i="56"/>
  <c r="I750" i="56" l="1"/>
  <c r="H12" i="56"/>
  <c r="H750" i="56" s="1"/>
  <c r="J751" i="56"/>
  <c r="I13" i="56"/>
  <c r="I751" i="56" l="1"/>
  <c r="H13" i="56"/>
  <c r="H751" i="56" s="1"/>
  <c r="H118" i="55" l="1"/>
  <c r="G118" i="55"/>
  <c r="H117" i="55"/>
  <c r="G117" i="55"/>
  <c r="W116" i="55"/>
  <c r="V116" i="55"/>
  <c r="T116" i="55"/>
  <c r="S116" i="55"/>
  <c r="Q116" i="55"/>
  <c r="P116" i="55"/>
  <c r="M116" i="55"/>
  <c r="L116" i="55"/>
  <c r="H116" i="55"/>
  <c r="G116" i="55"/>
  <c r="H115" i="55"/>
  <c r="G115" i="55"/>
  <c r="W114" i="55"/>
  <c r="W117" i="55" s="1"/>
  <c r="V114" i="55"/>
  <c r="V117" i="55" s="1"/>
  <c r="T114" i="55"/>
  <c r="T117" i="55" s="1"/>
  <c r="S114" i="55"/>
  <c r="Q114" i="55"/>
  <c r="Q117" i="55" s="1"/>
  <c r="P114" i="55"/>
  <c r="P117" i="55" s="1"/>
  <c r="M114" i="55"/>
  <c r="M117" i="55" s="1"/>
  <c r="L114" i="55"/>
  <c r="L117" i="55" s="1"/>
  <c r="W112" i="55"/>
  <c r="V112" i="55"/>
  <c r="T112" i="55"/>
  <c r="S112" i="55"/>
  <c r="Q112" i="55"/>
  <c r="P112" i="55"/>
  <c r="M112" i="55"/>
  <c r="L112" i="55"/>
  <c r="U111" i="55"/>
  <c r="R111" i="55"/>
  <c r="O111" i="55"/>
  <c r="K111" i="55"/>
  <c r="U109" i="55"/>
  <c r="U112" i="55" s="1"/>
  <c r="R109" i="55"/>
  <c r="R112" i="55" s="1"/>
  <c r="O109" i="55"/>
  <c r="N109" i="55" s="1"/>
  <c r="K109" i="55"/>
  <c r="H109" i="55"/>
  <c r="G109" i="55"/>
  <c r="W107" i="55"/>
  <c r="V107" i="55"/>
  <c r="T107" i="55"/>
  <c r="S107" i="55"/>
  <c r="Q107" i="55"/>
  <c r="P107" i="55"/>
  <c r="M107" i="55"/>
  <c r="L107" i="55"/>
  <c r="U106" i="55"/>
  <c r="U107" i="55" s="1"/>
  <c r="R106" i="55"/>
  <c r="N106" i="55" s="1"/>
  <c r="J106" i="55" s="1"/>
  <c r="O106" i="55"/>
  <c r="K106" i="55"/>
  <c r="U104" i="55"/>
  <c r="R104" i="55"/>
  <c r="O104" i="55"/>
  <c r="O107" i="55" s="1"/>
  <c r="K104" i="55"/>
  <c r="K107" i="55" s="1"/>
  <c r="H104" i="55"/>
  <c r="G104" i="55"/>
  <c r="W102" i="55"/>
  <c r="V102" i="55"/>
  <c r="T102" i="55"/>
  <c r="S102" i="55"/>
  <c r="Q102" i="55"/>
  <c r="P102" i="55"/>
  <c r="M102" i="55"/>
  <c r="L102" i="55"/>
  <c r="U101" i="55"/>
  <c r="R101" i="55"/>
  <c r="O101" i="55"/>
  <c r="K101" i="55"/>
  <c r="U99" i="55"/>
  <c r="R99" i="55"/>
  <c r="R102" i="55" s="1"/>
  <c r="O99" i="55"/>
  <c r="O102" i="55" s="1"/>
  <c r="K99" i="55"/>
  <c r="H99" i="55"/>
  <c r="G99" i="55"/>
  <c r="W97" i="55"/>
  <c r="V97" i="55"/>
  <c r="U97" i="55"/>
  <c r="T97" i="55"/>
  <c r="S97" i="55"/>
  <c r="Q97" i="55"/>
  <c r="P97" i="55"/>
  <c r="M97" i="55"/>
  <c r="L97" i="55"/>
  <c r="U96" i="55"/>
  <c r="R96" i="55"/>
  <c r="O96" i="55"/>
  <c r="K96" i="55"/>
  <c r="U94" i="55"/>
  <c r="R94" i="55"/>
  <c r="O94" i="55"/>
  <c r="K94" i="55"/>
  <c r="H94" i="55"/>
  <c r="G94" i="55"/>
  <c r="W92" i="55"/>
  <c r="V92" i="55"/>
  <c r="T92" i="55"/>
  <c r="S92" i="55"/>
  <c r="Q92" i="55"/>
  <c r="P92" i="55"/>
  <c r="M92" i="55"/>
  <c r="L92" i="55"/>
  <c r="U91" i="55"/>
  <c r="R91" i="55"/>
  <c r="O91" i="55"/>
  <c r="K91" i="55"/>
  <c r="U89" i="55"/>
  <c r="N89" i="55" s="1"/>
  <c r="R89" i="55"/>
  <c r="R92" i="55" s="1"/>
  <c r="O89" i="55"/>
  <c r="O92" i="55" s="1"/>
  <c r="K89" i="55"/>
  <c r="K92" i="55" s="1"/>
  <c r="H89" i="55"/>
  <c r="G89" i="55"/>
  <c r="W87" i="55"/>
  <c r="V87" i="55"/>
  <c r="T87" i="55"/>
  <c r="S87" i="55"/>
  <c r="Q87" i="55"/>
  <c r="P87" i="55"/>
  <c r="M87" i="55"/>
  <c r="L87" i="55"/>
  <c r="U86" i="55"/>
  <c r="R86" i="55"/>
  <c r="O86" i="55"/>
  <c r="K86" i="55"/>
  <c r="U84" i="55"/>
  <c r="U87" i="55" s="1"/>
  <c r="R84" i="55"/>
  <c r="O84" i="55"/>
  <c r="K84" i="55"/>
  <c r="K87" i="55" s="1"/>
  <c r="H84" i="55"/>
  <c r="G84" i="55"/>
  <c r="W82" i="55"/>
  <c r="V82" i="55"/>
  <c r="T82" i="55"/>
  <c r="S82" i="55"/>
  <c r="Q82" i="55"/>
  <c r="P82" i="55"/>
  <c r="M82" i="55"/>
  <c r="L82" i="55"/>
  <c r="U81" i="55"/>
  <c r="U82" i="55" s="1"/>
  <c r="R81" i="55"/>
  <c r="O81" i="55"/>
  <c r="K81" i="55"/>
  <c r="U79" i="55"/>
  <c r="R79" i="55"/>
  <c r="R82" i="55" s="1"/>
  <c r="O79" i="55"/>
  <c r="O82" i="55" s="1"/>
  <c r="K79" i="55"/>
  <c r="H79" i="55"/>
  <c r="G79" i="55"/>
  <c r="W77" i="55"/>
  <c r="V77" i="55"/>
  <c r="T77" i="55"/>
  <c r="S77" i="55"/>
  <c r="Q77" i="55"/>
  <c r="P77" i="55"/>
  <c r="M77" i="55"/>
  <c r="L77" i="55"/>
  <c r="U76" i="55"/>
  <c r="R76" i="55"/>
  <c r="O76" i="55"/>
  <c r="K76" i="55"/>
  <c r="U74" i="55"/>
  <c r="R74" i="55"/>
  <c r="R77" i="55" s="1"/>
  <c r="O74" i="55"/>
  <c r="K74" i="55"/>
  <c r="H74" i="55"/>
  <c r="G74" i="55"/>
  <c r="W72" i="55"/>
  <c r="V72" i="55"/>
  <c r="T72" i="55"/>
  <c r="S72" i="55"/>
  <c r="Q72" i="55"/>
  <c r="P72" i="55"/>
  <c r="M72" i="55"/>
  <c r="L72" i="55"/>
  <c r="U71" i="55"/>
  <c r="R71" i="55"/>
  <c r="O71" i="55"/>
  <c r="K71" i="55"/>
  <c r="U69" i="55"/>
  <c r="U72" i="55" s="1"/>
  <c r="R69" i="55"/>
  <c r="O69" i="55"/>
  <c r="N69" i="55"/>
  <c r="J69" i="55" s="1"/>
  <c r="K69" i="55"/>
  <c r="H69" i="55"/>
  <c r="G69" i="55"/>
  <c r="W67" i="55"/>
  <c r="V67" i="55"/>
  <c r="T67" i="55"/>
  <c r="S67" i="55"/>
  <c r="Q67" i="55"/>
  <c r="P67" i="55"/>
  <c r="M67" i="55"/>
  <c r="L67" i="55"/>
  <c r="U66" i="55"/>
  <c r="R66" i="55"/>
  <c r="O66" i="55"/>
  <c r="K66" i="55"/>
  <c r="U64" i="55"/>
  <c r="R64" i="55"/>
  <c r="O64" i="55"/>
  <c r="O67" i="55" s="1"/>
  <c r="K64" i="55"/>
  <c r="H64" i="55"/>
  <c r="G64" i="55"/>
  <c r="W62" i="55"/>
  <c r="V62" i="55"/>
  <c r="U62" i="55"/>
  <c r="T62" i="55"/>
  <c r="S62" i="55"/>
  <c r="Q62" i="55"/>
  <c r="P62" i="55"/>
  <c r="M62" i="55"/>
  <c r="L62" i="55"/>
  <c r="U61" i="55"/>
  <c r="R61" i="55"/>
  <c r="N61" i="55" s="1"/>
  <c r="J61" i="55" s="1"/>
  <c r="O61" i="55"/>
  <c r="K61" i="55"/>
  <c r="U59" i="55"/>
  <c r="R59" i="55"/>
  <c r="O59" i="55"/>
  <c r="O62" i="55" s="1"/>
  <c r="K59" i="55"/>
  <c r="H59" i="55"/>
  <c r="G59" i="55"/>
  <c r="W57" i="55"/>
  <c r="V57" i="55"/>
  <c r="T57" i="55"/>
  <c r="S57" i="55"/>
  <c r="Q57" i="55"/>
  <c r="P57" i="55"/>
  <c r="M57" i="55"/>
  <c r="L57" i="55"/>
  <c r="U56" i="55"/>
  <c r="U57" i="55" s="1"/>
  <c r="R56" i="55"/>
  <c r="O56" i="55"/>
  <c r="K56" i="55"/>
  <c r="U54" i="55"/>
  <c r="R54" i="55"/>
  <c r="O54" i="55"/>
  <c r="O57" i="55" s="1"/>
  <c r="K54" i="55"/>
  <c r="H54" i="55"/>
  <c r="G54" i="55"/>
  <c r="W52" i="55"/>
  <c r="V52" i="55"/>
  <c r="T52" i="55"/>
  <c r="S52" i="55"/>
  <c r="Q52" i="55"/>
  <c r="P52" i="55"/>
  <c r="M52" i="55"/>
  <c r="L52" i="55"/>
  <c r="U51" i="55"/>
  <c r="R51" i="55"/>
  <c r="N51" i="55" s="1"/>
  <c r="O51" i="55"/>
  <c r="K51" i="55"/>
  <c r="U49" i="55"/>
  <c r="U52" i="55" s="1"/>
  <c r="R49" i="55"/>
  <c r="O49" i="55"/>
  <c r="O52" i="55" s="1"/>
  <c r="K49" i="55"/>
  <c r="H49" i="55"/>
  <c r="G49" i="55"/>
  <c r="W47" i="55"/>
  <c r="V47" i="55"/>
  <c r="T47" i="55"/>
  <c r="S47" i="55"/>
  <c r="Q47" i="55"/>
  <c r="P47" i="55"/>
  <c r="M47" i="55"/>
  <c r="L47" i="55"/>
  <c r="U46" i="55"/>
  <c r="U47" i="55" s="1"/>
  <c r="R46" i="55"/>
  <c r="O46" i="55"/>
  <c r="K46" i="55"/>
  <c r="U44" i="55"/>
  <c r="R44" i="55"/>
  <c r="R47" i="55" s="1"/>
  <c r="O44" i="55"/>
  <c r="O47" i="55" s="1"/>
  <c r="K44" i="55"/>
  <c r="H44" i="55"/>
  <c r="G44" i="55"/>
  <c r="W42" i="55"/>
  <c r="V42" i="55"/>
  <c r="T42" i="55"/>
  <c r="S42" i="55"/>
  <c r="Q42" i="55"/>
  <c r="P42" i="55"/>
  <c r="M42" i="55"/>
  <c r="L42" i="55"/>
  <c r="U41" i="55"/>
  <c r="R41" i="55"/>
  <c r="O41" i="55"/>
  <c r="K41" i="55"/>
  <c r="U39" i="55"/>
  <c r="U42" i="55" s="1"/>
  <c r="R39" i="55"/>
  <c r="N39" i="55" s="1"/>
  <c r="J39" i="55" s="1"/>
  <c r="O39" i="55"/>
  <c r="K39" i="55"/>
  <c r="K42" i="55" s="1"/>
  <c r="H39" i="55"/>
  <c r="G39" i="55"/>
  <c r="W37" i="55"/>
  <c r="V37" i="55"/>
  <c r="T37" i="55"/>
  <c r="S37" i="55"/>
  <c r="Q37" i="55"/>
  <c r="P37" i="55"/>
  <c r="M37" i="55"/>
  <c r="L37" i="55"/>
  <c r="U36" i="55"/>
  <c r="U37" i="55" s="1"/>
  <c r="R36" i="55"/>
  <c r="O36" i="55"/>
  <c r="K36" i="55"/>
  <c r="U34" i="55"/>
  <c r="R34" i="55"/>
  <c r="R37" i="55" s="1"/>
  <c r="O34" i="55"/>
  <c r="K34" i="55"/>
  <c r="H34" i="55"/>
  <c r="G34" i="55"/>
  <c r="W32" i="55"/>
  <c r="V32" i="55"/>
  <c r="T32" i="55"/>
  <c r="S32" i="55"/>
  <c r="Q32" i="55"/>
  <c r="P32" i="55"/>
  <c r="M32" i="55"/>
  <c r="L32" i="55"/>
  <c r="U31" i="55"/>
  <c r="R31" i="55"/>
  <c r="O31" i="55"/>
  <c r="K31" i="55"/>
  <c r="U29" i="55"/>
  <c r="U32" i="55" s="1"/>
  <c r="R29" i="55"/>
  <c r="O29" i="55"/>
  <c r="N29" i="55"/>
  <c r="J29" i="55" s="1"/>
  <c r="K29" i="55"/>
  <c r="K32" i="55" s="1"/>
  <c r="H29" i="55"/>
  <c r="G29" i="55"/>
  <c r="W27" i="55"/>
  <c r="V27" i="55"/>
  <c r="T27" i="55"/>
  <c r="S27" i="55"/>
  <c r="Q27" i="55"/>
  <c r="P27" i="55"/>
  <c r="M27" i="55"/>
  <c r="L27" i="55"/>
  <c r="U26" i="55"/>
  <c r="R26" i="55"/>
  <c r="O26" i="55"/>
  <c r="K26" i="55"/>
  <c r="U24" i="55"/>
  <c r="R24" i="55"/>
  <c r="O24" i="55"/>
  <c r="O27" i="55" s="1"/>
  <c r="K24" i="55"/>
  <c r="H24" i="55"/>
  <c r="G24" i="55"/>
  <c r="W22" i="55"/>
  <c r="V22" i="55"/>
  <c r="U22" i="55"/>
  <c r="T22" i="55"/>
  <c r="S22" i="55"/>
  <c r="Q22" i="55"/>
  <c r="P22" i="55"/>
  <c r="M22" i="55"/>
  <c r="L22" i="55"/>
  <c r="U21" i="55"/>
  <c r="R21" i="55"/>
  <c r="R116" i="55" s="1"/>
  <c r="O21" i="55"/>
  <c r="O116" i="55" s="1"/>
  <c r="K21" i="55"/>
  <c r="U19" i="55"/>
  <c r="U114" i="55" s="1"/>
  <c r="R19" i="55"/>
  <c r="O19" i="55"/>
  <c r="N19" i="55" s="1"/>
  <c r="K19" i="55"/>
  <c r="H19" i="55"/>
  <c r="G19" i="55"/>
  <c r="K114" i="55" l="1"/>
  <c r="O32" i="55"/>
  <c r="R57" i="55"/>
  <c r="K62" i="55"/>
  <c r="O72" i="55"/>
  <c r="N84" i="55"/>
  <c r="O97" i="55"/>
  <c r="N111" i="55"/>
  <c r="J111" i="55" s="1"/>
  <c r="J51" i="55"/>
  <c r="N59" i="55"/>
  <c r="J59" i="55" s="1"/>
  <c r="J62" i="55" s="1"/>
  <c r="U77" i="55"/>
  <c r="O87" i="55"/>
  <c r="R97" i="55"/>
  <c r="K112" i="55"/>
  <c r="K52" i="55"/>
  <c r="N91" i="55"/>
  <c r="J91" i="55" s="1"/>
  <c r="U92" i="55"/>
  <c r="U102" i="55"/>
  <c r="H114" i="55"/>
  <c r="U27" i="55"/>
  <c r="O37" i="55"/>
  <c r="N41" i="55"/>
  <c r="J41" i="55" s="1"/>
  <c r="J42" i="55" s="1"/>
  <c r="N49" i="55"/>
  <c r="J49" i="55" s="1"/>
  <c r="J52" i="55" s="1"/>
  <c r="U67" i="55"/>
  <c r="O77" i="55"/>
  <c r="J96" i="55"/>
  <c r="N99" i="55"/>
  <c r="N102" i="55" s="1"/>
  <c r="O112" i="55"/>
  <c r="N31" i="55"/>
  <c r="J31" i="55" s="1"/>
  <c r="J32" i="55" s="1"/>
  <c r="N71" i="55"/>
  <c r="J71" i="55" s="1"/>
  <c r="J72" i="55" s="1"/>
  <c r="N79" i="55"/>
  <c r="J79" i="55" s="1"/>
  <c r="G114" i="55"/>
  <c r="N96" i="55"/>
  <c r="S117" i="55"/>
  <c r="R27" i="55"/>
  <c r="O42" i="55"/>
  <c r="R67" i="55"/>
  <c r="K72" i="55"/>
  <c r="N86" i="55"/>
  <c r="J86" i="55" s="1"/>
  <c r="N104" i="55"/>
  <c r="J46" i="55"/>
  <c r="J66" i="55"/>
  <c r="K116" i="55"/>
  <c r="K117" i="55" s="1"/>
  <c r="R22" i="55"/>
  <c r="N26" i="55"/>
  <c r="J26" i="55" s="1"/>
  <c r="R32" i="55"/>
  <c r="N36" i="55"/>
  <c r="J36" i="55" s="1"/>
  <c r="R42" i="55"/>
  <c r="N46" i="55"/>
  <c r="R52" i="55"/>
  <c r="N56" i="55"/>
  <c r="J56" i="55" s="1"/>
  <c r="R62" i="55"/>
  <c r="N66" i="55"/>
  <c r="R72" i="55"/>
  <c r="N76" i="55"/>
  <c r="J76" i="55" s="1"/>
  <c r="J84" i="55"/>
  <c r="N107" i="55"/>
  <c r="J104" i="55"/>
  <c r="J107" i="55" s="1"/>
  <c r="O114" i="55"/>
  <c r="O117" i="55" s="1"/>
  <c r="O22" i="55"/>
  <c r="U116" i="55"/>
  <c r="U117" i="55" s="1"/>
  <c r="N22" i="55"/>
  <c r="K27" i="55"/>
  <c r="K37" i="55"/>
  <c r="N42" i="55"/>
  <c r="K47" i="55"/>
  <c r="K57" i="55"/>
  <c r="N62" i="55"/>
  <c r="K67" i="55"/>
  <c r="K77" i="55"/>
  <c r="N92" i="55"/>
  <c r="J89" i="55"/>
  <c r="J92" i="55" s="1"/>
  <c r="K97" i="55"/>
  <c r="N112" i="55"/>
  <c r="J109" i="55"/>
  <c r="J112" i="55" s="1"/>
  <c r="J19" i="55"/>
  <c r="R114" i="55"/>
  <c r="R117" i="55" s="1"/>
  <c r="N21" i="55"/>
  <c r="N24" i="55"/>
  <c r="N34" i="55"/>
  <c r="N44" i="55"/>
  <c r="N54" i="55"/>
  <c r="N64" i="55"/>
  <c r="N74" i="55"/>
  <c r="K82" i="55"/>
  <c r="N81" i="55"/>
  <c r="J81" i="55" s="1"/>
  <c r="R87" i="55"/>
  <c r="N94" i="55"/>
  <c r="K102" i="55"/>
  <c r="N101" i="55"/>
  <c r="J101" i="55" s="1"/>
  <c r="R107" i="55"/>
  <c r="K22" i="55"/>
  <c r="N52" i="55" l="1"/>
  <c r="J99" i="55"/>
  <c r="J102" i="55" s="1"/>
  <c r="N72" i="55"/>
  <c r="N32" i="55"/>
  <c r="J87" i="55"/>
  <c r="N87" i="55"/>
  <c r="N97" i="55"/>
  <c r="J94" i="55"/>
  <c r="J97" i="55" s="1"/>
  <c r="J74" i="55"/>
  <c r="J77" i="55" s="1"/>
  <c r="N77" i="55"/>
  <c r="J34" i="55"/>
  <c r="J37" i="55" s="1"/>
  <c r="N37" i="55"/>
  <c r="J64" i="55"/>
  <c r="J67" i="55" s="1"/>
  <c r="N67" i="55"/>
  <c r="J24" i="55"/>
  <c r="J27" i="55" s="1"/>
  <c r="N27" i="55"/>
  <c r="N114" i="55"/>
  <c r="J54" i="55"/>
  <c r="J57" i="55" s="1"/>
  <c r="N57" i="55"/>
  <c r="N116" i="55"/>
  <c r="J21" i="55"/>
  <c r="J116" i="55" s="1"/>
  <c r="J82" i="55"/>
  <c r="J44" i="55"/>
  <c r="J47" i="55" s="1"/>
  <c r="N47" i="55"/>
  <c r="N82" i="55"/>
  <c r="N117" i="55" l="1"/>
  <c r="J22" i="55"/>
  <c r="J114" i="55"/>
  <c r="J117" i="55" s="1"/>
  <c r="X545" i="54" l="1"/>
  <c r="X550" i="54" s="1"/>
  <c r="W545" i="54"/>
  <c r="U545" i="54"/>
  <c r="T545" i="54"/>
  <c r="R545" i="54"/>
  <c r="Q545" i="54"/>
  <c r="N545" i="54"/>
  <c r="M545" i="54"/>
  <c r="M550" i="54" s="1"/>
  <c r="X543" i="54"/>
  <c r="W543" i="54"/>
  <c r="U543" i="54"/>
  <c r="T543" i="54"/>
  <c r="R543" i="54"/>
  <c r="R546" i="54" s="1"/>
  <c r="Q543" i="54"/>
  <c r="N543" i="54"/>
  <c r="M543" i="54"/>
  <c r="M546" i="54" s="1"/>
  <c r="X541" i="54"/>
  <c r="W541" i="54"/>
  <c r="U541" i="54"/>
  <c r="T541" i="54"/>
  <c r="S541" i="54"/>
  <c r="R541" i="54"/>
  <c r="Q541" i="54"/>
  <c r="N541" i="54"/>
  <c r="M541" i="54"/>
  <c r="V540" i="54"/>
  <c r="S540" i="54"/>
  <c r="P540" i="54"/>
  <c r="P541" i="54" s="1"/>
  <c r="L540" i="54"/>
  <c r="V538" i="54"/>
  <c r="S538" i="54"/>
  <c r="P538" i="54"/>
  <c r="L538" i="54"/>
  <c r="X536" i="54"/>
  <c r="W536" i="54"/>
  <c r="U536" i="54"/>
  <c r="T536" i="54"/>
  <c r="R536" i="54"/>
  <c r="Q536" i="54"/>
  <c r="N536" i="54"/>
  <c r="M536" i="54"/>
  <c r="V535" i="54"/>
  <c r="S535" i="54"/>
  <c r="P535" i="54"/>
  <c r="O535" i="54" s="1"/>
  <c r="L535" i="54"/>
  <c r="V533" i="54"/>
  <c r="V536" i="54" s="1"/>
  <c r="S533" i="54"/>
  <c r="S536" i="54" s="1"/>
  <c r="P533" i="54"/>
  <c r="L533" i="54"/>
  <c r="L536" i="54" s="1"/>
  <c r="X531" i="54"/>
  <c r="W531" i="54"/>
  <c r="U531" i="54"/>
  <c r="T531" i="54"/>
  <c r="R531" i="54"/>
  <c r="Q531" i="54"/>
  <c r="N531" i="54"/>
  <c r="M531" i="54"/>
  <c r="V530" i="54"/>
  <c r="S530" i="54"/>
  <c r="P530" i="54"/>
  <c r="P531" i="54" s="1"/>
  <c r="O530" i="54"/>
  <c r="K530" i="54" s="1"/>
  <c r="L530" i="54"/>
  <c r="V528" i="54"/>
  <c r="V531" i="54" s="1"/>
  <c r="S528" i="54"/>
  <c r="S531" i="54" s="1"/>
  <c r="P528" i="54"/>
  <c r="L528" i="54"/>
  <c r="L531" i="54" s="1"/>
  <c r="X526" i="54"/>
  <c r="W526" i="54"/>
  <c r="U526" i="54"/>
  <c r="T526" i="54"/>
  <c r="R526" i="54"/>
  <c r="Q526" i="54"/>
  <c r="N526" i="54"/>
  <c r="M526" i="54"/>
  <c r="V525" i="54"/>
  <c r="S525" i="54"/>
  <c r="P525" i="54"/>
  <c r="L525" i="54"/>
  <c r="V523" i="54"/>
  <c r="V526" i="54" s="1"/>
  <c r="S523" i="54"/>
  <c r="S526" i="54" s="1"/>
  <c r="P523" i="54"/>
  <c r="O523" i="54" s="1"/>
  <c r="L523" i="54"/>
  <c r="L526" i="54" s="1"/>
  <c r="X521" i="54"/>
  <c r="W521" i="54"/>
  <c r="U521" i="54"/>
  <c r="T521" i="54"/>
  <c r="R521" i="54"/>
  <c r="Q521" i="54"/>
  <c r="N521" i="54"/>
  <c r="M521" i="54"/>
  <c r="V520" i="54"/>
  <c r="S520" i="54"/>
  <c r="P520" i="54"/>
  <c r="L520" i="54"/>
  <c r="V518" i="54"/>
  <c r="S518" i="54"/>
  <c r="S521" i="54" s="1"/>
  <c r="P518" i="54"/>
  <c r="L518" i="54"/>
  <c r="L521" i="54" s="1"/>
  <c r="X516" i="54"/>
  <c r="W516" i="54"/>
  <c r="U516" i="54"/>
  <c r="T516" i="54"/>
  <c r="R516" i="54"/>
  <c r="Q516" i="54"/>
  <c r="N516" i="54"/>
  <c r="M516" i="54"/>
  <c r="V515" i="54"/>
  <c r="V516" i="54" s="1"/>
  <c r="S515" i="54"/>
  <c r="P515" i="54"/>
  <c r="L515" i="54"/>
  <c r="V513" i="54"/>
  <c r="S513" i="54"/>
  <c r="P513" i="54"/>
  <c r="P516" i="54" s="1"/>
  <c r="L513" i="54"/>
  <c r="L516" i="54" s="1"/>
  <c r="X511" i="54"/>
  <c r="W511" i="54"/>
  <c r="U511" i="54"/>
  <c r="T511" i="54"/>
  <c r="R511" i="54"/>
  <c r="Q511" i="54"/>
  <c r="N511" i="54"/>
  <c r="M511" i="54"/>
  <c r="V510" i="54"/>
  <c r="S510" i="54"/>
  <c r="O510" i="54" s="1"/>
  <c r="K510" i="54" s="1"/>
  <c r="P510" i="54"/>
  <c r="L510" i="54"/>
  <c r="V508" i="54"/>
  <c r="V511" i="54" s="1"/>
  <c r="S508" i="54"/>
  <c r="S511" i="54" s="1"/>
  <c r="P508" i="54"/>
  <c r="O508" i="54" s="1"/>
  <c r="K508" i="54" s="1"/>
  <c r="L508" i="54"/>
  <c r="L511" i="54" s="1"/>
  <c r="X506" i="54"/>
  <c r="W506" i="54"/>
  <c r="U506" i="54"/>
  <c r="T506" i="54"/>
  <c r="R506" i="54"/>
  <c r="Q506" i="54"/>
  <c r="N506" i="54"/>
  <c r="M506" i="54"/>
  <c r="V505" i="54"/>
  <c r="S505" i="54"/>
  <c r="P505" i="54"/>
  <c r="L505" i="54"/>
  <c r="V503" i="54"/>
  <c r="O503" i="54" s="1"/>
  <c r="S503" i="54"/>
  <c r="S506" i="54" s="1"/>
  <c r="P503" i="54"/>
  <c r="L503" i="54"/>
  <c r="X501" i="54"/>
  <c r="W501" i="54"/>
  <c r="U501" i="54"/>
  <c r="T501" i="54"/>
  <c r="R501" i="54"/>
  <c r="Q501" i="54"/>
  <c r="N501" i="54"/>
  <c r="M501" i="54"/>
  <c r="V500" i="54"/>
  <c r="S500" i="54"/>
  <c r="P500" i="54"/>
  <c r="P501" i="54" s="1"/>
  <c r="L500" i="54"/>
  <c r="V498" i="54"/>
  <c r="V501" i="54" s="1"/>
  <c r="S498" i="54"/>
  <c r="S501" i="54" s="1"/>
  <c r="P498" i="54"/>
  <c r="L498" i="54"/>
  <c r="L501" i="54" s="1"/>
  <c r="X496" i="54"/>
  <c r="W496" i="54"/>
  <c r="U496" i="54"/>
  <c r="T496" i="54"/>
  <c r="R496" i="54"/>
  <c r="Q496" i="54"/>
  <c r="N496" i="54"/>
  <c r="M496" i="54"/>
  <c r="V495" i="54"/>
  <c r="O495" i="54" s="1"/>
  <c r="S495" i="54"/>
  <c r="P495" i="54"/>
  <c r="L495" i="54"/>
  <c r="V493" i="54"/>
  <c r="V496" i="54" s="1"/>
  <c r="S493" i="54"/>
  <c r="S496" i="54" s="1"/>
  <c r="P493" i="54"/>
  <c r="L493" i="54"/>
  <c r="L496" i="54" s="1"/>
  <c r="X491" i="54"/>
  <c r="W491" i="54"/>
  <c r="U491" i="54"/>
  <c r="T491" i="54"/>
  <c r="R491" i="54"/>
  <c r="Q491" i="54"/>
  <c r="N491" i="54"/>
  <c r="M491" i="54"/>
  <c r="V490" i="54"/>
  <c r="S490" i="54"/>
  <c r="P490" i="54"/>
  <c r="P491" i="54" s="1"/>
  <c r="L490" i="54"/>
  <c r="V488" i="54"/>
  <c r="S488" i="54"/>
  <c r="S491" i="54" s="1"/>
  <c r="P488" i="54"/>
  <c r="O488" i="54"/>
  <c r="L488" i="54"/>
  <c r="L491" i="54" s="1"/>
  <c r="X486" i="54"/>
  <c r="W486" i="54"/>
  <c r="U486" i="54"/>
  <c r="T486" i="54"/>
  <c r="R486" i="54"/>
  <c r="Q486" i="54"/>
  <c r="N486" i="54"/>
  <c r="M486" i="54"/>
  <c r="V485" i="54"/>
  <c r="S485" i="54"/>
  <c r="P485" i="54"/>
  <c r="L485" i="54"/>
  <c r="V483" i="54"/>
  <c r="V486" i="54" s="1"/>
  <c r="S483" i="54"/>
  <c r="P483" i="54"/>
  <c r="P486" i="54" s="1"/>
  <c r="L483" i="54"/>
  <c r="X481" i="54"/>
  <c r="W481" i="54"/>
  <c r="U481" i="54"/>
  <c r="T481" i="54"/>
  <c r="R481" i="54"/>
  <c r="Q481" i="54"/>
  <c r="N481" i="54"/>
  <c r="M481" i="54"/>
  <c r="V480" i="54"/>
  <c r="S480" i="54"/>
  <c r="P480" i="54"/>
  <c r="O480" i="54" s="1"/>
  <c r="L480" i="54"/>
  <c r="K480" i="54" s="1"/>
  <c r="V478" i="54"/>
  <c r="S478" i="54"/>
  <c r="S481" i="54" s="1"/>
  <c r="P478" i="54"/>
  <c r="P481" i="54" s="1"/>
  <c r="O478" i="54"/>
  <c r="L478" i="54"/>
  <c r="L481" i="54" s="1"/>
  <c r="X476" i="54"/>
  <c r="W476" i="54"/>
  <c r="U476" i="54"/>
  <c r="T476" i="54"/>
  <c r="R476" i="54"/>
  <c r="Q476" i="54"/>
  <c r="N476" i="54"/>
  <c r="M476" i="54"/>
  <c r="V475" i="54"/>
  <c r="S475" i="54"/>
  <c r="O475" i="54" s="1"/>
  <c r="P475" i="54"/>
  <c r="L475" i="54"/>
  <c r="V473" i="54"/>
  <c r="V476" i="54" s="1"/>
  <c r="S473" i="54"/>
  <c r="S476" i="54" s="1"/>
  <c r="P473" i="54"/>
  <c r="L473" i="54"/>
  <c r="X471" i="54"/>
  <c r="W471" i="54"/>
  <c r="U471" i="54"/>
  <c r="T471" i="54"/>
  <c r="R471" i="54"/>
  <c r="Q471" i="54"/>
  <c r="N471" i="54"/>
  <c r="M471" i="54"/>
  <c r="V470" i="54"/>
  <c r="S470" i="54"/>
  <c r="O470" i="54" s="1"/>
  <c r="K470" i="54" s="1"/>
  <c r="P470" i="54"/>
  <c r="L470" i="54"/>
  <c r="V468" i="54"/>
  <c r="V471" i="54" s="1"/>
  <c r="S468" i="54"/>
  <c r="P468" i="54"/>
  <c r="O468" i="54" s="1"/>
  <c r="L468" i="54"/>
  <c r="L471" i="54" s="1"/>
  <c r="X466" i="54"/>
  <c r="W466" i="54"/>
  <c r="U466" i="54"/>
  <c r="T466" i="54"/>
  <c r="R466" i="54"/>
  <c r="Q466" i="54"/>
  <c r="N466" i="54"/>
  <c r="M466" i="54"/>
  <c r="V465" i="54"/>
  <c r="O465" i="54" s="1"/>
  <c r="K465" i="54" s="1"/>
  <c r="S465" i="54"/>
  <c r="P465" i="54"/>
  <c r="L465" i="54"/>
  <c r="V463" i="54"/>
  <c r="S463" i="54"/>
  <c r="P463" i="54"/>
  <c r="P466" i="54" s="1"/>
  <c r="L463" i="54"/>
  <c r="X461" i="54"/>
  <c r="W461" i="54"/>
  <c r="U461" i="54"/>
  <c r="T461" i="54"/>
  <c r="R461" i="54"/>
  <c r="Q461" i="54"/>
  <c r="N461" i="54"/>
  <c r="M461" i="54"/>
  <c r="V460" i="54"/>
  <c r="S460" i="54"/>
  <c r="P460" i="54"/>
  <c r="L460" i="54"/>
  <c r="V458" i="54"/>
  <c r="V461" i="54" s="1"/>
  <c r="S458" i="54"/>
  <c r="P458" i="54"/>
  <c r="L458" i="54"/>
  <c r="L461" i="54" s="1"/>
  <c r="X456" i="54"/>
  <c r="W456" i="54"/>
  <c r="U456" i="54"/>
  <c r="T456" i="54"/>
  <c r="R456" i="54"/>
  <c r="Q456" i="54"/>
  <c r="N456" i="54"/>
  <c r="M456" i="54"/>
  <c r="V455" i="54"/>
  <c r="S455" i="54"/>
  <c r="P455" i="54"/>
  <c r="L455" i="54"/>
  <c r="V453" i="54"/>
  <c r="S453" i="54"/>
  <c r="P453" i="54"/>
  <c r="L453" i="54"/>
  <c r="X451" i="54"/>
  <c r="W451" i="54"/>
  <c r="U451" i="54"/>
  <c r="T451" i="54"/>
  <c r="R451" i="54"/>
  <c r="Q451" i="54"/>
  <c r="N451" i="54"/>
  <c r="M451" i="54"/>
  <c r="V450" i="54"/>
  <c r="S450" i="54"/>
  <c r="P450" i="54"/>
  <c r="P451" i="54" s="1"/>
  <c r="L450" i="54"/>
  <c r="V448" i="54"/>
  <c r="S448" i="54"/>
  <c r="P448" i="54"/>
  <c r="L448" i="54"/>
  <c r="X446" i="54"/>
  <c r="W446" i="54"/>
  <c r="V446" i="54"/>
  <c r="U446" i="54"/>
  <c r="T446" i="54"/>
  <c r="R446" i="54"/>
  <c r="Q446" i="54"/>
  <c r="N446" i="54"/>
  <c r="M446" i="54"/>
  <c r="V445" i="54"/>
  <c r="S445" i="54"/>
  <c r="P445" i="54"/>
  <c r="O445" i="54" s="1"/>
  <c r="K445" i="54" s="1"/>
  <c r="L445" i="54"/>
  <c r="V443" i="54"/>
  <c r="S443" i="54"/>
  <c r="P443" i="54"/>
  <c r="P446" i="54" s="1"/>
  <c r="L443" i="54"/>
  <c r="X441" i="54"/>
  <c r="W441" i="54"/>
  <c r="U441" i="54"/>
  <c r="T441" i="54"/>
  <c r="R441" i="54"/>
  <c r="Q441" i="54"/>
  <c r="P441" i="54"/>
  <c r="N441" i="54"/>
  <c r="M441" i="54"/>
  <c r="V440" i="54"/>
  <c r="S440" i="54"/>
  <c r="P440" i="54"/>
  <c r="L440" i="54"/>
  <c r="V438" i="54"/>
  <c r="V441" i="54" s="1"/>
  <c r="S438" i="54"/>
  <c r="P438" i="54"/>
  <c r="L438" i="54"/>
  <c r="X436" i="54"/>
  <c r="W436" i="54"/>
  <c r="U436" i="54"/>
  <c r="T436" i="54"/>
  <c r="R436" i="54"/>
  <c r="Q436" i="54"/>
  <c r="N436" i="54"/>
  <c r="M436" i="54"/>
  <c r="V435" i="54"/>
  <c r="S435" i="54"/>
  <c r="P435" i="54"/>
  <c r="L435" i="54"/>
  <c r="V433" i="54"/>
  <c r="S433" i="54"/>
  <c r="S436" i="54" s="1"/>
  <c r="P433" i="54"/>
  <c r="P436" i="54" s="1"/>
  <c r="L433" i="54"/>
  <c r="X431" i="54"/>
  <c r="W431" i="54"/>
  <c r="U431" i="54"/>
  <c r="T431" i="54"/>
  <c r="R431" i="54"/>
  <c r="Q431" i="54"/>
  <c r="N431" i="54"/>
  <c r="M431" i="54"/>
  <c r="V430" i="54"/>
  <c r="S430" i="54"/>
  <c r="P430" i="54"/>
  <c r="P431" i="54" s="1"/>
  <c r="O430" i="54"/>
  <c r="K430" i="54" s="1"/>
  <c r="L430" i="54"/>
  <c r="V428" i="54"/>
  <c r="V431" i="54" s="1"/>
  <c r="S428" i="54"/>
  <c r="P428" i="54"/>
  <c r="L428" i="54"/>
  <c r="L431" i="54" s="1"/>
  <c r="X426" i="54"/>
  <c r="W426" i="54"/>
  <c r="U426" i="54"/>
  <c r="T426" i="54"/>
  <c r="R426" i="54"/>
  <c r="Q426" i="54"/>
  <c r="N426" i="54"/>
  <c r="M426" i="54"/>
  <c r="V425" i="54"/>
  <c r="S425" i="54"/>
  <c r="P425" i="54"/>
  <c r="L425" i="54"/>
  <c r="V423" i="54"/>
  <c r="S423" i="54"/>
  <c r="P423" i="54"/>
  <c r="L423" i="54"/>
  <c r="X421" i="54"/>
  <c r="W421" i="54"/>
  <c r="U421" i="54"/>
  <c r="T421" i="54"/>
  <c r="S421" i="54"/>
  <c r="R421" i="54"/>
  <c r="Q421" i="54"/>
  <c r="N421" i="54"/>
  <c r="M421" i="54"/>
  <c r="V420" i="54"/>
  <c r="S420" i="54"/>
  <c r="P420" i="54"/>
  <c r="P421" i="54" s="1"/>
  <c r="L420" i="54"/>
  <c r="V418" i="54"/>
  <c r="V421" i="54" s="1"/>
  <c r="S418" i="54"/>
  <c r="O418" i="54" s="1"/>
  <c r="K418" i="54" s="1"/>
  <c r="P418" i="54"/>
  <c r="L418" i="54"/>
  <c r="L421" i="54" s="1"/>
  <c r="X416" i="54"/>
  <c r="W416" i="54"/>
  <c r="U416" i="54"/>
  <c r="T416" i="54"/>
  <c r="R416" i="54"/>
  <c r="Q416" i="54"/>
  <c r="N416" i="54"/>
  <c r="M416" i="54"/>
  <c r="V415" i="54"/>
  <c r="S415" i="54"/>
  <c r="P415" i="54"/>
  <c r="L415" i="54"/>
  <c r="V413" i="54"/>
  <c r="S413" i="54"/>
  <c r="P413" i="54"/>
  <c r="L413" i="54"/>
  <c r="L416" i="54" s="1"/>
  <c r="X411" i="54"/>
  <c r="W411" i="54"/>
  <c r="U411" i="54"/>
  <c r="T411" i="54"/>
  <c r="R411" i="54"/>
  <c r="Q411" i="54"/>
  <c r="N411" i="54"/>
  <c r="M411" i="54"/>
  <c r="V410" i="54"/>
  <c r="O410" i="54" s="1"/>
  <c r="K410" i="54" s="1"/>
  <c r="S410" i="54"/>
  <c r="P410" i="54"/>
  <c r="L410" i="54"/>
  <c r="V408" i="54"/>
  <c r="S408" i="54"/>
  <c r="O408" i="54" s="1"/>
  <c r="P408" i="54"/>
  <c r="L408" i="54"/>
  <c r="K408" i="54" s="1"/>
  <c r="X406" i="54"/>
  <c r="W406" i="54"/>
  <c r="V406" i="54"/>
  <c r="U406" i="54"/>
  <c r="T406" i="54"/>
  <c r="R406" i="54"/>
  <c r="Q406" i="54"/>
  <c r="N406" i="54"/>
  <c r="M406" i="54"/>
  <c r="V405" i="54"/>
  <c r="S405" i="54"/>
  <c r="P405" i="54"/>
  <c r="O405" i="54" s="1"/>
  <c r="K405" i="54" s="1"/>
  <c r="L405" i="54"/>
  <c r="V403" i="54"/>
  <c r="S403" i="54"/>
  <c r="P403" i="54"/>
  <c r="L403" i="54"/>
  <c r="X401" i="54"/>
  <c r="W401" i="54"/>
  <c r="U401" i="54"/>
  <c r="T401" i="54"/>
  <c r="R401" i="54"/>
  <c r="Q401" i="54"/>
  <c r="N401" i="54"/>
  <c r="M401" i="54"/>
  <c r="V400" i="54"/>
  <c r="S400" i="54"/>
  <c r="P400" i="54"/>
  <c r="L400" i="54"/>
  <c r="V398" i="54"/>
  <c r="S398" i="54"/>
  <c r="S401" i="54" s="1"/>
  <c r="P398" i="54"/>
  <c r="L398" i="54"/>
  <c r="X396" i="54"/>
  <c r="W396" i="54"/>
  <c r="U396" i="54"/>
  <c r="T396" i="54"/>
  <c r="R396" i="54"/>
  <c r="Q396" i="54"/>
  <c r="N396" i="54"/>
  <c r="M396" i="54"/>
  <c r="V395" i="54"/>
  <c r="S395" i="54"/>
  <c r="P395" i="54"/>
  <c r="L395" i="54"/>
  <c r="V393" i="54"/>
  <c r="S393" i="54"/>
  <c r="O393" i="54" s="1"/>
  <c r="K393" i="54" s="1"/>
  <c r="P393" i="54"/>
  <c r="L393" i="54"/>
  <c r="I389" i="54"/>
  <c r="H389" i="54"/>
  <c r="R388" i="54"/>
  <c r="I388" i="54"/>
  <c r="H388" i="54"/>
  <c r="X387" i="54"/>
  <c r="W387" i="54"/>
  <c r="U387" i="54"/>
  <c r="T387" i="54"/>
  <c r="R387" i="54"/>
  <c r="Q387" i="54"/>
  <c r="N387" i="54"/>
  <c r="M387" i="54"/>
  <c r="I387" i="54"/>
  <c r="H387" i="54"/>
  <c r="I386" i="54"/>
  <c r="I549" i="54" s="1"/>
  <c r="H386" i="54"/>
  <c r="H549" i="54" s="1"/>
  <c r="X385" i="54"/>
  <c r="X388" i="54" s="1"/>
  <c r="W385" i="54"/>
  <c r="W388" i="54" s="1"/>
  <c r="U385" i="54"/>
  <c r="U388" i="54" s="1"/>
  <c r="T385" i="54"/>
  <c r="R385" i="54"/>
  <c r="Q385" i="54"/>
  <c r="N385" i="54"/>
  <c r="N388" i="54" s="1"/>
  <c r="M385" i="54"/>
  <c r="M388" i="54" s="1"/>
  <c r="X383" i="54"/>
  <c r="W383" i="54"/>
  <c r="U383" i="54"/>
  <c r="T383" i="54"/>
  <c r="R383" i="54"/>
  <c r="Q383" i="54"/>
  <c r="N383" i="54"/>
  <c r="M383" i="54"/>
  <c r="V382" i="54"/>
  <c r="S382" i="54"/>
  <c r="O382" i="54" s="1"/>
  <c r="K382" i="54" s="1"/>
  <c r="P382" i="54"/>
  <c r="L382" i="54"/>
  <c r="V380" i="54"/>
  <c r="V383" i="54" s="1"/>
  <c r="S380" i="54"/>
  <c r="S383" i="54" s="1"/>
  <c r="P380" i="54"/>
  <c r="O380" i="54" s="1"/>
  <c r="K380" i="54" s="1"/>
  <c r="L380" i="54"/>
  <c r="I380" i="54"/>
  <c r="H380" i="54"/>
  <c r="X378" i="54"/>
  <c r="W378" i="54"/>
  <c r="U378" i="54"/>
  <c r="T378" i="54"/>
  <c r="R378" i="54"/>
  <c r="Q378" i="54"/>
  <c r="P378" i="54"/>
  <c r="N378" i="54"/>
  <c r="M378" i="54"/>
  <c r="V377" i="54"/>
  <c r="S377" i="54"/>
  <c r="P377" i="54"/>
  <c r="L377" i="54"/>
  <c r="V375" i="54"/>
  <c r="V378" i="54" s="1"/>
  <c r="S375" i="54"/>
  <c r="P375" i="54"/>
  <c r="L375" i="54"/>
  <c r="I375" i="54"/>
  <c r="H375" i="54"/>
  <c r="X373" i="54"/>
  <c r="W373" i="54"/>
  <c r="U373" i="54"/>
  <c r="T373" i="54"/>
  <c r="R373" i="54"/>
  <c r="Q373" i="54"/>
  <c r="N373" i="54"/>
  <c r="M373" i="54"/>
  <c r="V372" i="54"/>
  <c r="S372" i="54"/>
  <c r="P372" i="54"/>
  <c r="O372" i="54"/>
  <c r="K372" i="54" s="1"/>
  <c r="L372" i="54"/>
  <c r="V370" i="54"/>
  <c r="V373" i="54" s="1"/>
  <c r="S370" i="54"/>
  <c r="P370" i="54"/>
  <c r="L370" i="54"/>
  <c r="I370" i="54"/>
  <c r="H370" i="54"/>
  <c r="X368" i="54"/>
  <c r="W368" i="54"/>
  <c r="U368" i="54"/>
  <c r="T368" i="54"/>
  <c r="S368" i="54"/>
  <c r="R368" i="54"/>
  <c r="Q368" i="54"/>
  <c r="N368" i="54"/>
  <c r="M368" i="54"/>
  <c r="V367" i="54"/>
  <c r="S367" i="54"/>
  <c r="P367" i="54"/>
  <c r="O367" i="54"/>
  <c r="K367" i="54" s="1"/>
  <c r="L367" i="54"/>
  <c r="V365" i="54"/>
  <c r="S365" i="54"/>
  <c r="P365" i="54"/>
  <c r="L365" i="54"/>
  <c r="L368" i="54" s="1"/>
  <c r="I365" i="54"/>
  <c r="H365" i="54"/>
  <c r="X363" i="54"/>
  <c r="W363" i="54"/>
  <c r="U363" i="54"/>
  <c r="T363" i="54"/>
  <c r="S363" i="54"/>
  <c r="R363" i="54"/>
  <c r="Q363" i="54"/>
  <c r="N363" i="54"/>
  <c r="M363" i="54"/>
  <c r="V362" i="54"/>
  <c r="S362" i="54"/>
  <c r="P362" i="54"/>
  <c r="L362" i="54"/>
  <c r="V360" i="54"/>
  <c r="V363" i="54" s="1"/>
  <c r="S360" i="54"/>
  <c r="P360" i="54"/>
  <c r="O360" i="54" s="1"/>
  <c r="L360" i="54"/>
  <c r="I360" i="54"/>
  <c r="H360" i="54"/>
  <c r="X358" i="54"/>
  <c r="W358" i="54"/>
  <c r="U358" i="54"/>
  <c r="T358" i="54"/>
  <c r="R358" i="54"/>
  <c r="Q358" i="54"/>
  <c r="N358" i="54"/>
  <c r="M358" i="54"/>
  <c r="V357" i="54"/>
  <c r="S357" i="54"/>
  <c r="P357" i="54"/>
  <c r="L357" i="54"/>
  <c r="V355" i="54"/>
  <c r="S355" i="54"/>
  <c r="P355" i="54"/>
  <c r="L355" i="54"/>
  <c r="I355" i="54"/>
  <c r="H355" i="54"/>
  <c r="X353" i="54"/>
  <c r="W353" i="54"/>
  <c r="U353" i="54"/>
  <c r="T353" i="54"/>
  <c r="R353" i="54"/>
  <c r="Q353" i="54"/>
  <c r="N353" i="54"/>
  <c r="M353" i="54"/>
  <c r="V352" i="54"/>
  <c r="V387" i="54" s="1"/>
  <c r="S352" i="54"/>
  <c r="P352" i="54"/>
  <c r="L352" i="54"/>
  <c r="V350" i="54"/>
  <c r="S350" i="54"/>
  <c r="P350" i="54"/>
  <c r="P385" i="54" s="1"/>
  <c r="O350" i="54"/>
  <c r="L350" i="54"/>
  <c r="L353" i="54" s="1"/>
  <c r="I350" i="54"/>
  <c r="I385" i="54" s="1"/>
  <c r="H350" i="54"/>
  <c r="I346" i="54"/>
  <c r="H346" i="54"/>
  <c r="I345" i="54"/>
  <c r="H345" i="54"/>
  <c r="X344" i="54"/>
  <c r="W344" i="54"/>
  <c r="U344" i="54"/>
  <c r="T344" i="54"/>
  <c r="R344" i="54"/>
  <c r="Q344" i="54"/>
  <c r="N344" i="54"/>
  <c r="M344" i="54"/>
  <c r="I344" i="54"/>
  <c r="H344" i="54"/>
  <c r="I343" i="54"/>
  <c r="H343" i="54"/>
  <c r="X342" i="54"/>
  <c r="X345" i="54" s="1"/>
  <c r="W342" i="54"/>
  <c r="W345" i="54" s="1"/>
  <c r="U342" i="54"/>
  <c r="T342" i="54"/>
  <c r="T345" i="54" s="1"/>
  <c r="R342" i="54"/>
  <c r="Q342" i="54"/>
  <c r="N342" i="54"/>
  <c r="M342" i="54"/>
  <c r="M345" i="54" s="1"/>
  <c r="X340" i="54"/>
  <c r="W340" i="54"/>
  <c r="U340" i="54"/>
  <c r="T340" i="54"/>
  <c r="R340" i="54"/>
  <c r="Q340" i="54"/>
  <c r="N340" i="54"/>
  <c r="M340" i="54"/>
  <c r="V339" i="54"/>
  <c r="V340" i="54" s="1"/>
  <c r="S339" i="54"/>
  <c r="P339" i="54"/>
  <c r="L339" i="54"/>
  <c r="V337" i="54"/>
  <c r="S337" i="54"/>
  <c r="S340" i="54" s="1"/>
  <c r="P337" i="54"/>
  <c r="L337" i="54"/>
  <c r="I337" i="54"/>
  <c r="H337" i="54"/>
  <c r="X335" i="54"/>
  <c r="W335" i="54"/>
  <c r="U335" i="54"/>
  <c r="T335" i="54"/>
  <c r="R335" i="54"/>
  <c r="Q335" i="54"/>
  <c r="N335" i="54"/>
  <c r="M335" i="54"/>
  <c r="V334" i="54"/>
  <c r="S334" i="54"/>
  <c r="P334" i="54"/>
  <c r="O334" i="54" s="1"/>
  <c r="L334" i="54"/>
  <c r="V332" i="54"/>
  <c r="V335" i="54" s="1"/>
  <c r="S332" i="54"/>
  <c r="S335" i="54" s="1"/>
  <c r="P332" i="54"/>
  <c r="P335" i="54" s="1"/>
  <c r="L332" i="54"/>
  <c r="L335" i="54" s="1"/>
  <c r="I332" i="54"/>
  <c r="H332" i="54"/>
  <c r="X330" i="54"/>
  <c r="W330" i="54"/>
  <c r="U330" i="54"/>
  <c r="T330" i="54"/>
  <c r="R330" i="54"/>
  <c r="Q330" i="54"/>
  <c r="N330" i="54"/>
  <c r="M330" i="54"/>
  <c r="V329" i="54"/>
  <c r="V330" i="54" s="1"/>
  <c r="S329" i="54"/>
  <c r="P329" i="54"/>
  <c r="L329" i="54"/>
  <c r="V327" i="54"/>
  <c r="S327" i="54"/>
  <c r="S330" i="54" s="1"/>
  <c r="P327" i="54"/>
  <c r="L327" i="54"/>
  <c r="I327" i="54"/>
  <c r="H327" i="54"/>
  <c r="X325" i="54"/>
  <c r="W325" i="54"/>
  <c r="U325" i="54"/>
  <c r="T325" i="54"/>
  <c r="R325" i="54"/>
  <c r="Q325" i="54"/>
  <c r="N325" i="54"/>
  <c r="M325" i="54"/>
  <c r="V324" i="54"/>
  <c r="S324" i="54"/>
  <c r="P324" i="54"/>
  <c r="O324" i="54" s="1"/>
  <c r="L324" i="54"/>
  <c r="V322" i="54"/>
  <c r="V325" i="54" s="1"/>
  <c r="S322" i="54"/>
  <c r="S325" i="54" s="1"/>
  <c r="P322" i="54"/>
  <c r="P325" i="54" s="1"/>
  <c r="L322" i="54"/>
  <c r="L325" i="54" s="1"/>
  <c r="I322" i="54"/>
  <c r="H322" i="54"/>
  <c r="X320" i="54"/>
  <c r="W320" i="54"/>
  <c r="U320" i="54"/>
  <c r="T320" i="54"/>
  <c r="R320" i="54"/>
  <c r="Q320" i="54"/>
  <c r="N320" i="54"/>
  <c r="M320" i="54"/>
  <c r="V319" i="54"/>
  <c r="V320" i="54" s="1"/>
  <c r="S319" i="54"/>
  <c r="S320" i="54" s="1"/>
  <c r="P319" i="54"/>
  <c r="L319" i="54"/>
  <c r="V317" i="54"/>
  <c r="S317" i="54"/>
  <c r="P317" i="54"/>
  <c r="L317" i="54"/>
  <c r="I317" i="54"/>
  <c r="H317" i="54"/>
  <c r="X315" i="54"/>
  <c r="W315" i="54"/>
  <c r="U315" i="54"/>
  <c r="T315" i="54"/>
  <c r="R315" i="54"/>
  <c r="Q315" i="54"/>
  <c r="N315" i="54"/>
  <c r="M315" i="54"/>
  <c r="V314" i="54"/>
  <c r="S314" i="54"/>
  <c r="P314" i="54"/>
  <c r="O314" i="54" s="1"/>
  <c r="L314" i="54"/>
  <c r="V312" i="54"/>
  <c r="V315" i="54" s="1"/>
  <c r="S312" i="54"/>
  <c r="S315" i="54" s="1"/>
  <c r="P312" i="54"/>
  <c r="P315" i="54" s="1"/>
  <c r="L312" i="54"/>
  <c r="L315" i="54" s="1"/>
  <c r="I312" i="54"/>
  <c r="H312" i="54"/>
  <c r="X310" i="54"/>
  <c r="W310" i="54"/>
  <c r="U310" i="54"/>
  <c r="T310" i="54"/>
  <c r="R310" i="54"/>
  <c r="Q310" i="54"/>
  <c r="N310" i="54"/>
  <c r="M310" i="54"/>
  <c r="V309" i="54"/>
  <c r="V310" i="54" s="1"/>
  <c r="S309" i="54"/>
  <c r="S310" i="54" s="1"/>
  <c r="P309" i="54"/>
  <c r="L309" i="54"/>
  <c r="V307" i="54"/>
  <c r="S307" i="54"/>
  <c r="P307" i="54"/>
  <c r="L307" i="54"/>
  <c r="I307" i="54"/>
  <c r="H307" i="54"/>
  <c r="X305" i="54"/>
  <c r="W305" i="54"/>
  <c r="U305" i="54"/>
  <c r="T305" i="54"/>
  <c r="R305" i="54"/>
  <c r="Q305" i="54"/>
  <c r="N305" i="54"/>
  <c r="M305" i="54"/>
  <c r="V304" i="54"/>
  <c r="S304" i="54"/>
  <c r="P304" i="54"/>
  <c r="O304" i="54" s="1"/>
  <c r="L304" i="54"/>
  <c r="V302" i="54"/>
  <c r="V305" i="54" s="1"/>
  <c r="S302" i="54"/>
  <c r="S305" i="54" s="1"/>
  <c r="P302" i="54"/>
  <c r="P305" i="54" s="1"/>
  <c r="L302" i="54"/>
  <c r="L305" i="54" s="1"/>
  <c r="I302" i="54"/>
  <c r="H302" i="54"/>
  <c r="X300" i="54"/>
  <c r="W300" i="54"/>
  <c r="U300" i="54"/>
  <c r="T300" i="54"/>
  <c r="S300" i="54"/>
  <c r="R300" i="54"/>
  <c r="Q300" i="54"/>
  <c r="N300" i="54"/>
  <c r="M300" i="54"/>
  <c r="V299" i="54"/>
  <c r="S299" i="54"/>
  <c r="P299" i="54"/>
  <c r="L299" i="54"/>
  <c r="V297" i="54"/>
  <c r="S297" i="54"/>
  <c r="P297" i="54"/>
  <c r="L297" i="54"/>
  <c r="I297" i="54"/>
  <c r="H297" i="54"/>
  <c r="X295" i="54"/>
  <c r="W295" i="54"/>
  <c r="U295" i="54"/>
  <c r="T295" i="54"/>
  <c r="R295" i="54"/>
  <c r="Q295" i="54"/>
  <c r="N295" i="54"/>
  <c r="M295" i="54"/>
  <c r="V294" i="54"/>
  <c r="S294" i="54"/>
  <c r="P294" i="54"/>
  <c r="L294" i="54"/>
  <c r="V292" i="54"/>
  <c r="S292" i="54"/>
  <c r="S295" i="54" s="1"/>
  <c r="P292" i="54"/>
  <c r="P295" i="54" s="1"/>
  <c r="L292" i="54"/>
  <c r="L295" i="54" s="1"/>
  <c r="I292" i="54"/>
  <c r="H292" i="54"/>
  <c r="X290" i="54"/>
  <c r="W290" i="54"/>
  <c r="U290" i="54"/>
  <c r="T290" i="54"/>
  <c r="R290" i="54"/>
  <c r="Q290" i="54"/>
  <c r="N290" i="54"/>
  <c r="M290" i="54"/>
  <c r="V289" i="54"/>
  <c r="S289" i="54"/>
  <c r="P289" i="54"/>
  <c r="L289" i="54"/>
  <c r="V287" i="54"/>
  <c r="S287" i="54"/>
  <c r="S290" i="54" s="1"/>
  <c r="P287" i="54"/>
  <c r="L287" i="54"/>
  <c r="I287" i="54"/>
  <c r="H287" i="54"/>
  <c r="X285" i="54"/>
  <c r="W285" i="54"/>
  <c r="U285" i="54"/>
  <c r="T285" i="54"/>
  <c r="R285" i="54"/>
  <c r="Q285" i="54"/>
  <c r="N285" i="54"/>
  <c r="M285" i="54"/>
  <c r="V284" i="54"/>
  <c r="S284" i="54"/>
  <c r="P284" i="54"/>
  <c r="L284" i="54"/>
  <c r="V282" i="54"/>
  <c r="S282" i="54"/>
  <c r="S285" i="54" s="1"/>
  <c r="P282" i="54"/>
  <c r="P285" i="54" s="1"/>
  <c r="L282" i="54"/>
  <c r="L285" i="54" s="1"/>
  <c r="I282" i="54"/>
  <c r="H282" i="54"/>
  <c r="X280" i="54"/>
  <c r="W280" i="54"/>
  <c r="U280" i="54"/>
  <c r="T280" i="54"/>
  <c r="R280" i="54"/>
  <c r="Q280" i="54"/>
  <c r="N280" i="54"/>
  <c r="M280" i="54"/>
  <c r="V279" i="54"/>
  <c r="V280" i="54" s="1"/>
  <c r="S279" i="54"/>
  <c r="P279" i="54"/>
  <c r="L279" i="54"/>
  <c r="V277" i="54"/>
  <c r="S277" i="54"/>
  <c r="S280" i="54" s="1"/>
  <c r="P277" i="54"/>
  <c r="L277" i="54"/>
  <c r="I277" i="54"/>
  <c r="H277" i="54"/>
  <c r="X275" i="54"/>
  <c r="W275" i="54"/>
  <c r="U275" i="54"/>
  <c r="T275" i="54"/>
  <c r="R275" i="54"/>
  <c r="Q275" i="54"/>
  <c r="N275" i="54"/>
  <c r="M275" i="54"/>
  <c r="V274" i="54"/>
  <c r="S274" i="54"/>
  <c r="P274" i="54"/>
  <c r="L274" i="54"/>
  <c r="V272" i="54"/>
  <c r="V275" i="54" s="1"/>
  <c r="S272" i="54"/>
  <c r="P272" i="54"/>
  <c r="P275" i="54" s="1"/>
  <c r="L272" i="54"/>
  <c r="L275" i="54" s="1"/>
  <c r="I272" i="54"/>
  <c r="H272" i="54"/>
  <c r="X270" i="54"/>
  <c r="W270" i="54"/>
  <c r="U270" i="54"/>
  <c r="T270" i="54"/>
  <c r="R270" i="54"/>
  <c r="Q270" i="54"/>
  <c r="N270" i="54"/>
  <c r="M270" i="54"/>
  <c r="V269" i="54"/>
  <c r="S269" i="54"/>
  <c r="P269" i="54"/>
  <c r="L269" i="54"/>
  <c r="V267" i="54"/>
  <c r="S267" i="54"/>
  <c r="S270" i="54" s="1"/>
  <c r="P267" i="54"/>
  <c r="L267" i="54"/>
  <c r="I267" i="54"/>
  <c r="H267" i="54"/>
  <c r="X265" i="54"/>
  <c r="W265" i="54"/>
  <c r="U265" i="54"/>
  <c r="T265" i="54"/>
  <c r="R265" i="54"/>
  <c r="Q265" i="54"/>
  <c r="N265" i="54"/>
  <c r="M265" i="54"/>
  <c r="V264" i="54"/>
  <c r="S264" i="54"/>
  <c r="P264" i="54"/>
  <c r="O264" i="54" s="1"/>
  <c r="L264" i="54"/>
  <c r="V262" i="54"/>
  <c r="V265" i="54" s="1"/>
  <c r="S262" i="54"/>
  <c r="S265" i="54" s="1"/>
  <c r="P262" i="54"/>
  <c r="P265" i="54" s="1"/>
  <c r="L262" i="54"/>
  <c r="L265" i="54" s="1"/>
  <c r="I262" i="54"/>
  <c r="H262" i="54"/>
  <c r="X260" i="54"/>
  <c r="W260" i="54"/>
  <c r="U260" i="54"/>
  <c r="T260" i="54"/>
  <c r="R260" i="54"/>
  <c r="Q260" i="54"/>
  <c r="N260" i="54"/>
  <c r="M260" i="54"/>
  <c r="V259" i="54"/>
  <c r="V260" i="54" s="1"/>
  <c r="S259" i="54"/>
  <c r="P259" i="54"/>
  <c r="L259" i="54"/>
  <c r="V257" i="54"/>
  <c r="S257" i="54"/>
  <c r="S260" i="54" s="1"/>
  <c r="P257" i="54"/>
  <c r="L257" i="54"/>
  <c r="I257" i="54"/>
  <c r="H257" i="54"/>
  <c r="X255" i="54"/>
  <c r="W255" i="54"/>
  <c r="U255" i="54"/>
  <c r="T255" i="54"/>
  <c r="R255" i="54"/>
  <c r="Q255" i="54"/>
  <c r="N255" i="54"/>
  <c r="M255" i="54"/>
  <c r="V254" i="54"/>
  <c r="S254" i="54"/>
  <c r="P254" i="54"/>
  <c r="L254" i="54"/>
  <c r="V252" i="54"/>
  <c r="V255" i="54" s="1"/>
  <c r="S252" i="54"/>
  <c r="S255" i="54" s="1"/>
  <c r="P252" i="54"/>
  <c r="P255" i="54" s="1"/>
  <c r="L252" i="54"/>
  <c r="L255" i="54" s="1"/>
  <c r="I252" i="54"/>
  <c r="H252" i="54"/>
  <c r="X250" i="54"/>
  <c r="W250" i="54"/>
  <c r="U250" i="54"/>
  <c r="T250" i="54"/>
  <c r="R250" i="54"/>
  <c r="Q250" i="54"/>
  <c r="N250" i="54"/>
  <c r="M250" i="54"/>
  <c r="V249" i="54"/>
  <c r="V250" i="54" s="1"/>
  <c r="S249" i="54"/>
  <c r="S250" i="54" s="1"/>
  <c r="P249" i="54"/>
  <c r="L249" i="54"/>
  <c r="V247" i="54"/>
  <c r="S247" i="54"/>
  <c r="P247" i="54"/>
  <c r="L247" i="54"/>
  <c r="I247" i="54"/>
  <c r="H247" i="54"/>
  <c r="X245" i="54"/>
  <c r="W245" i="54"/>
  <c r="U245" i="54"/>
  <c r="T245" i="54"/>
  <c r="R245" i="54"/>
  <c r="Q245" i="54"/>
  <c r="N245" i="54"/>
  <c r="M245" i="54"/>
  <c r="V244" i="54"/>
  <c r="S244" i="54"/>
  <c r="P244" i="54"/>
  <c r="L244" i="54"/>
  <c r="V242" i="54"/>
  <c r="V245" i="54" s="1"/>
  <c r="S242" i="54"/>
  <c r="S245" i="54" s="1"/>
  <c r="P242" i="54"/>
  <c r="P245" i="54" s="1"/>
  <c r="L242" i="54"/>
  <c r="L245" i="54" s="1"/>
  <c r="I242" i="54"/>
  <c r="H242" i="54"/>
  <c r="X240" i="54"/>
  <c r="W240" i="54"/>
  <c r="U240" i="54"/>
  <c r="T240" i="54"/>
  <c r="R240" i="54"/>
  <c r="Q240" i="54"/>
  <c r="N240" i="54"/>
  <c r="M240" i="54"/>
  <c r="V239" i="54"/>
  <c r="S239" i="54"/>
  <c r="P239" i="54"/>
  <c r="L239" i="54"/>
  <c r="V237" i="54"/>
  <c r="S237" i="54"/>
  <c r="S240" i="54" s="1"/>
  <c r="P237" i="54"/>
  <c r="L237" i="54"/>
  <c r="I237" i="54"/>
  <c r="H237" i="54"/>
  <c r="X235" i="54"/>
  <c r="W235" i="54"/>
  <c r="U235" i="54"/>
  <c r="T235" i="54"/>
  <c r="R235" i="54"/>
  <c r="Q235" i="54"/>
  <c r="N235" i="54"/>
  <c r="M235" i="54"/>
  <c r="V234" i="54"/>
  <c r="S234" i="54"/>
  <c r="P234" i="54"/>
  <c r="O234" i="54" s="1"/>
  <c r="L234" i="54"/>
  <c r="V232" i="54"/>
  <c r="V235" i="54" s="1"/>
  <c r="S232" i="54"/>
  <c r="P232" i="54"/>
  <c r="P235" i="54" s="1"/>
  <c r="L232" i="54"/>
  <c r="L235" i="54" s="1"/>
  <c r="I232" i="54"/>
  <c r="H232" i="54"/>
  <c r="X230" i="54"/>
  <c r="W230" i="54"/>
  <c r="U230" i="54"/>
  <c r="T230" i="54"/>
  <c r="R230" i="54"/>
  <c r="Q230" i="54"/>
  <c r="N230" i="54"/>
  <c r="M230" i="54"/>
  <c r="V229" i="54"/>
  <c r="V230" i="54" s="1"/>
  <c r="S229" i="54"/>
  <c r="P229" i="54"/>
  <c r="O229" i="54"/>
  <c r="L229" i="54"/>
  <c r="V227" i="54"/>
  <c r="S227" i="54"/>
  <c r="S230" i="54" s="1"/>
  <c r="P227" i="54"/>
  <c r="L227" i="54"/>
  <c r="L230" i="54" s="1"/>
  <c r="I227" i="54"/>
  <c r="H227" i="54"/>
  <c r="X225" i="54"/>
  <c r="W225" i="54"/>
  <c r="U225" i="54"/>
  <c r="T225" i="54"/>
  <c r="R225" i="54"/>
  <c r="Q225" i="54"/>
  <c r="N225" i="54"/>
  <c r="M225" i="54"/>
  <c r="V224" i="54"/>
  <c r="S224" i="54"/>
  <c r="P224" i="54"/>
  <c r="L224" i="54"/>
  <c r="V222" i="54"/>
  <c r="V225" i="54" s="1"/>
  <c r="S222" i="54"/>
  <c r="S225" i="54" s="1"/>
  <c r="P222" i="54"/>
  <c r="P225" i="54" s="1"/>
  <c r="L222" i="54"/>
  <c r="L225" i="54" s="1"/>
  <c r="I222" i="54"/>
  <c r="H222" i="54"/>
  <c r="X220" i="54"/>
  <c r="W220" i="54"/>
  <c r="U220" i="54"/>
  <c r="T220" i="54"/>
  <c r="R220" i="54"/>
  <c r="Q220" i="54"/>
  <c r="N220" i="54"/>
  <c r="M220" i="54"/>
  <c r="V219" i="54"/>
  <c r="S219" i="54"/>
  <c r="P219" i="54"/>
  <c r="L219" i="54"/>
  <c r="V217" i="54"/>
  <c r="S217" i="54"/>
  <c r="S220" i="54" s="1"/>
  <c r="P217" i="54"/>
  <c r="L217" i="54"/>
  <c r="I217" i="54"/>
  <c r="H217" i="54"/>
  <c r="X215" i="54"/>
  <c r="W215" i="54"/>
  <c r="U215" i="54"/>
  <c r="T215" i="54"/>
  <c r="R215" i="54"/>
  <c r="Q215" i="54"/>
  <c r="N215" i="54"/>
  <c r="M215" i="54"/>
  <c r="V214" i="54"/>
  <c r="S214" i="54"/>
  <c r="P214" i="54"/>
  <c r="O214" i="54" s="1"/>
  <c r="L214" i="54"/>
  <c r="V212" i="54"/>
  <c r="V215" i="54" s="1"/>
  <c r="S212" i="54"/>
  <c r="S215" i="54" s="1"/>
  <c r="P212" i="54"/>
  <c r="L212" i="54"/>
  <c r="L215" i="54" s="1"/>
  <c r="I212" i="54"/>
  <c r="H212" i="54"/>
  <c r="X210" i="54"/>
  <c r="W210" i="54"/>
  <c r="U210" i="54"/>
  <c r="T210" i="54"/>
  <c r="R210" i="54"/>
  <c r="Q210" i="54"/>
  <c r="N210" i="54"/>
  <c r="M210" i="54"/>
  <c r="V209" i="54"/>
  <c r="S209" i="54"/>
  <c r="P209" i="54"/>
  <c r="L209" i="54"/>
  <c r="V207" i="54"/>
  <c r="S207" i="54"/>
  <c r="S210" i="54" s="1"/>
  <c r="P207" i="54"/>
  <c r="L207" i="54"/>
  <c r="I207" i="54"/>
  <c r="H207" i="54"/>
  <c r="X205" i="54"/>
  <c r="W205" i="54"/>
  <c r="U205" i="54"/>
  <c r="T205" i="54"/>
  <c r="R205" i="54"/>
  <c r="Q205" i="54"/>
  <c r="N205" i="54"/>
  <c r="M205" i="54"/>
  <c r="V204" i="54"/>
  <c r="S204" i="54"/>
  <c r="P204" i="54"/>
  <c r="O204" i="54" s="1"/>
  <c r="L204" i="54"/>
  <c r="V202" i="54"/>
  <c r="V205" i="54" s="1"/>
  <c r="S202" i="54"/>
  <c r="S205" i="54" s="1"/>
  <c r="P202" i="54"/>
  <c r="L202" i="54"/>
  <c r="I202" i="54"/>
  <c r="H202" i="54"/>
  <c r="X200" i="54"/>
  <c r="W200" i="54"/>
  <c r="U200" i="54"/>
  <c r="T200" i="54"/>
  <c r="R200" i="54"/>
  <c r="Q200" i="54"/>
  <c r="N200" i="54"/>
  <c r="M200" i="54"/>
  <c r="V199" i="54"/>
  <c r="S199" i="54"/>
  <c r="P199" i="54"/>
  <c r="O199" i="54" s="1"/>
  <c r="L199" i="54"/>
  <c r="V197" i="54"/>
  <c r="S197" i="54"/>
  <c r="P197" i="54"/>
  <c r="L197" i="54"/>
  <c r="L200" i="54" s="1"/>
  <c r="I197" i="54"/>
  <c r="H197" i="54"/>
  <c r="X195" i="54"/>
  <c r="W195" i="54"/>
  <c r="U195" i="54"/>
  <c r="T195" i="54"/>
  <c r="R195" i="54"/>
  <c r="Q195" i="54"/>
  <c r="N195" i="54"/>
  <c r="M195" i="54"/>
  <c r="V194" i="54"/>
  <c r="S194" i="54"/>
  <c r="P194" i="54"/>
  <c r="L194" i="54"/>
  <c r="V192" i="54"/>
  <c r="V195" i="54" s="1"/>
  <c r="S192" i="54"/>
  <c r="S195" i="54" s="1"/>
  <c r="P192" i="54"/>
  <c r="P195" i="54" s="1"/>
  <c r="L192" i="54"/>
  <c r="I192" i="54"/>
  <c r="H192" i="54"/>
  <c r="X190" i="54"/>
  <c r="W190" i="54"/>
  <c r="U190" i="54"/>
  <c r="T190" i="54"/>
  <c r="R190" i="54"/>
  <c r="Q190" i="54"/>
  <c r="N190" i="54"/>
  <c r="M190" i="54"/>
  <c r="V189" i="54"/>
  <c r="S189" i="54"/>
  <c r="P189" i="54"/>
  <c r="P190" i="54" s="1"/>
  <c r="O189" i="54"/>
  <c r="K189" i="54" s="1"/>
  <c r="L189" i="54"/>
  <c r="V187" i="54"/>
  <c r="V190" i="54" s="1"/>
  <c r="S187" i="54"/>
  <c r="P187" i="54"/>
  <c r="L187" i="54"/>
  <c r="L190" i="54" s="1"/>
  <c r="I187" i="54"/>
  <c r="H187" i="54"/>
  <c r="X185" i="54"/>
  <c r="W185" i="54"/>
  <c r="U185" i="54"/>
  <c r="T185" i="54"/>
  <c r="R185" i="54"/>
  <c r="Q185" i="54"/>
  <c r="N185" i="54"/>
  <c r="M185" i="54"/>
  <c r="V184" i="54"/>
  <c r="S184" i="54"/>
  <c r="P184" i="54"/>
  <c r="O184" i="54" s="1"/>
  <c r="K184" i="54" s="1"/>
  <c r="L184" i="54"/>
  <c r="V182" i="54"/>
  <c r="S182" i="54"/>
  <c r="P182" i="54"/>
  <c r="L182" i="54"/>
  <c r="L185" i="54" s="1"/>
  <c r="I182" i="54"/>
  <c r="H182" i="54"/>
  <c r="X180" i="54"/>
  <c r="W180" i="54"/>
  <c r="U180" i="54"/>
  <c r="T180" i="54"/>
  <c r="R180" i="54"/>
  <c r="Q180" i="54"/>
  <c r="N180" i="54"/>
  <c r="M180" i="54"/>
  <c r="V179" i="54"/>
  <c r="S179" i="54"/>
  <c r="P179" i="54"/>
  <c r="L179" i="54"/>
  <c r="V177" i="54"/>
  <c r="V180" i="54" s="1"/>
  <c r="S177" i="54"/>
  <c r="S180" i="54" s="1"/>
  <c r="P177" i="54"/>
  <c r="L177" i="54"/>
  <c r="L180" i="54" s="1"/>
  <c r="I177" i="54"/>
  <c r="H177" i="54"/>
  <c r="X175" i="54"/>
  <c r="W175" i="54"/>
  <c r="U175" i="54"/>
  <c r="T175" i="54"/>
  <c r="R175" i="54"/>
  <c r="Q175" i="54"/>
  <c r="N175" i="54"/>
  <c r="M175" i="54"/>
  <c r="V174" i="54"/>
  <c r="S174" i="54"/>
  <c r="P174" i="54"/>
  <c r="O174" i="54" s="1"/>
  <c r="K174" i="54" s="1"/>
  <c r="L174" i="54"/>
  <c r="V172" i="54"/>
  <c r="V175" i="54" s="1"/>
  <c r="S172" i="54"/>
  <c r="S175" i="54" s="1"/>
  <c r="P172" i="54"/>
  <c r="L172" i="54"/>
  <c r="I172" i="54"/>
  <c r="H172" i="54"/>
  <c r="X170" i="54"/>
  <c r="W170" i="54"/>
  <c r="U170" i="54"/>
  <c r="T170" i="54"/>
  <c r="R170" i="54"/>
  <c r="Q170" i="54"/>
  <c r="N170" i="54"/>
  <c r="M170" i="54"/>
  <c r="V169" i="54"/>
  <c r="S169" i="54"/>
  <c r="P169" i="54"/>
  <c r="P170" i="54" s="1"/>
  <c r="L169" i="54"/>
  <c r="V167" i="54"/>
  <c r="S167" i="54"/>
  <c r="O167" i="54" s="1"/>
  <c r="P167" i="54"/>
  <c r="L167" i="54"/>
  <c r="L170" i="54" s="1"/>
  <c r="I167" i="54"/>
  <c r="H167" i="54"/>
  <c r="X165" i="54"/>
  <c r="W165" i="54"/>
  <c r="U165" i="54"/>
  <c r="T165" i="54"/>
  <c r="R165" i="54"/>
  <c r="Q165" i="54"/>
  <c r="N165" i="54"/>
  <c r="M165" i="54"/>
  <c r="V164" i="54"/>
  <c r="S164" i="54"/>
  <c r="P164" i="54"/>
  <c r="O164" i="54"/>
  <c r="K164" i="54" s="1"/>
  <c r="L164" i="54"/>
  <c r="V162" i="54"/>
  <c r="V165" i="54" s="1"/>
  <c r="S162" i="54"/>
  <c r="P162" i="54"/>
  <c r="L162" i="54"/>
  <c r="L165" i="54" s="1"/>
  <c r="I162" i="54"/>
  <c r="H162" i="54"/>
  <c r="X160" i="54"/>
  <c r="W160" i="54"/>
  <c r="U160" i="54"/>
  <c r="T160" i="54"/>
  <c r="R160" i="54"/>
  <c r="Q160" i="54"/>
  <c r="N160" i="54"/>
  <c r="M160" i="54"/>
  <c r="V159" i="54"/>
  <c r="S159" i="54"/>
  <c r="P159" i="54"/>
  <c r="P160" i="54" s="1"/>
  <c r="L159" i="54"/>
  <c r="V157" i="54"/>
  <c r="V160" i="54" s="1"/>
  <c r="S157" i="54"/>
  <c r="S160" i="54" s="1"/>
  <c r="P157" i="54"/>
  <c r="L157" i="54"/>
  <c r="L160" i="54" s="1"/>
  <c r="I157" i="54"/>
  <c r="H157" i="54"/>
  <c r="X155" i="54"/>
  <c r="W155" i="54"/>
  <c r="U155" i="54"/>
  <c r="T155" i="54"/>
  <c r="R155" i="54"/>
  <c r="Q155" i="54"/>
  <c r="N155" i="54"/>
  <c r="M155" i="54"/>
  <c r="V154" i="54"/>
  <c r="S154" i="54"/>
  <c r="P154" i="54"/>
  <c r="O154" i="54" s="1"/>
  <c r="K154" i="54" s="1"/>
  <c r="L154" i="54"/>
  <c r="V152" i="54"/>
  <c r="V155" i="54" s="1"/>
  <c r="S152" i="54"/>
  <c r="S155" i="54" s="1"/>
  <c r="P152" i="54"/>
  <c r="L152" i="54"/>
  <c r="I152" i="54"/>
  <c r="H152" i="54"/>
  <c r="X150" i="54"/>
  <c r="W150" i="54"/>
  <c r="U150" i="54"/>
  <c r="T150" i="54"/>
  <c r="R150" i="54"/>
  <c r="Q150" i="54"/>
  <c r="N150" i="54"/>
  <c r="M150" i="54"/>
  <c r="V149" i="54"/>
  <c r="O149" i="54" s="1"/>
  <c r="K149" i="54" s="1"/>
  <c r="S149" i="54"/>
  <c r="P149" i="54"/>
  <c r="L149" i="54"/>
  <c r="V147" i="54"/>
  <c r="S147" i="54"/>
  <c r="P147" i="54"/>
  <c r="L147" i="54"/>
  <c r="L150" i="54" s="1"/>
  <c r="I147" i="54"/>
  <c r="H147" i="54"/>
  <c r="X145" i="54"/>
  <c r="W145" i="54"/>
  <c r="U145" i="54"/>
  <c r="T145" i="54"/>
  <c r="R145" i="54"/>
  <c r="Q145" i="54"/>
  <c r="N145" i="54"/>
  <c r="M145" i="54"/>
  <c r="V144" i="54"/>
  <c r="S144" i="54"/>
  <c r="P144" i="54"/>
  <c r="P145" i="54" s="1"/>
  <c r="L144" i="54"/>
  <c r="V142" i="54"/>
  <c r="V145" i="54" s="1"/>
  <c r="S142" i="54"/>
  <c r="P142" i="54"/>
  <c r="L142" i="54"/>
  <c r="L145" i="54" s="1"/>
  <c r="I142" i="54"/>
  <c r="H142" i="54"/>
  <c r="X140" i="54"/>
  <c r="W140" i="54"/>
  <c r="U140" i="54"/>
  <c r="T140" i="54"/>
  <c r="R140" i="54"/>
  <c r="Q140" i="54"/>
  <c r="N140" i="54"/>
  <c r="M140" i="54"/>
  <c r="V139" i="54"/>
  <c r="S139" i="54"/>
  <c r="P139" i="54"/>
  <c r="P140" i="54" s="1"/>
  <c r="L139" i="54"/>
  <c r="V137" i="54"/>
  <c r="V140" i="54" s="1"/>
  <c r="S137" i="54"/>
  <c r="S140" i="54" s="1"/>
  <c r="P137" i="54"/>
  <c r="O137" i="54"/>
  <c r="L137" i="54"/>
  <c r="L140" i="54" s="1"/>
  <c r="I137" i="54"/>
  <c r="H137" i="54"/>
  <c r="X135" i="54"/>
  <c r="W135" i="54"/>
  <c r="U135" i="54"/>
  <c r="T135" i="54"/>
  <c r="R135" i="54"/>
  <c r="Q135" i="54"/>
  <c r="N135" i="54"/>
  <c r="M135" i="54"/>
  <c r="V134" i="54"/>
  <c r="S134" i="54"/>
  <c r="P134" i="54"/>
  <c r="O134" i="54" s="1"/>
  <c r="K134" i="54" s="1"/>
  <c r="L134" i="54"/>
  <c r="V132" i="54"/>
  <c r="V135" i="54" s="1"/>
  <c r="S132" i="54"/>
  <c r="P132" i="54"/>
  <c r="L132" i="54"/>
  <c r="I132" i="54"/>
  <c r="H132" i="54"/>
  <c r="X130" i="54"/>
  <c r="W130" i="54"/>
  <c r="U130" i="54"/>
  <c r="T130" i="54"/>
  <c r="R130" i="54"/>
  <c r="Q130" i="54"/>
  <c r="N130" i="54"/>
  <c r="M130" i="54"/>
  <c r="V129" i="54"/>
  <c r="S129" i="54"/>
  <c r="P129" i="54"/>
  <c r="P130" i="54" s="1"/>
  <c r="L129" i="54"/>
  <c r="V127" i="54"/>
  <c r="S127" i="54"/>
  <c r="P127" i="54"/>
  <c r="L127" i="54"/>
  <c r="L130" i="54" s="1"/>
  <c r="I127" i="54"/>
  <c r="H127" i="54"/>
  <c r="X125" i="54"/>
  <c r="W125" i="54"/>
  <c r="U125" i="54"/>
  <c r="T125" i="54"/>
  <c r="R125" i="54"/>
  <c r="Q125" i="54"/>
  <c r="N125" i="54"/>
  <c r="M125" i="54"/>
  <c r="V124" i="54"/>
  <c r="S124" i="54"/>
  <c r="P124" i="54"/>
  <c r="O124" i="54" s="1"/>
  <c r="K124" i="54" s="1"/>
  <c r="L124" i="54"/>
  <c r="V122" i="54"/>
  <c r="V125" i="54" s="1"/>
  <c r="S122" i="54"/>
  <c r="P122" i="54"/>
  <c r="L122" i="54"/>
  <c r="I122" i="54"/>
  <c r="H122" i="54"/>
  <c r="X120" i="54"/>
  <c r="W120" i="54"/>
  <c r="U120" i="54"/>
  <c r="T120" i="54"/>
  <c r="R120" i="54"/>
  <c r="Q120" i="54"/>
  <c r="N120" i="54"/>
  <c r="M120" i="54"/>
  <c r="V119" i="54"/>
  <c r="S119" i="54"/>
  <c r="P119" i="54"/>
  <c r="P120" i="54" s="1"/>
  <c r="L119" i="54"/>
  <c r="V117" i="54"/>
  <c r="V120" i="54" s="1"/>
  <c r="S117" i="54"/>
  <c r="S120" i="54" s="1"/>
  <c r="P117" i="54"/>
  <c r="L117" i="54"/>
  <c r="I117" i="54"/>
  <c r="H117" i="54"/>
  <c r="X115" i="54"/>
  <c r="W115" i="54"/>
  <c r="U115" i="54"/>
  <c r="T115" i="54"/>
  <c r="R115" i="54"/>
  <c r="Q115" i="54"/>
  <c r="N115" i="54"/>
  <c r="M115" i="54"/>
  <c r="V114" i="54"/>
  <c r="S114" i="54"/>
  <c r="P114" i="54"/>
  <c r="L114" i="54"/>
  <c r="V112" i="54"/>
  <c r="V115" i="54" s="1"/>
  <c r="S112" i="54"/>
  <c r="P112" i="54"/>
  <c r="L112" i="54"/>
  <c r="I112" i="54"/>
  <c r="H112" i="54"/>
  <c r="X110" i="54"/>
  <c r="W110" i="54"/>
  <c r="U110" i="54"/>
  <c r="T110" i="54"/>
  <c r="R110" i="54"/>
  <c r="Q110" i="54"/>
  <c r="N110" i="54"/>
  <c r="M110" i="54"/>
  <c r="V109" i="54"/>
  <c r="S109" i="54"/>
  <c r="P109" i="54"/>
  <c r="P110" i="54" s="1"/>
  <c r="L109" i="54"/>
  <c r="V107" i="54"/>
  <c r="V110" i="54" s="1"/>
  <c r="S107" i="54"/>
  <c r="P107" i="54"/>
  <c r="L107" i="54"/>
  <c r="L110" i="54" s="1"/>
  <c r="I107" i="54"/>
  <c r="H107" i="54"/>
  <c r="X105" i="54"/>
  <c r="W105" i="54"/>
  <c r="U105" i="54"/>
  <c r="T105" i="54"/>
  <c r="R105" i="54"/>
  <c r="Q105" i="54"/>
  <c r="N105" i="54"/>
  <c r="M105" i="54"/>
  <c r="V104" i="54"/>
  <c r="S104" i="54"/>
  <c r="P104" i="54"/>
  <c r="P105" i="54" s="1"/>
  <c r="L104" i="54"/>
  <c r="V102" i="54"/>
  <c r="V105" i="54" s="1"/>
  <c r="S102" i="54"/>
  <c r="P102" i="54"/>
  <c r="L102" i="54"/>
  <c r="I102" i="54"/>
  <c r="H102" i="54"/>
  <c r="X100" i="54"/>
  <c r="W100" i="54"/>
  <c r="U100" i="54"/>
  <c r="T100" i="54"/>
  <c r="R100" i="54"/>
  <c r="Q100" i="54"/>
  <c r="N100" i="54"/>
  <c r="M100" i="54"/>
  <c r="V99" i="54"/>
  <c r="S99" i="54"/>
  <c r="O99" i="54" s="1"/>
  <c r="K99" i="54" s="1"/>
  <c r="P99" i="54"/>
  <c r="P100" i="54" s="1"/>
  <c r="L99" i="54"/>
  <c r="V97" i="54"/>
  <c r="V100" i="54" s="1"/>
  <c r="S97" i="54"/>
  <c r="P97" i="54"/>
  <c r="O97" i="54"/>
  <c r="O100" i="54" s="1"/>
  <c r="L97" i="54"/>
  <c r="I97" i="54"/>
  <c r="H97" i="54"/>
  <c r="X95" i="54"/>
  <c r="W95" i="54"/>
  <c r="U95" i="54"/>
  <c r="T95" i="54"/>
  <c r="R95" i="54"/>
  <c r="Q95" i="54"/>
  <c r="N95" i="54"/>
  <c r="M95" i="54"/>
  <c r="V94" i="54"/>
  <c r="S94" i="54"/>
  <c r="P94" i="54"/>
  <c r="L94" i="54"/>
  <c r="V92" i="54"/>
  <c r="V95" i="54" s="1"/>
  <c r="S92" i="54"/>
  <c r="P92" i="54"/>
  <c r="L92" i="54"/>
  <c r="I92" i="54"/>
  <c r="H92" i="54"/>
  <c r="X90" i="54"/>
  <c r="W90" i="54"/>
  <c r="U90" i="54"/>
  <c r="T90" i="54"/>
  <c r="R90" i="54"/>
  <c r="Q90" i="54"/>
  <c r="N90" i="54"/>
  <c r="M90" i="54"/>
  <c r="V89" i="54"/>
  <c r="S89" i="54"/>
  <c r="P89" i="54"/>
  <c r="P90" i="54" s="1"/>
  <c r="L89" i="54"/>
  <c r="V87" i="54"/>
  <c r="V90" i="54" s="1"/>
  <c r="S87" i="54"/>
  <c r="P87" i="54"/>
  <c r="L87" i="54"/>
  <c r="I87" i="54"/>
  <c r="H87" i="54"/>
  <c r="X85" i="54"/>
  <c r="W85" i="54"/>
  <c r="U85" i="54"/>
  <c r="T85" i="54"/>
  <c r="R85" i="54"/>
  <c r="Q85" i="54"/>
  <c r="N85" i="54"/>
  <c r="M85" i="54"/>
  <c r="V84" i="54"/>
  <c r="S84" i="54"/>
  <c r="P84" i="54"/>
  <c r="O84" i="54" s="1"/>
  <c r="K84" i="54" s="1"/>
  <c r="L84" i="54"/>
  <c r="V82" i="54"/>
  <c r="V85" i="54" s="1"/>
  <c r="S82" i="54"/>
  <c r="P82" i="54"/>
  <c r="L82" i="54"/>
  <c r="I82" i="54"/>
  <c r="H82" i="54"/>
  <c r="X80" i="54"/>
  <c r="W80" i="54"/>
  <c r="U80" i="54"/>
  <c r="T80" i="54"/>
  <c r="R80" i="54"/>
  <c r="Q80" i="54"/>
  <c r="N80" i="54"/>
  <c r="M80" i="54"/>
  <c r="V79" i="54"/>
  <c r="S79" i="54"/>
  <c r="P79" i="54"/>
  <c r="P80" i="54" s="1"/>
  <c r="L79" i="54"/>
  <c r="V77" i="54"/>
  <c r="V80" i="54" s="1"/>
  <c r="S77" i="54"/>
  <c r="P77" i="54"/>
  <c r="L77" i="54"/>
  <c r="L80" i="54" s="1"/>
  <c r="I77" i="54"/>
  <c r="H77" i="54"/>
  <c r="X75" i="54"/>
  <c r="W75" i="54"/>
  <c r="U75" i="54"/>
  <c r="T75" i="54"/>
  <c r="R75" i="54"/>
  <c r="Q75" i="54"/>
  <c r="N75" i="54"/>
  <c r="M75" i="54"/>
  <c r="V74" i="54"/>
  <c r="S74" i="54"/>
  <c r="P74" i="54"/>
  <c r="L74" i="54"/>
  <c r="V72" i="54"/>
  <c r="V75" i="54" s="1"/>
  <c r="S72" i="54"/>
  <c r="P72" i="54"/>
  <c r="L72" i="54"/>
  <c r="I72" i="54"/>
  <c r="H72" i="54"/>
  <c r="X70" i="54"/>
  <c r="W70" i="54"/>
  <c r="U70" i="54"/>
  <c r="T70" i="54"/>
  <c r="R70" i="54"/>
  <c r="Q70" i="54"/>
  <c r="N70" i="54"/>
  <c r="M70" i="54"/>
  <c r="V69" i="54"/>
  <c r="S69" i="54"/>
  <c r="P69" i="54"/>
  <c r="O69" i="54" s="1"/>
  <c r="K69" i="54" s="1"/>
  <c r="L69" i="54"/>
  <c r="V67" i="54"/>
  <c r="V70" i="54" s="1"/>
  <c r="S67" i="54"/>
  <c r="P67" i="54"/>
  <c r="L67" i="54"/>
  <c r="I67" i="54"/>
  <c r="H67" i="54"/>
  <c r="X65" i="54"/>
  <c r="W65" i="54"/>
  <c r="U65" i="54"/>
  <c r="T65" i="54"/>
  <c r="R65" i="54"/>
  <c r="Q65" i="54"/>
  <c r="N65" i="54"/>
  <c r="M65" i="54"/>
  <c r="V64" i="54"/>
  <c r="S64" i="54"/>
  <c r="P64" i="54"/>
  <c r="P65" i="54" s="1"/>
  <c r="L64" i="54"/>
  <c r="V62" i="54"/>
  <c r="V65" i="54" s="1"/>
  <c r="S62" i="54"/>
  <c r="P62" i="54"/>
  <c r="L62" i="54"/>
  <c r="I62" i="54"/>
  <c r="H62" i="54"/>
  <c r="X60" i="54"/>
  <c r="W60" i="54"/>
  <c r="U60" i="54"/>
  <c r="T60" i="54"/>
  <c r="R60" i="54"/>
  <c r="Q60" i="54"/>
  <c r="N60" i="54"/>
  <c r="M60" i="54"/>
  <c r="V59" i="54"/>
  <c r="S59" i="54"/>
  <c r="O59" i="54" s="1"/>
  <c r="K59" i="54" s="1"/>
  <c r="P59" i="54"/>
  <c r="L59" i="54"/>
  <c r="V57" i="54"/>
  <c r="V60" i="54" s="1"/>
  <c r="S57" i="54"/>
  <c r="P57" i="54"/>
  <c r="O57" i="54"/>
  <c r="L57" i="54"/>
  <c r="L60" i="54" s="1"/>
  <c r="I57" i="54"/>
  <c r="H57" i="54"/>
  <c r="X55" i="54"/>
  <c r="W55" i="54"/>
  <c r="U55" i="54"/>
  <c r="T55" i="54"/>
  <c r="R55" i="54"/>
  <c r="Q55" i="54"/>
  <c r="N55" i="54"/>
  <c r="M55" i="54"/>
  <c r="V54" i="54"/>
  <c r="S54" i="54"/>
  <c r="P54" i="54"/>
  <c r="L54" i="54"/>
  <c r="V52" i="54"/>
  <c r="V55" i="54" s="1"/>
  <c r="S52" i="54"/>
  <c r="P52" i="54"/>
  <c r="L52" i="54"/>
  <c r="I52" i="54"/>
  <c r="H52" i="54"/>
  <c r="X50" i="54"/>
  <c r="W50" i="54"/>
  <c r="U50" i="54"/>
  <c r="T50" i="54"/>
  <c r="R50" i="54"/>
  <c r="Q50" i="54"/>
  <c r="N50" i="54"/>
  <c r="M50" i="54"/>
  <c r="V49" i="54"/>
  <c r="S49" i="54"/>
  <c r="P49" i="54"/>
  <c r="P50" i="54" s="1"/>
  <c r="L49" i="54"/>
  <c r="V47" i="54"/>
  <c r="V50" i="54" s="1"/>
  <c r="S47" i="54"/>
  <c r="P47" i="54"/>
  <c r="L47" i="54"/>
  <c r="I47" i="54"/>
  <c r="H47" i="54"/>
  <c r="X45" i="54"/>
  <c r="W45" i="54"/>
  <c r="U45" i="54"/>
  <c r="T45" i="54"/>
  <c r="R45" i="54"/>
  <c r="Q45" i="54"/>
  <c r="N45" i="54"/>
  <c r="M45" i="54"/>
  <c r="V44" i="54"/>
  <c r="S44" i="54"/>
  <c r="P44" i="54"/>
  <c r="O44" i="54" s="1"/>
  <c r="K44" i="54" s="1"/>
  <c r="L44" i="54"/>
  <c r="V42" i="54"/>
  <c r="V45" i="54" s="1"/>
  <c r="S42" i="54"/>
  <c r="P42" i="54"/>
  <c r="L42" i="54"/>
  <c r="L45" i="54" s="1"/>
  <c r="I42" i="54"/>
  <c r="H42" i="54"/>
  <c r="X40" i="54"/>
  <c r="W40" i="54"/>
  <c r="U40" i="54"/>
  <c r="T40" i="54"/>
  <c r="R40" i="54"/>
  <c r="Q40" i="54"/>
  <c r="N40" i="54"/>
  <c r="M40" i="54"/>
  <c r="V39" i="54"/>
  <c r="S39" i="54"/>
  <c r="P39" i="54"/>
  <c r="L39" i="54"/>
  <c r="V37" i="54"/>
  <c r="V40" i="54" s="1"/>
  <c r="S37" i="54"/>
  <c r="S40" i="54" s="1"/>
  <c r="P37" i="54"/>
  <c r="O37" i="54" s="1"/>
  <c r="L37" i="54"/>
  <c r="I37" i="54"/>
  <c r="H37" i="54"/>
  <c r="X35" i="54"/>
  <c r="W35" i="54"/>
  <c r="U35" i="54"/>
  <c r="T35" i="54"/>
  <c r="R35" i="54"/>
  <c r="Q35" i="54"/>
  <c r="N35" i="54"/>
  <c r="M35" i="54"/>
  <c r="V34" i="54"/>
  <c r="S34" i="54"/>
  <c r="P34" i="54"/>
  <c r="L34" i="54"/>
  <c r="V32" i="54"/>
  <c r="V35" i="54" s="1"/>
  <c r="S32" i="54"/>
  <c r="P32" i="54"/>
  <c r="L32" i="54"/>
  <c r="I32" i="54"/>
  <c r="H32" i="54"/>
  <c r="X30" i="54"/>
  <c r="W30" i="54"/>
  <c r="U30" i="54"/>
  <c r="T30" i="54"/>
  <c r="R30" i="54"/>
  <c r="Q30" i="54"/>
  <c r="N30" i="54"/>
  <c r="M30" i="54"/>
  <c r="V29" i="54"/>
  <c r="S29" i="54"/>
  <c r="P29" i="54"/>
  <c r="O29" i="54" s="1"/>
  <c r="K29" i="54" s="1"/>
  <c r="L29" i="54"/>
  <c r="V27" i="54"/>
  <c r="V30" i="54" s="1"/>
  <c r="S27" i="54"/>
  <c r="P27" i="54"/>
  <c r="L27" i="54"/>
  <c r="L30" i="54" s="1"/>
  <c r="I27" i="54"/>
  <c r="H27" i="54"/>
  <c r="X25" i="54"/>
  <c r="W25" i="54"/>
  <c r="U25" i="54"/>
  <c r="T25" i="54"/>
  <c r="R25" i="54"/>
  <c r="Q25" i="54"/>
  <c r="N25" i="54"/>
  <c r="M25" i="54"/>
  <c r="V24" i="54"/>
  <c r="S24" i="54"/>
  <c r="P24" i="54"/>
  <c r="O24" i="54" s="1"/>
  <c r="K24" i="54" s="1"/>
  <c r="L24" i="54"/>
  <c r="V22" i="54"/>
  <c r="V25" i="54" s="1"/>
  <c r="S22" i="54"/>
  <c r="P22" i="54"/>
  <c r="L22" i="54"/>
  <c r="I22" i="54"/>
  <c r="H22" i="54"/>
  <c r="X20" i="54"/>
  <c r="W20" i="54"/>
  <c r="U20" i="54"/>
  <c r="T20" i="54"/>
  <c r="R20" i="54"/>
  <c r="Q20" i="54"/>
  <c r="N20" i="54"/>
  <c r="M20" i="54"/>
  <c r="V19" i="54"/>
  <c r="S19" i="54"/>
  <c r="S344" i="54" s="1"/>
  <c r="P19" i="54"/>
  <c r="L19" i="54"/>
  <c r="V17" i="54"/>
  <c r="S17" i="54"/>
  <c r="S342" i="54" s="1"/>
  <c r="S345" i="54" s="1"/>
  <c r="P17" i="54"/>
  <c r="O17" i="54"/>
  <c r="L17" i="54"/>
  <c r="L342" i="54" s="1"/>
  <c r="I17" i="54"/>
  <c r="H17" i="54"/>
  <c r="H342" i="54" s="1"/>
  <c r="O22" i="54" l="1"/>
  <c r="O182" i="54"/>
  <c r="O244" i="54"/>
  <c r="U345" i="54"/>
  <c r="K411" i="54"/>
  <c r="M548" i="54"/>
  <c r="M551" i="54" s="1"/>
  <c r="O34" i="54"/>
  <c r="K34" i="54" s="1"/>
  <c r="O49" i="54"/>
  <c r="K49" i="54" s="1"/>
  <c r="S55" i="54"/>
  <c r="O64" i="54"/>
  <c r="K64" i="54" s="1"/>
  <c r="O67" i="54"/>
  <c r="O82" i="54"/>
  <c r="O119" i="54"/>
  <c r="K119" i="54" s="1"/>
  <c r="P150" i="54"/>
  <c r="O157" i="54"/>
  <c r="O160" i="54" s="1"/>
  <c r="P165" i="54"/>
  <c r="V170" i="54"/>
  <c r="P180" i="54"/>
  <c r="V185" i="54"/>
  <c r="S200" i="54"/>
  <c r="O219" i="54"/>
  <c r="O227" i="54"/>
  <c r="O230" i="54" s="1"/>
  <c r="V295" i="54"/>
  <c r="V300" i="54"/>
  <c r="P368" i="54"/>
  <c r="O370" i="54"/>
  <c r="O373" i="54" s="1"/>
  <c r="V416" i="54"/>
  <c r="L446" i="54"/>
  <c r="O460" i="54"/>
  <c r="K460" i="54" s="1"/>
  <c r="O513" i="54"/>
  <c r="K513" i="54" s="1"/>
  <c r="O525" i="54"/>
  <c r="K525" i="54" s="1"/>
  <c r="T548" i="54"/>
  <c r="T550" i="54"/>
  <c r="R548" i="54"/>
  <c r="L90" i="54"/>
  <c r="O94" i="54"/>
  <c r="K94" i="54" s="1"/>
  <c r="S100" i="54"/>
  <c r="L105" i="54"/>
  <c r="O109" i="54"/>
  <c r="K109" i="54" s="1"/>
  <c r="S115" i="54"/>
  <c r="L120" i="54"/>
  <c r="O127" i="54"/>
  <c r="O142" i="54"/>
  <c r="O179" i="54"/>
  <c r="K179" i="54" s="1"/>
  <c r="S275" i="54"/>
  <c r="V285" i="54"/>
  <c r="V290" i="54"/>
  <c r="O481" i="54"/>
  <c r="U548" i="54"/>
  <c r="U551" i="54" s="1"/>
  <c r="U550" i="54"/>
  <c r="O27" i="54"/>
  <c r="O42" i="54"/>
  <c r="O79" i="54"/>
  <c r="K79" i="54" s="1"/>
  <c r="O117" i="54"/>
  <c r="K117" i="54" s="1"/>
  <c r="K120" i="54" s="1"/>
  <c r="P125" i="54"/>
  <c r="V130" i="54"/>
  <c r="O169" i="54"/>
  <c r="K169" i="54" s="1"/>
  <c r="O187" i="54"/>
  <c r="V344" i="54"/>
  <c r="O217" i="54"/>
  <c r="K217" i="54" s="1"/>
  <c r="O294" i="54"/>
  <c r="P383" i="54"/>
  <c r="I550" i="54"/>
  <c r="V411" i="54"/>
  <c r="O443" i="54"/>
  <c r="K475" i="54"/>
  <c r="V491" i="54"/>
  <c r="O505" i="54"/>
  <c r="K505" i="54" s="1"/>
  <c r="W548" i="54"/>
  <c r="W546" i="54"/>
  <c r="P25" i="54"/>
  <c r="P40" i="54"/>
  <c r="L50" i="54"/>
  <c r="O54" i="54"/>
  <c r="K54" i="54" s="1"/>
  <c r="S60" i="54"/>
  <c r="L65" i="54"/>
  <c r="S75" i="54"/>
  <c r="O87" i="54"/>
  <c r="O90" i="54" s="1"/>
  <c r="O102" i="54"/>
  <c r="O139" i="54"/>
  <c r="K139" i="54" s="1"/>
  <c r="O177" i="54"/>
  <c r="O180" i="54" s="1"/>
  <c r="P185" i="54"/>
  <c r="O209" i="54"/>
  <c r="V270" i="54"/>
  <c r="O284" i="54"/>
  <c r="N345" i="54"/>
  <c r="S353" i="54"/>
  <c r="T388" i="54"/>
  <c r="S416" i="54"/>
  <c r="V426" i="54"/>
  <c r="L456" i="54"/>
  <c r="P471" i="54"/>
  <c r="O485" i="54"/>
  <c r="K485" i="54" s="1"/>
  <c r="V506" i="54"/>
  <c r="P511" i="54"/>
  <c r="V521" i="54"/>
  <c r="P526" i="54"/>
  <c r="O538" i="54"/>
  <c r="O39" i="54"/>
  <c r="K39" i="54" s="1"/>
  <c r="P70" i="54"/>
  <c r="O77" i="54"/>
  <c r="O80" i="54" s="1"/>
  <c r="P85" i="54"/>
  <c r="O114" i="54"/>
  <c r="K114" i="54" s="1"/>
  <c r="L125" i="54"/>
  <c r="O129" i="54"/>
  <c r="K129" i="54" s="1"/>
  <c r="S135" i="54"/>
  <c r="O144" i="54"/>
  <c r="K144" i="54" s="1"/>
  <c r="O147" i="54"/>
  <c r="O162" i="54"/>
  <c r="O165" i="54" s="1"/>
  <c r="O274" i="54"/>
  <c r="Q345" i="54"/>
  <c r="P363" i="54"/>
  <c r="P373" i="54"/>
  <c r="L383" i="54"/>
  <c r="L543" i="54"/>
  <c r="S411" i="54"/>
  <c r="V466" i="54"/>
  <c r="V481" i="54"/>
  <c r="L486" i="54"/>
  <c r="V541" i="54"/>
  <c r="W550" i="54"/>
  <c r="L25" i="54"/>
  <c r="S35" i="54"/>
  <c r="L40" i="54"/>
  <c r="O47" i="54"/>
  <c r="O62" i="54"/>
  <c r="V150" i="54"/>
  <c r="V200" i="54"/>
  <c r="K204" i="54"/>
  <c r="O207" i="54"/>
  <c r="K207" i="54" s="1"/>
  <c r="L387" i="54"/>
  <c r="S358" i="54"/>
  <c r="L363" i="54"/>
  <c r="O362" i="54"/>
  <c r="K362" i="54" s="1"/>
  <c r="V368" i="54"/>
  <c r="L406" i="54"/>
  <c r="P411" i="54"/>
  <c r="V436" i="54"/>
  <c r="V451" i="54"/>
  <c r="S456" i="54"/>
  <c r="O483" i="54"/>
  <c r="O490" i="54"/>
  <c r="K490" i="54" s="1"/>
  <c r="P506" i="54"/>
  <c r="N548" i="54"/>
  <c r="P30" i="54"/>
  <c r="P45" i="54"/>
  <c r="P60" i="54"/>
  <c r="L70" i="54"/>
  <c r="O74" i="54"/>
  <c r="K74" i="54" s="1"/>
  <c r="S80" i="54"/>
  <c r="L85" i="54"/>
  <c r="O89" i="54"/>
  <c r="K89" i="54" s="1"/>
  <c r="S95" i="54"/>
  <c r="L100" i="54"/>
  <c r="O104" i="54"/>
  <c r="K104" i="54" s="1"/>
  <c r="O107" i="54"/>
  <c r="O110" i="54" s="1"/>
  <c r="O122" i="54"/>
  <c r="O159" i="54"/>
  <c r="K159" i="54" s="1"/>
  <c r="S235" i="54"/>
  <c r="V240" i="54"/>
  <c r="O254" i="54"/>
  <c r="L373" i="54"/>
  <c r="P406" i="54"/>
  <c r="O420" i="54"/>
  <c r="K420" i="54" s="1"/>
  <c r="K421" i="54" s="1"/>
  <c r="S426" i="54"/>
  <c r="O433" i="54"/>
  <c r="O500" i="54"/>
  <c r="K500" i="54" s="1"/>
  <c r="O515" i="54"/>
  <c r="K515" i="54" s="1"/>
  <c r="O528" i="54"/>
  <c r="O531" i="54" s="1"/>
  <c r="O540" i="54"/>
  <c r="K540" i="54" s="1"/>
  <c r="U546" i="54"/>
  <c r="O25" i="54"/>
  <c r="K22" i="54"/>
  <c r="K25" i="54" s="1"/>
  <c r="K102" i="54"/>
  <c r="K105" i="54" s="1"/>
  <c r="O170" i="54"/>
  <c r="K167" i="54"/>
  <c r="K170" i="54" s="1"/>
  <c r="O185" i="54"/>
  <c r="K182" i="54"/>
  <c r="K185" i="54" s="1"/>
  <c r="O70" i="54"/>
  <c r="K67" i="54"/>
  <c r="K70" i="54" s="1"/>
  <c r="O85" i="54"/>
  <c r="K82" i="54"/>
  <c r="K85" i="54" s="1"/>
  <c r="O150" i="54"/>
  <c r="K147" i="54"/>
  <c r="K150" i="54" s="1"/>
  <c r="O50" i="54"/>
  <c r="K47" i="54"/>
  <c r="K50" i="54" s="1"/>
  <c r="O60" i="54"/>
  <c r="O65" i="54"/>
  <c r="K62" i="54"/>
  <c r="K65" i="54" s="1"/>
  <c r="O130" i="54"/>
  <c r="K127" i="54"/>
  <c r="K130" i="54" s="1"/>
  <c r="O140" i="54"/>
  <c r="O145" i="54"/>
  <c r="K142" i="54"/>
  <c r="K145" i="54" s="1"/>
  <c r="O210" i="54"/>
  <c r="O30" i="54"/>
  <c r="K27" i="54"/>
  <c r="K30" i="54" s="1"/>
  <c r="O40" i="54"/>
  <c r="O45" i="54"/>
  <c r="K42" i="54"/>
  <c r="K45" i="54" s="1"/>
  <c r="K52" i="54"/>
  <c r="K55" i="54" s="1"/>
  <c r="O120" i="54"/>
  <c r="O125" i="54"/>
  <c r="K122" i="54"/>
  <c r="K125" i="54" s="1"/>
  <c r="O190" i="54"/>
  <c r="K187" i="54"/>
  <c r="K190" i="54" s="1"/>
  <c r="O220" i="54"/>
  <c r="S30" i="54"/>
  <c r="L35" i="54"/>
  <c r="P35" i="54"/>
  <c r="S50" i="54"/>
  <c r="L55" i="54"/>
  <c r="P55" i="54"/>
  <c r="S70" i="54"/>
  <c r="L75" i="54"/>
  <c r="P75" i="54"/>
  <c r="S90" i="54"/>
  <c r="L95" i="54"/>
  <c r="P95" i="54"/>
  <c r="S110" i="54"/>
  <c r="L115" i="54"/>
  <c r="P115" i="54"/>
  <c r="S130" i="54"/>
  <c r="L135" i="54"/>
  <c r="P135" i="54"/>
  <c r="S150" i="54"/>
  <c r="L155" i="54"/>
  <c r="P155" i="54"/>
  <c r="S170" i="54"/>
  <c r="L175" i="54"/>
  <c r="P175" i="54"/>
  <c r="S190" i="54"/>
  <c r="P200" i="54"/>
  <c r="L205" i="54"/>
  <c r="K219" i="54"/>
  <c r="V220" i="54"/>
  <c r="V358" i="54"/>
  <c r="O355" i="54"/>
  <c r="K360" i="54"/>
  <c r="O363" i="54"/>
  <c r="L378" i="54"/>
  <c r="S385" i="54"/>
  <c r="O395" i="54"/>
  <c r="S545" i="54"/>
  <c r="S396" i="54"/>
  <c r="P545" i="54"/>
  <c r="O400" i="54"/>
  <c r="K400" i="54" s="1"/>
  <c r="P401" i="54"/>
  <c r="S431" i="54"/>
  <c r="O428" i="54"/>
  <c r="L441" i="54"/>
  <c r="V456" i="54"/>
  <c r="O455" i="54"/>
  <c r="K455" i="54" s="1"/>
  <c r="S466" i="54"/>
  <c r="O463" i="54"/>
  <c r="P476" i="54"/>
  <c r="O473" i="54"/>
  <c r="P496" i="54"/>
  <c r="O493" i="54"/>
  <c r="O516" i="54"/>
  <c r="K538" i="54"/>
  <c r="K541" i="54" s="1"/>
  <c r="L541" i="54"/>
  <c r="I342" i="54"/>
  <c r="I548" i="54" s="1"/>
  <c r="S25" i="54"/>
  <c r="O32" i="54"/>
  <c r="S45" i="54"/>
  <c r="O52" i="54"/>
  <c r="O55" i="54" s="1"/>
  <c r="S65" i="54"/>
  <c r="O72" i="54"/>
  <c r="O75" i="54" s="1"/>
  <c r="S85" i="54"/>
  <c r="O92" i="54"/>
  <c r="O95" i="54" s="1"/>
  <c r="S105" i="54"/>
  <c r="O112" i="54"/>
  <c r="O115" i="54" s="1"/>
  <c r="S125" i="54"/>
  <c r="O132" i="54"/>
  <c r="O135" i="54" s="1"/>
  <c r="S145" i="54"/>
  <c r="O152" i="54"/>
  <c r="O155" i="54" s="1"/>
  <c r="S165" i="54"/>
  <c r="O172" i="54"/>
  <c r="O175" i="54" s="1"/>
  <c r="S185" i="54"/>
  <c r="O192" i="54"/>
  <c r="L344" i="54"/>
  <c r="L345" i="54" s="1"/>
  <c r="L195" i="54"/>
  <c r="K209" i="54"/>
  <c r="V210" i="54"/>
  <c r="P230" i="54"/>
  <c r="L240" i="54"/>
  <c r="L250" i="54"/>
  <c r="L260" i="54"/>
  <c r="K267" i="54"/>
  <c r="L270" i="54"/>
  <c r="K277" i="54"/>
  <c r="L280" i="54"/>
  <c r="L290" i="54"/>
  <c r="K289" i="54"/>
  <c r="L300" i="54"/>
  <c r="L310" i="54"/>
  <c r="L320" i="54"/>
  <c r="L330" i="54"/>
  <c r="L340" i="54"/>
  <c r="S387" i="54"/>
  <c r="O352" i="54"/>
  <c r="O353" i="54" s="1"/>
  <c r="L358" i="54"/>
  <c r="L385" i="54"/>
  <c r="L388" i="54" s="1"/>
  <c r="K370" i="54"/>
  <c r="K373" i="54" s="1"/>
  <c r="S373" i="54"/>
  <c r="O375" i="54"/>
  <c r="O383" i="54"/>
  <c r="V545" i="54"/>
  <c r="V550" i="54" s="1"/>
  <c r="V396" i="54"/>
  <c r="O411" i="54"/>
  <c r="K433" i="54"/>
  <c r="O438" i="54"/>
  <c r="O448" i="54"/>
  <c r="K448" i="54" s="1"/>
  <c r="O458" i="54"/>
  <c r="S461" i="54"/>
  <c r="K468" i="54"/>
  <c r="K471" i="54" s="1"/>
  <c r="O471" i="54"/>
  <c r="O511" i="54"/>
  <c r="O520" i="54"/>
  <c r="K520" i="54" s="1"/>
  <c r="P521" i="54"/>
  <c r="S543" i="54"/>
  <c r="X548" i="54"/>
  <c r="X551" i="54" s="1"/>
  <c r="N546" i="54"/>
  <c r="K17" i="54"/>
  <c r="O19" i="54"/>
  <c r="O20" i="54"/>
  <c r="S20" i="54"/>
  <c r="K37" i="54"/>
  <c r="K40" i="54" s="1"/>
  <c r="K57" i="54"/>
  <c r="K60" i="54" s="1"/>
  <c r="K97" i="54"/>
  <c r="K100" i="54" s="1"/>
  <c r="K137" i="54"/>
  <c r="K140" i="54" s="1"/>
  <c r="K157" i="54"/>
  <c r="K160" i="54" s="1"/>
  <c r="K177" i="54"/>
  <c r="K180" i="54" s="1"/>
  <c r="O194" i="54"/>
  <c r="K194" i="54" s="1"/>
  <c r="K199" i="54"/>
  <c r="P215" i="54"/>
  <c r="L220" i="54"/>
  <c r="P220" i="54"/>
  <c r="O237" i="54"/>
  <c r="K237" i="54" s="1"/>
  <c r="P240" i="54"/>
  <c r="O239" i="54"/>
  <c r="K239" i="54" s="1"/>
  <c r="O247" i="54"/>
  <c r="P250" i="54"/>
  <c r="O249" i="54"/>
  <c r="K249" i="54" s="1"/>
  <c r="O257" i="54"/>
  <c r="P260" i="54"/>
  <c r="O259" i="54"/>
  <c r="K259" i="54" s="1"/>
  <c r="O267" i="54"/>
  <c r="P270" i="54"/>
  <c r="O269" i="54"/>
  <c r="K269" i="54" s="1"/>
  <c r="O277" i="54"/>
  <c r="P280" i="54"/>
  <c r="O279" i="54"/>
  <c r="K279" i="54" s="1"/>
  <c r="O287" i="54"/>
  <c r="O290" i="54" s="1"/>
  <c r="P290" i="54"/>
  <c r="O289" i="54"/>
  <c r="O297" i="54"/>
  <c r="O300" i="54" s="1"/>
  <c r="P300" i="54"/>
  <c r="O299" i="54"/>
  <c r="K299" i="54" s="1"/>
  <c r="O307" i="54"/>
  <c r="K307" i="54" s="1"/>
  <c r="P310" i="54"/>
  <c r="O309" i="54"/>
  <c r="K309" i="54" s="1"/>
  <c r="O317" i="54"/>
  <c r="K317" i="54" s="1"/>
  <c r="P320" i="54"/>
  <c r="O319" i="54"/>
  <c r="K319" i="54" s="1"/>
  <c r="O327" i="54"/>
  <c r="P330" i="54"/>
  <c r="O329" i="54"/>
  <c r="K329" i="54" s="1"/>
  <c r="O337" i="54"/>
  <c r="P340" i="54"/>
  <c r="O339" i="54"/>
  <c r="K339" i="54" s="1"/>
  <c r="K350" i="54"/>
  <c r="O357" i="54"/>
  <c r="K357" i="54" s="1"/>
  <c r="P358" i="54"/>
  <c r="K383" i="54"/>
  <c r="V401" i="54"/>
  <c r="V543" i="54"/>
  <c r="O398" i="54"/>
  <c r="O543" i="54" s="1"/>
  <c r="O403" i="54"/>
  <c r="S406" i="54"/>
  <c r="L411" i="54"/>
  <c r="O446" i="54"/>
  <c r="S446" i="54"/>
  <c r="L451" i="54"/>
  <c r="P461" i="54"/>
  <c r="S471" i="54"/>
  <c r="O486" i="54"/>
  <c r="K483" i="54"/>
  <c r="K486" i="54" s="1"/>
  <c r="O491" i="54"/>
  <c r="K488" i="54"/>
  <c r="K491" i="54" s="1"/>
  <c r="K511" i="54"/>
  <c r="O526" i="54"/>
  <c r="K523" i="54"/>
  <c r="K526" i="54" s="1"/>
  <c r="P536" i="54"/>
  <c r="O533" i="54"/>
  <c r="T551" i="54"/>
  <c r="Q550" i="54"/>
  <c r="V342" i="54"/>
  <c r="V345" i="54" s="1"/>
  <c r="V20" i="54"/>
  <c r="P344" i="54"/>
  <c r="L20" i="54"/>
  <c r="P20" i="54"/>
  <c r="O197" i="54"/>
  <c r="O200" i="54" s="1"/>
  <c r="P205" i="54"/>
  <c r="L210" i="54"/>
  <c r="P210" i="54"/>
  <c r="K214" i="54"/>
  <c r="O224" i="54"/>
  <c r="K224" i="54" s="1"/>
  <c r="K227" i="54"/>
  <c r="K229" i="54"/>
  <c r="P342" i="54"/>
  <c r="H385" i="54"/>
  <c r="H548" i="54" s="1"/>
  <c r="H550" i="54"/>
  <c r="H551" i="54"/>
  <c r="L401" i="54"/>
  <c r="P426" i="54"/>
  <c r="O423" i="54"/>
  <c r="O425" i="54"/>
  <c r="K425" i="54" s="1"/>
  <c r="K443" i="54"/>
  <c r="K446" i="54" s="1"/>
  <c r="S451" i="54"/>
  <c r="O450" i="54"/>
  <c r="K450" i="54" s="1"/>
  <c r="S486" i="54"/>
  <c r="K495" i="54"/>
  <c r="K498" i="54"/>
  <c r="K501" i="54" s="1"/>
  <c r="K503" i="54"/>
  <c r="K506" i="54" s="1"/>
  <c r="O506" i="54"/>
  <c r="S516" i="54"/>
  <c r="K234" i="54"/>
  <c r="K244" i="54"/>
  <c r="K254" i="54"/>
  <c r="K264" i="54"/>
  <c r="K274" i="54"/>
  <c r="K284" i="54"/>
  <c r="K294" i="54"/>
  <c r="K304" i="54"/>
  <c r="K314" i="54"/>
  <c r="K324" i="54"/>
  <c r="K334" i="54"/>
  <c r="I551" i="54"/>
  <c r="H552" i="54"/>
  <c r="P543" i="54"/>
  <c r="P396" i="54"/>
  <c r="L545" i="54"/>
  <c r="L550" i="54" s="1"/>
  <c r="P456" i="54"/>
  <c r="O453" i="54"/>
  <c r="L476" i="54"/>
  <c r="K516" i="54"/>
  <c r="Q548" i="54"/>
  <c r="Q551" i="54" s="1"/>
  <c r="Q546" i="54"/>
  <c r="R550" i="54"/>
  <c r="R551" i="54" s="1"/>
  <c r="O202" i="54"/>
  <c r="O205" i="54" s="1"/>
  <c r="O212" i="54"/>
  <c r="O222" i="54"/>
  <c r="O232" i="54"/>
  <c r="O242" i="54"/>
  <c r="O252" i="54"/>
  <c r="O262" i="54"/>
  <c r="O272" i="54"/>
  <c r="O282" i="54"/>
  <c r="O292" i="54"/>
  <c r="O302" i="54"/>
  <c r="O312" i="54"/>
  <c r="O322" i="54"/>
  <c r="O332" i="54"/>
  <c r="R345" i="54"/>
  <c r="V385" i="54"/>
  <c r="V388" i="54" s="1"/>
  <c r="V353" i="54"/>
  <c r="P387" i="54"/>
  <c r="P388" i="54" s="1"/>
  <c r="P353" i="54"/>
  <c r="O365" i="54"/>
  <c r="S378" i="54"/>
  <c r="O377" i="54"/>
  <c r="K377" i="54" s="1"/>
  <c r="Q388" i="54"/>
  <c r="I552" i="54"/>
  <c r="P416" i="54"/>
  <c r="O413" i="54"/>
  <c r="O415" i="54"/>
  <c r="K415" i="54" s="1"/>
  <c r="L436" i="54"/>
  <c r="O435" i="54"/>
  <c r="K435" i="54" s="1"/>
  <c r="S441" i="54"/>
  <c r="O440" i="54"/>
  <c r="K440" i="54" s="1"/>
  <c r="K478" i="54"/>
  <c r="K481" i="54" s="1"/>
  <c r="O498" i="54"/>
  <c r="O501" i="54" s="1"/>
  <c r="O518" i="54"/>
  <c r="K535" i="54"/>
  <c r="N550" i="54"/>
  <c r="N551" i="54" s="1"/>
  <c r="L426" i="54"/>
  <c r="L466" i="54"/>
  <c r="L506" i="54"/>
  <c r="L396" i="54"/>
  <c r="T546" i="54"/>
  <c r="X546" i="54"/>
  <c r="O421" i="54" l="1"/>
  <c r="K107" i="54"/>
  <c r="K110" i="54" s="1"/>
  <c r="W551" i="54"/>
  <c r="K398" i="54"/>
  <c r="K401" i="54" s="1"/>
  <c r="O340" i="54"/>
  <c r="O260" i="54"/>
  <c r="K202" i="54"/>
  <c r="K205" i="54" s="1"/>
  <c r="K92" i="54"/>
  <c r="K95" i="54" s="1"/>
  <c r="K363" i="54"/>
  <c r="O541" i="54"/>
  <c r="K77" i="54"/>
  <c r="K80" i="54" s="1"/>
  <c r="K210" i="54"/>
  <c r="O105" i="54"/>
  <c r="K528" i="54"/>
  <c r="K531" i="54" s="1"/>
  <c r="O330" i="54"/>
  <c r="O250" i="54"/>
  <c r="O378" i="54"/>
  <c r="K172" i="54"/>
  <c r="K175" i="54" s="1"/>
  <c r="K87" i="54"/>
  <c r="K90" i="54" s="1"/>
  <c r="P345" i="54"/>
  <c r="O441" i="54"/>
  <c r="K162" i="54"/>
  <c r="K165" i="54" s="1"/>
  <c r="K436" i="54"/>
  <c r="O436" i="54"/>
  <c r="O195" i="54"/>
  <c r="O35" i="54"/>
  <c r="K220" i="54"/>
  <c r="O368" i="54"/>
  <c r="K365" i="54"/>
  <c r="K368" i="54" s="1"/>
  <c r="O315" i="54"/>
  <c r="K312" i="54"/>
  <c r="K315" i="54" s="1"/>
  <c r="O275" i="54"/>
  <c r="K272" i="54"/>
  <c r="K275" i="54" s="1"/>
  <c r="O235" i="54"/>
  <c r="K232" i="54"/>
  <c r="K235" i="54" s="1"/>
  <c r="V548" i="54"/>
  <c r="V551" i="54" s="1"/>
  <c r="V546" i="54"/>
  <c r="K310" i="54"/>
  <c r="K270" i="54"/>
  <c r="K473" i="54"/>
  <c r="K476" i="54" s="1"/>
  <c r="O476" i="54"/>
  <c r="K438" i="54"/>
  <c r="K441" i="54" s="1"/>
  <c r="S550" i="54"/>
  <c r="S388" i="54"/>
  <c r="K32" i="54"/>
  <c r="K35" i="54" s="1"/>
  <c r="O305" i="54"/>
  <c r="K302" i="54"/>
  <c r="K305" i="54" s="1"/>
  <c r="O265" i="54"/>
  <c r="K262" i="54"/>
  <c r="K265" i="54" s="1"/>
  <c r="O225" i="54"/>
  <c r="K222" i="54"/>
  <c r="K225" i="54" s="1"/>
  <c r="O426" i="54"/>
  <c r="K423" i="54"/>
  <c r="K426" i="54" s="1"/>
  <c r="O536" i="54"/>
  <c r="K533" i="54"/>
  <c r="K536" i="54" s="1"/>
  <c r="K197" i="54"/>
  <c r="K200" i="54" s="1"/>
  <c r="O344" i="54"/>
  <c r="K19" i="54"/>
  <c r="K344" i="54" s="1"/>
  <c r="S546" i="54"/>
  <c r="S548" i="54"/>
  <c r="O461" i="54"/>
  <c r="K458" i="54"/>
  <c r="K461" i="54" s="1"/>
  <c r="K320" i="54"/>
  <c r="K280" i="54"/>
  <c r="K240" i="54"/>
  <c r="O431" i="54"/>
  <c r="K428" i="54"/>
  <c r="K431" i="54" s="1"/>
  <c r="O545" i="54"/>
  <c r="O546" i="54" s="1"/>
  <c r="K395" i="54"/>
  <c r="O396" i="54"/>
  <c r="O358" i="54"/>
  <c r="O385" i="54"/>
  <c r="K72" i="54"/>
  <c r="K75" i="54" s="1"/>
  <c r="O521" i="54"/>
  <c r="O416" i="54"/>
  <c r="K413" i="54"/>
  <c r="K416" i="54" s="1"/>
  <c r="O335" i="54"/>
  <c r="K332" i="54"/>
  <c r="K335" i="54" s="1"/>
  <c r="O295" i="54"/>
  <c r="K292" i="54"/>
  <c r="K295" i="54" s="1"/>
  <c r="O255" i="54"/>
  <c r="K252" i="54"/>
  <c r="K255" i="54" s="1"/>
  <c r="O215" i="54"/>
  <c r="K212" i="54"/>
  <c r="K215" i="54" s="1"/>
  <c r="O456" i="54"/>
  <c r="K453" i="54"/>
  <c r="K456" i="54" s="1"/>
  <c r="K230" i="54"/>
  <c r="O406" i="54"/>
  <c r="K403" i="54"/>
  <c r="K406" i="54" s="1"/>
  <c r="O310" i="54"/>
  <c r="O270" i="54"/>
  <c r="K355" i="54"/>
  <c r="K358" i="54" s="1"/>
  <c r="K327" i="54"/>
  <c r="K330" i="54" s="1"/>
  <c r="K287" i="54"/>
  <c r="K290" i="54" s="1"/>
  <c r="K247" i="54"/>
  <c r="K250" i="54" s="1"/>
  <c r="K493" i="54"/>
  <c r="K496" i="54" s="1"/>
  <c r="O496" i="54"/>
  <c r="O466" i="54"/>
  <c r="K463" i="54"/>
  <c r="K466" i="54" s="1"/>
  <c r="K451" i="54"/>
  <c r="P550" i="54"/>
  <c r="L546" i="54"/>
  <c r="K375" i="54"/>
  <c r="K378" i="54" s="1"/>
  <c r="K192" i="54"/>
  <c r="K195" i="54" s="1"/>
  <c r="O325" i="54"/>
  <c r="K322" i="54"/>
  <c r="K325" i="54" s="1"/>
  <c r="O285" i="54"/>
  <c r="K282" i="54"/>
  <c r="K285" i="54" s="1"/>
  <c r="O245" i="54"/>
  <c r="K242" i="54"/>
  <c r="K245" i="54" s="1"/>
  <c r="K518" i="54"/>
  <c r="K521" i="54" s="1"/>
  <c r="P548" i="54"/>
  <c r="P546" i="54"/>
  <c r="O401" i="54"/>
  <c r="O320" i="54"/>
  <c r="O280" i="54"/>
  <c r="O240" i="54"/>
  <c r="O451" i="54"/>
  <c r="O387" i="54"/>
  <c r="K352" i="54"/>
  <c r="K387" i="54" s="1"/>
  <c r="K337" i="54"/>
  <c r="K340" i="54" s="1"/>
  <c r="K297" i="54"/>
  <c r="K300" i="54" s="1"/>
  <c r="K257" i="54"/>
  <c r="K260" i="54" s="1"/>
  <c r="L548" i="54"/>
  <c r="L551" i="54" s="1"/>
  <c r="K132" i="54"/>
  <c r="K135" i="54" s="1"/>
  <c r="K152" i="54"/>
  <c r="K155" i="54" s="1"/>
  <c r="K112" i="54"/>
  <c r="K115" i="54" s="1"/>
  <c r="O342" i="54"/>
  <c r="O345" i="54" s="1"/>
  <c r="P551" i="54" l="1"/>
  <c r="K385" i="54"/>
  <c r="K388" i="54" s="1"/>
  <c r="K543" i="54"/>
  <c r="K353" i="54"/>
  <c r="K20" i="54"/>
  <c r="K545" i="54"/>
  <c r="K550" i="54" s="1"/>
  <c r="K396" i="54"/>
  <c r="K342" i="54"/>
  <c r="K345" i="54" s="1"/>
  <c r="O388" i="54"/>
  <c r="O550" i="54"/>
  <c r="S551" i="54"/>
  <c r="O548" i="54"/>
  <c r="O551" i="54" s="1"/>
  <c r="K548" i="54" l="1"/>
  <c r="K551" i="54" s="1"/>
  <c r="K546" i="54"/>
  <c r="E58" i="53" l="1"/>
  <c r="D58" i="53"/>
  <c r="E56" i="53"/>
  <c r="D56" i="53"/>
  <c r="E53" i="53"/>
  <c r="D53" i="53"/>
  <c r="E47" i="53"/>
  <c r="D47" i="53"/>
  <c r="E44" i="53"/>
  <c r="D44" i="53"/>
  <c r="F44" i="53" s="1"/>
  <c r="E43" i="53"/>
  <c r="D43" i="53"/>
  <c r="F43" i="53" s="1"/>
  <c r="E42" i="53"/>
  <c r="F42" i="53" s="1"/>
  <c r="F40" i="53" s="1"/>
  <c r="F39" i="53" s="1"/>
  <c r="F41" i="53"/>
  <c r="E40" i="53"/>
  <c r="E39" i="53" s="1"/>
  <c r="D40" i="53"/>
  <c r="F32" i="53"/>
  <c r="F31" i="53"/>
  <c r="E31" i="53"/>
  <c r="D31" i="53"/>
  <c r="F30" i="53"/>
  <c r="F58" i="53" s="1"/>
  <c r="F29" i="53"/>
  <c r="F56" i="53" s="1"/>
  <c r="F28" i="53"/>
  <c r="E27" i="53"/>
  <c r="E48" i="53" s="1"/>
  <c r="D27" i="53"/>
  <c r="D48" i="53" s="1"/>
  <c r="D49" i="53" s="1"/>
  <c r="F23" i="53"/>
  <c r="F22" i="53"/>
  <c r="E21" i="53"/>
  <c r="E54" i="53" s="1"/>
  <c r="D21" i="53"/>
  <c r="D54" i="53" s="1"/>
  <c r="F20" i="53"/>
  <c r="F19" i="53"/>
  <c r="F18" i="53" s="1"/>
  <c r="F60" i="53" s="1"/>
  <c r="E18" i="53"/>
  <c r="E60" i="53" s="1"/>
  <c r="D18" i="53"/>
  <c r="D60" i="53" s="1"/>
  <c r="F17" i="53"/>
  <c r="F16" i="53"/>
  <c r="E15" i="53"/>
  <c r="D15" i="53"/>
  <c r="F13" i="53"/>
  <c r="F12" i="53"/>
  <c r="F47" i="53" s="1"/>
  <c r="E11" i="53"/>
  <c r="D11" i="53"/>
  <c r="D39" i="53" l="1"/>
  <c r="F11" i="53"/>
  <c r="F27" i="53"/>
  <c r="E49" i="53"/>
  <c r="F21" i="53"/>
  <c r="F54" i="53" s="1"/>
  <c r="D14" i="53"/>
  <c r="D24" i="53" s="1"/>
  <c r="E14" i="53"/>
  <c r="E24" i="53" s="1"/>
  <c r="F15" i="53"/>
  <c r="F52" i="53"/>
  <c r="F48" i="53"/>
  <c r="F49" i="53" s="1"/>
  <c r="F26" i="53"/>
  <c r="F33" i="53" s="1"/>
  <c r="D52" i="53"/>
  <c r="D55" i="53" s="1"/>
  <c r="D57" i="53" s="1"/>
  <c r="D59" i="53" s="1"/>
  <c r="D63" i="53" s="1"/>
  <c r="D37" i="53"/>
  <c r="E52" i="53"/>
  <c r="E55" i="53" s="1"/>
  <c r="E57" i="53" s="1"/>
  <c r="E59" i="53" s="1"/>
  <c r="E63" i="53" s="1"/>
  <c r="F53" i="53"/>
  <c r="D26" i="53"/>
  <c r="D33" i="53" s="1"/>
  <c r="E26" i="53"/>
  <c r="E33" i="53" s="1"/>
  <c r="E35" i="53" l="1"/>
  <c r="D35" i="53"/>
  <c r="F14" i="53"/>
  <c r="F24" i="53" s="1"/>
  <c r="F35" i="53" s="1"/>
  <c r="E37" i="53"/>
  <c r="F55" i="53"/>
  <c r="F57" i="53" s="1"/>
  <c r="F59" i="53" s="1"/>
  <c r="F63" i="53" s="1"/>
  <c r="F37" i="53"/>
  <c r="G214" i="52" l="1"/>
  <c r="G213" i="52"/>
  <c r="G212" i="52"/>
  <c r="F211" i="52"/>
  <c r="F210" i="52" s="1"/>
  <c r="E211" i="52"/>
  <c r="G211" i="52" s="1"/>
  <c r="G209" i="52"/>
  <c r="G208" i="52"/>
  <c r="G207" i="52"/>
  <c r="G206" i="52"/>
  <c r="G205" i="52"/>
  <c r="F204" i="52"/>
  <c r="F203" i="52" s="1"/>
  <c r="E204" i="52"/>
  <c r="G204" i="52" s="1"/>
  <c r="G202" i="52"/>
  <c r="G201" i="52"/>
  <c r="F200" i="52"/>
  <c r="E200" i="52"/>
  <c r="G200" i="52" s="1"/>
  <c r="G199" i="52"/>
  <c r="G198" i="52"/>
  <c r="G197" i="52"/>
  <c r="F196" i="52"/>
  <c r="G196" i="52" s="1"/>
  <c r="E196" i="52"/>
  <c r="G195" i="52"/>
  <c r="G194" i="52"/>
  <c r="G193" i="52"/>
  <c r="F193" i="52"/>
  <c r="E193" i="52"/>
  <c r="G192" i="52"/>
  <c r="G191" i="52"/>
  <c r="F190" i="52"/>
  <c r="E190" i="52"/>
  <c r="G190" i="52" s="1"/>
  <c r="G189" i="52"/>
  <c r="G188" i="52"/>
  <c r="F187" i="52"/>
  <c r="E187" i="52"/>
  <c r="G187" i="52" s="1"/>
  <c r="G186" i="52"/>
  <c r="F185" i="52"/>
  <c r="F184" i="52" s="1"/>
  <c r="E185" i="52"/>
  <c r="G183" i="52"/>
  <c r="G182" i="52"/>
  <c r="F181" i="52"/>
  <c r="F180" i="52" s="1"/>
  <c r="E181" i="52"/>
  <c r="G179" i="52"/>
  <c r="G178" i="52"/>
  <c r="G177" i="52"/>
  <c r="F176" i="52"/>
  <c r="E176" i="52"/>
  <c r="E175" i="52" s="1"/>
  <c r="G174" i="52"/>
  <c r="G173" i="52"/>
  <c r="G172" i="52"/>
  <c r="G171" i="52"/>
  <c r="G170" i="52"/>
  <c r="G169" i="52"/>
  <c r="G168" i="52"/>
  <c r="G167" i="52"/>
  <c r="G166" i="52"/>
  <c r="G165" i="52"/>
  <c r="G164" i="52"/>
  <c r="G163" i="52"/>
  <c r="G162" i="52"/>
  <c r="G161" i="52"/>
  <c r="F160" i="52"/>
  <c r="G160" i="52" s="1"/>
  <c r="E160" i="52"/>
  <c r="G159" i="52"/>
  <c r="G158" i="52"/>
  <c r="G157" i="52"/>
  <c r="G156" i="52"/>
  <c r="G155" i="52"/>
  <c r="G154" i="52"/>
  <c r="G153" i="52"/>
  <c r="G152" i="52"/>
  <c r="G151" i="52"/>
  <c r="G150" i="52"/>
  <c r="G149" i="52"/>
  <c r="G148" i="52"/>
  <c r="F147" i="52"/>
  <c r="F146" i="52" s="1"/>
  <c r="E147" i="52"/>
  <c r="G145" i="52"/>
  <c r="G144" i="52"/>
  <c r="G143" i="52"/>
  <c r="G142" i="52"/>
  <c r="G141" i="52"/>
  <c r="G140" i="52"/>
  <c r="G139" i="52"/>
  <c r="G138" i="52"/>
  <c r="G137" i="52"/>
  <c r="G136" i="52"/>
  <c r="F135" i="52"/>
  <c r="F134" i="52" s="1"/>
  <c r="E135" i="52"/>
  <c r="G133" i="52"/>
  <c r="G132" i="52"/>
  <c r="G131" i="52"/>
  <c r="G130" i="52"/>
  <c r="G129" i="52"/>
  <c r="G128" i="52"/>
  <c r="G127" i="52"/>
  <c r="G126" i="52"/>
  <c r="G125" i="52"/>
  <c r="G124" i="52"/>
  <c r="G123" i="52"/>
  <c r="G122" i="52"/>
  <c r="G121" i="52"/>
  <c r="G120" i="52"/>
  <c r="G119" i="52"/>
  <c r="G118" i="52"/>
  <c r="G117" i="52"/>
  <c r="G116" i="52"/>
  <c r="G115" i="52"/>
  <c r="G114" i="52"/>
  <c r="G113" i="52"/>
  <c r="G112" i="52"/>
  <c r="F111" i="52"/>
  <c r="F110" i="52" s="1"/>
  <c r="E111" i="52"/>
  <c r="G109" i="52"/>
  <c r="G108" i="52"/>
  <c r="G107" i="52"/>
  <c r="G106" i="52"/>
  <c r="G105" i="52"/>
  <c r="G104" i="52"/>
  <c r="G103" i="52"/>
  <c r="G102" i="52"/>
  <c r="G101" i="52"/>
  <c r="G100" i="52"/>
  <c r="G99" i="52"/>
  <c r="G98" i="52"/>
  <c r="G97" i="52"/>
  <c r="F96" i="52"/>
  <c r="E96" i="52"/>
  <c r="G96" i="52" s="1"/>
  <c r="G95" i="52"/>
  <c r="E94" i="52"/>
  <c r="G94" i="52" s="1"/>
  <c r="G93" i="52"/>
  <c r="G92" i="52"/>
  <c r="G91" i="52"/>
  <c r="G90" i="52"/>
  <c r="G89" i="52"/>
  <c r="G88" i="52"/>
  <c r="G87" i="52"/>
  <c r="G86" i="52"/>
  <c r="F85" i="52"/>
  <c r="E85" i="52"/>
  <c r="E84" i="52" s="1"/>
  <c r="G83" i="52"/>
  <c r="G82" i="52"/>
  <c r="G81" i="52"/>
  <c r="G80" i="52"/>
  <c r="G79" i="52"/>
  <c r="G78" i="52"/>
  <c r="G77" i="52"/>
  <c r="G76" i="52"/>
  <c r="G75" i="52"/>
  <c r="G74" i="52"/>
  <c r="G73" i="52"/>
  <c r="F72" i="52"/>
  <c r="E72" i="52"/>
  <c r="G72" i="52" s="1"/>
  <c r="G71" i="52"/>
  <c r="G70" i="52"/>
  <c r="F69" i="52"/>
  <c r="E69" i="52"/>
  <c r="G69" i="52" s="1"/>
  <c r="G68" i="52"/>
  <c r="G67" i="52"/>
  <c r="G66" i="52"/>
  <c r="G65" i="52"/>
  <c r="G64" i="52"/>
  <c r="F63" i="52"/>
  <c r="F62" i="52" s="1"/>
  <c r="E63" i="52"/>
  <c r="G63" i="52" s="1"/>
  <c r="G61" i="52"/>
  <c r="G60" i="52"/>
  <c r="E60" i="52"/>
  <c r="E59" i="52"/>
  <c r="G59" i="52" s="1"/>
  <c r="G58" i="52"/>
  <c r="E57" i="52"/>
  <c r="G57" i="52" s="1"/>
  <c r="G55" i="52"/>
  <c r="E54" i="52"/>
  <c r="E53" i="52" s="1"/>
  <c r="G53" i="52" s="1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F30" i="52"/>
  <c r="E30" i="52"/>
  <c r="G30" i="52" s="1"/>
  <c r="G29" i="52"/>
  <c r="E28" i="52"/>
  <c r="G28" i="52" s="1"/>
  <c r="G27" i="52"/>
  <c r="G26" i="52"/>
  <c r="G25" i="52"/>
  <c r="F24" i="52"/>
  <c r="F23" i="52" s="1"/>
  <c r="E24" i="52"/>
  <c r="G24" i="52" s="1"/>
  <c r="G22" i="52"/>
  <c r="G21" i="52"/>
  <c r="G20" i="52"/>
  <c r="G19" i="52"/>
  <c r="G18" i="52"/>
  <c r="G17" i="52"/>
  <c r="G16" i="52"/>
  <c r="G15" i="52"/>
  <c r="F14" i="52"/>
  <c r="G14" i="52" s="1"/>
  <c r="E14" i="52"/>
  <c r="G13" i="52"/>
  <c r="F12" i="52"/>
  <c r="G12" i="52" s="1"/>
  <c r="E12" i="52"/>
  <c r="E11" i="52"/>
  <c r="E56" i="52" l="1"/>
  <c r="G56" i="52" s="1"/>
  <c r="G147" i="52"/>
  <c r="G176" i="52"/>
  <c r="G185" i="52"/>
  <c r="G85" i="52"/>
  <c r="G111" i="52"/>
  <c r="G135" i="52"/>
  <c r="G181" i="52"/>
  <c r="F11" i="52"/>
  <c r="F84" i="52"/>
  <c r="G84" i="52" s="1"/>
  <c r="E110" i="52"/>
  <c r="G110" i="52" s="1"/>
  <c r="E134" i="52"/>
  <c r="G134" i="52" s="1"/>
  <c r="E146" i="52"/>
  <c r="G146" i="52" s="1"/>
  <c r="F175" i="52"/>
  <c r="G175" i="52" s="1"/>
  <c r="E180" i="52"/>
  <c r="G180" i="52" s="1"/>
  <c r="E184" i="52"/>
  <c r="G184" i="52" s="1"/>
  <c r="E210" i="52"/>
  <c r="G210" i="52" s="1"/>
  <c r="E23" i="52"/>
  <c r="G23" i="52" s="1"/>
  <c r="G54" i="52"/>
  <c r="E62" i="52"/>
  <c r="G62" i="52" s="1"/>
  <c r="E203" i="52"/>
  <c r="G203" i="52" s="1"/>
  <c r="F10" i="52" l="1"/>
  <c r="G11" i="52"/>
  <c r="E10" i="52"/>
  <c r="G10" i="52" l="1"/>
  <c r="G61" i="51" l="1"/>
  <c r="E60" i="51"/>
  <c r="G60" i="51" s="1"/>
  <c r="E59" i="51"/>
  <c r="G59" i="51" s="1"/>
  <c r="G58" i="51"/>
  <c r="G57" i="51"/>
  <c r="G56" i="51"/>
  <c r="G55" i="51"/>
  <c r="G54" i="51"/>
  <c r="G53" i="51"/>
  <c r="F52" i="51"/>
  <c r="E52" i="51"/>
  <c r="G52" i="51" s="1"/>
  <c r="G51" i="51"/>
  <c r="G50" i="51"/>
  <c r="G49" i="51"/>
  <c r="E49" i="51"/>
  <c r="E48" i="51"/>
  <c r="G48" i="51" s="1"/>
  <c r="G47" i="51"/>
  <c r="G46" i="51"/>
  <c r="G45" i="51"/>
  <c r="G44" i="51"/>
  <c r="G43" i="51"/>
  <c r="G42" i="51"/>
  <c r="F41" i="51"/>
  <c r="E41" i="51"/>
  <c r="G41" i="51" s="1"/>
  <c r="G40" i="51"/>
  <c r="G39" i="51"/>
  <c r="G38" i="51"/>
  <c r="G37" i="51"/>
  <c r="G36" i="51"/>
  <c r="G35" i="51"/>
  <c r="G34" i="51"/>
  <c r="G33" i="51"/>
  <c r="F32" i="51"/>
  <c r="F28" i="51" s="1"/>
  <c r="E32" i="51"/>
  <c r="G32" i="51" s="1"/>
  <c r="G31" i="51"/>
  <c r="G30" i="51"/>
  <c r="E29" i="51"/>
  <c r="G29" i="51" s="1"/>
  <c r="G27" i="51"/>
  <c r="E26" i="51"/>
  <c r="G26" i="51" s="1"/>
  <c r="E25" i="51"/>
  <c r="G24" i="51"/>
  <c r="G23" i="51"/>
  <c r="G22" i="51"/>
  <c r="F21" i="51"/>
  <c r="F20" i="51" s="1"/>
  <c r="E21" i="51"/>
  <c r="E20" i="51"/>
  <c r="G19" i="51"/>
  <c r="G18" i="51"/>
  <c r="G17" i="51"/>
  <c r="G16" i="51"/>
  <c r="G15" i="51"/>
  <c r="G14" i="51"/>
  <c r="F13" i="51"/>
  <c r="E13" i="51"/>
  <c r="G13" i="51" s="1"/>
  <c r="G12" i="51"/>
  <c r="E11" i="51"/>
  <c r="G11" i="51" s="1"/>
  <c r="G10" i="51"/>
  <c r="Q155" i="50"/>
  <c r="P155" i="50"/>
  <c r="O155" i="50"/>
  <c r="N155" i="50"/>
  <c r="M155" i="50"/>
  <c r="L155" i="50"/>
  <c r="K155" i="50"/>
  <c r="J155" i="50"/>
  <c r="I155" i="50"/>
  <c r="I107" i="50" s="1"/>
  <c r="H155" i="50"/>
  <c r="G155" i="50"/>
  <c r="F155" i="50"/>
  <c r="E155" i="50"/>
  <c r="D154" i="50"/>
  <c r="D153" i="50"/>
  <c r="Q151" i="50"/>
  <c r="P151" i="50"/>
  <c r="O151" i="50"/>
  <c r="N151" i="50"/>
  <c r="M151" i="50"/>
  <c r="L151" i="50"/>
  <c r="K151" i="50"/>
  <c r="J151" i="50"/>
  <c r="I151" i="50"/>
  <c r="H151" i="50"/>
  <c r="H107" i="50" s="1"/>
  <c r="G151" i="50"/>
  <c r="F151" i="50"/>
  <c r="E151" i="50"/>
  <c r="D150" i="50"/>
  <c r="D149" i="50"/>
  <c r="Q147" i="50"/>
  <c r="P147" i="50"/>
  <c r="O147" i="50"/>
  <c r="N147" i="50"/>
  <c r="M147" i="50"/>
  <c r="L147" i="50"/>
  <c r="K147" i="50"/>
  <c r="J147" i="50"/>
  <c r="I147" i="50"/>
  <c r="H147" i="50"/>
  <c r="G147" i="50"/>
  <c r="F147" i="50"/>
  <c r="E147" i="50"/>
  <c r="D146" i="50"/>
  <c r="D145" i="50"/>
  <c r="Q143" i="50"/>
  <c r="P143" i="50"/>
  <c r="O143" i="50"/>
  <c r="N143" i="50"/>
  <c r="M143" i="50"/>
  <c r="L143" i="50"/>
  <c r="K143" i="50"/>
  <c r="J143" i="50"/>
  <c r="I143" i="50"/>
  <c r="H143" i="50"/>
  <c r="G143" i="50"/>
  <c r="F143" i="50"/>
  <c r="E143" i="50"/>
  <c r="D142" i="50"/>
  <c r="D141" i="50"/>
  <c r="Q139" i="50"/>
  <c r="P139" i="50"/>
  <c r="O139" i="50"/>
  <c r="N139" i="50"/>
  <c r="M139" i="50"/>
  <c r="L139" i="50"/>
  <c r="K139" i="50"/>
  <c r="J139" i="50"/>
  <c r="I139" i="50"/>
  <c r="H139" i="50"/>
  <c r="G139" i="50"/>
  <c r="F139" i="50"/>
  <c r="E139" i="50"/>
  <c r="D139" i="50" s="1"/>
  <c r="D138" i="50"/>
  <c r="D137" i="50"/>
  <c r="Q135" i="50"/>
  <c r="P135" i="50"/>
  <c r="O135" i="50"/>
  <c r="N135" i="50"/>
  <c r="M135" i="50"/>
  <c r="L135" i="50"/>
  <c r="K135" i="50"/>
  <c r="J135" i="50"/>
  <c r="I135" i="50"/>
  <c r="H135" i="50"/>
  <c r="F135" i="50"/>
  <c r="E135" i="50"/>
  <c r="I134" i="50"/>
  <c r="G134" i="50"/>
  <c r="G135" i="50" s="1"/>
  <c r="D133" i="50"/>
  <c r="Q131" i="50"/>
  <c r="P131" i="50"/>
  <c r="O131" i="50"/>
  <c r="N131" i="50"/>
  <c r="M131" i="50"/>
  <c r="L131" i="50"/>
  <c r="K131" i="50"/>
  <c r="J131" i="50"/>
  <c r="I131" i="50"/>
  <c r="H131" i="50"/>
  <c r="G131" i="50"/>
  <c r="F131" i="50"/>
  <c r="E131" i="50"/>
  <c r="D130" i="50"/>
  <c r="D129" i="50"/>
  <c r="Q127" i="50"/>
  <c r="P127" i="50"/>
  <c r="O127" i="50"/>
  <c r="N127" i="50"/>
  <c r="M127" i="50"/>
  <c r="L127" i="50"/>
  <c r="K127" i="50"/>
  <c r="J127" i="50"/>
  <c r="I127" i="50"/>
  <c r="H127" i="50"/>
  <c r="G127" i="50"/>
  <c r="F127" i="50"/>
  <c r="E127" i="50"/>
  <c r="D126" i="50"/>
  <c r="D125" i="50"/>
  <c r="Q123" i="50"/>
  <c r="P123" i="50"/>
  <c r="O123" i="50"/>
  <c r="N123" i="50"/>
  <c r="M123" i="50"/>
  <c r="L123" i="50"/>
  <c r="K123" i="50"/>
  <c r="J123" i="50"/>
  <c r="I123" i="50"/>
  <c r="H123" i="50"/>
  <c r="G123" i="50"/>
  <c r="F123" i="50"/>
  <c r="E123" i="50"/>
  <c r="D122" i="50"/>
  <c r="D121" i="50"/>
  <c r="Q119" i="50"/>
  <c r="Q107" i="50" s="1"/>
  <c r="P119" i="50"/>
  <c r="N119" i="50"/>
  <c r="M119" i="50"/>
  <c r="L119" i="50"/>
  <c r="K119" i="50"/>
  <c r="I119" i="50"/>
  <c r="H119" i="50"/>
  <c r="G119" i="50"/>
  <c r="G107" i="50" s="1"/>
  <c r="F119" i="50"/>
  <c r="E119" i="50"/>
  <c r="O118" i="50"/>
  <c r="O106" i="50" s="1"/>
  <c r="J118" i="50"/>
  <c r="J119" i="50" s="1"/>
  <c r="D117" i="50"/>
  <c r="Q115" i="50"/>
  <c r="P115" i="50"/>
  <c r="O115" i="50"/>
  <c r="N115" i="50"/>
  <c r="M115" i="50"/>
  <c r="L115" i="50"/>
  <c r="K115" i="50"/>
  <c r="J115" i="50"/>
  <c r="I115" i="50"/>
  <c r="H115" i="50"/>
  <c r="G115" i="50"/>
  <c r="F115" i="50"/>
  <c r="E115" i="50"/>
  <c r="D114" i="50"/>
  <c r="D113" i="50"/>
  <c r="Q111" i="50"/>
  <c r="P111" i="50"/>
  <c r="P107" i="50" s="1"/>
  <c r="O111" i="50"/>
  <c r="N111" i="50"/>
  <c r="N107" i="50" s="1"/>
  <c r="M111" i="50"/>
  <c r="M107" i="50" s="1"/>
  <c r="L111" i="50"/>
  <c r="K111" i="50"/>
  <c r="J111" i="50"/>
  <c r="I111" i="50"/>
  <c r="H111" i="50"/>
  <c r="G111" i="50"/>
  <c r="F111" i="50"/>
  <c r="F107" i="50" s="1"/>
  <c r="E111" i="50"/>
  <c r="D110" i="50"/>
  <c r="D109" i="50"/>
  <c r="L107" i="50"/>
  <c r="Q106" i="50"/>
  <c r="P106" i="50"/>
  <c r="N106" i="50"/>
  <c r="M106" i="50"/>
  <c r="L106" i="50"/>
  <c r="K106" i="50"/>
  <c r="J106" i="50"/>
  <c r="I106" i="50"/>
  <c r="H106" i="50"/>
  <c r="F106" i="50"/>
  <c r="E106" i="50"/>
  <c r="Q105" i="50"/>
  <c r="P105" i="50"/>
  <c r="O105" i="50"/>
  <c r="N105" i="50"/>
  <c r="M105" i="50"/>
  <c r="L105" i="50"/>
  <c r="K105" i="50"/>
  <c r="J105" i="50"/>
  <c r="I105" i="50"/>
  <c r="H105" i="50"/>
  <c r="G105" i="50"/>
  <c r="F105" i="50"/>
  <c r="E105" i="50"/>
  <c r="Q103" i="50"/>
  <c r="P103" i="50"/>
  <c r="O103" i="50"/>
  <c r="N103" i="50"/>
  <c r="M103" i="50"/>
  <c r="L103" i="50"/>
  <c r="K103" i="50"/>
  <c r="J103" i="50"/>
  <c r="I103" i="50"/>
  <c r="H103" i="50"/>
  <c r="G103" i="50"/>
  <c r="F103" i="50"/>
  <c r="E103" i="50"/>
  <c r="D102" i="50"/>
  <c r="D101" i="50"/>
  <c r="Q99" i="50"/>
  <c r="P99" i="50"/>
  <c r="N99" i="50"/>
  <c r="M99" i="50"/>
  <c r="L99" i="50"/>
  <c r="K99" i="50"/>
  <c r="J99" i="50"/>
  <c r="I99" i="50"/>
  <c r="H99" i="50"/>
  <c r="G99" i="50"/>
  <c r="F99" i="50"/>
  <c r="F15" i="50" s="1"/>
  <c r="E99" i="50"/>
  <c r="O98" i="50"/>
  <c r="D98" i="50" s="1"/>
  <c r="D97" i="50"/>
  <c r="Q95" i="50"/>
  <c r="P95" i="50"/>
  <c r="O95" i="50"/>
  <c r="N95" i="50"/>
  <c r="M95" i="50"/>
  <c r="L95" i="50"/>
  <c r="K95" i="50"/>
  <c r="J95" i="50"/>
  <c r="I95" i="50"/>
  <c r="H95" i="50"/>
  <c r="G95" i="50"/>
  <c r="F95" i="50"/>
  <c r="E95" i="50"/>
  <c r="D95" i="50" s="1"/>
  <c r="D94" i="50"/>
  <c r="D93" i="50"/>
  <c r="Q91" i="50"/>
  <c r="P91" i="50"/>
  <c r="O91" i="50"/>
  <c r="N91" i="50"/>
  <c r="M91" i="50"/>
  <c r="L91" i="50"/>
  <c r="K91" i="50"/>
  <c r="J91" i="50"/>
  <c r="I91" i="50"/>
  <c r="H91" i="50"/>
  <c r="G91" i="50"/>
  <c r="F91" i="50"/>
  <c r="E91" i="50"/>
  <c r="D91" i="50" s="1"/>
  <c r="D90" i="50"/>
  <c r="D89" i="50"/>
  <c r="Q87" i="50"/>
  <c r="P87" i="50"/>
  <c r="O87" i="50"/>
  <c r="N87" i="50"/>
  <c r="M87" i="50"/>
  <c r="L87" i="50"/>
  <c r="K87" i="50"/>
  <c r="J87" i="50"/>
  <c r="I87" i="50"/>
  <c r="H87" i="50"/>
  <c r="G87" i="50"/>
  <c r="F87" i="50"/>
  <c r="E87" i="50"/>
  <c r="D87" i="50" s="1"/>
  <c r="D86" i="50"/>
  <c r="D85" i="50"/>
  <c r="Q83" i="50"/>
  <c r="P83" i="50"/>
  <c r="O83" i="50"/>
  <c r="N83" i="50"/>
  <c r="M83" i="50"/>
  <c r="L83" i="50"/>
  <c r="K83" i="50"/>
  <c r="J83" i="50"/>
  <c r="I83" i="50"/>
  <c r="H83" i="50"/>
  <c r="G83" i="50"/>
  <c r="F83" i="50"/>
  <c r="E83" i="50"/>
  <c r="D83" i="50" s="1"/>
  <c r="D82" i="50"/>
  <c r="D81" i="50"/>
  <c r="Q79" i="50"/>
  <c r="P79" i="50"/>
  <c r="O79" i="50"/>
  <c r="N79" i="50"/>
  <c r="M79" i="50"/>
  <c r="L79" i="50"/>
  <c r="K79" i="50"/>
  <c r="J79" i="50"/>
  <c r="I79" i="50"/>
  <c r="H79" i="50"/>
  <c r="G79" i="50"/>
  <c r="F79" i="50"/>
  <c r="E79" i="50"/>
  <c r="D79" i="50" s="1"/>
  <c r="D78" i="50"/>
  <c r="D77" i="50"/>
  <c r="Q75" i="50"/>
  <c r="P75" i="50"/>
  <c r="O75" i="50"/>
  <c r="N75" i="50"/>
  <c r="M75" i="50"/>
  <c r="L75" i="50"/>
  <c r="K75" i="50"/>
  <c r="J75" i="50"/>
  <c r="I75" i="50"/>
  <c r="H75" i="50"/>
  <c r="G75" i="50"/>
  <c r="F75" i="50"/>
  <c r="E75" i="50"/>
  <c r="D75" i="50" s="1"/>
  <c r="D74" i="50"/>
  <c r="D73" i="50"/>
  <c r="Q71" i="50"/>
  <c r="P71" i="50"/>
  <c r="O71" i="50"/>
  <c r="N71" i="50"/>
  <c r="M71" i="50"/>
  <c r="L71" i="50"/>
  <c r="K71" i="50"/>
  <c r="J71" i="50"/>
  <c r="I71" i="50"/>
  <c r="H71" i="50"/>
  <c r="G71" i="50"/>
  <c r="F71" i="50"/>
  <c r="E71" i="50"/>
  <c r="D71" i="50" s="1"/>
  <c r="D70" i="50"/>
  <c r="D69" i="50"/>
  <c r="Q67" i="50"/>
  <c r="P67" i="50"/>
  <c r="O67" i="50"/>
  <c r="N67" i="50"/>
  <c r="M67" i="50"/>
  <c r="L67" i="50"/>
  <c r="K67" i="50"/>
  <c r="J67" i="50"/>
  <c r="H67" i="50"/>
  <c r="F67" i="50"/>
  <c r="E67" i="50"/>
  <c r="I66" i="50"/>
  <c r="I67" i="50" s="1"/>
  <c r="G66" i="50"/>
  <c r="G67" i="50" s="1"/>
  <c r="D65" i="50"/>
  <c r="Q63" i="50"/>
  <c r="P63" i="50"/>
  <c r="O63" i="50"/>
  <c r="N63" i="50"/>
  <c r="M63" i="50"/>
  <c r="L63" i="50"/>
  <c r="K63" i="50"/>
  <c r="J63" i="50"/>
  <c r="I63" i="50"/>
  <c r="H63" i="50"/>
  <c r="G63" i="50"/>
  <c r="F63" i="50"/>
  <c r="E63" i="50"/>
  <c r="D62" i="50"/>
  <c r="D61" i="50"/>
  <c r="Q59" i="50"/>
  <c r="P59" i="50"/>
  <c r="O59" i="50"/>
  <c r="N59" i="50"/>
  <c r="M59" i="50"/>
  <c r="L59" i="50"/>
  <c r="K59" i="50"/>
  <c r="J59" i="50"/>
  <c r="I59" i="50"/>
  <c r="H59" i="50"/>
  <c r="G59" i="50"/>
  <c r="F59" i="50"/>
  <c r="E59" i="50"/>
  <c r="D58" i="50"/>
  <c r="D57" i="50"/>
  <c r="Q55" i="50"/>
  <c r="P55" i="50"/>
  <c r="O55" i="50"/>
  <c r="N55" i="50"/>
  <c r="M55" i="50"/>
  <c r="L55" i="50"/>
  <c r="K55" i="50"/>
  <c r="J55" i="50"/>
  <c r="I55" i="50"/>
  <c r="H55" i="50"/>
  <c r="G55" i="50"/>
  <c r="F55" i="50"/>
  <c r="E55" i="50"/>
  <c r="D54" i="50"/>
  <c r="D53" i="50"/>
  <c r="Q51" i="50"/>
  <c r="P51" i="50"/>
  <c r="O51" i="50"/>
  <c r="N51" i="50"/>
  <c r="M51" i="50"/>
  <c r="L51" i="50"/>
  <c r="K51" i="50"/>
  <c r="J51" i="50"/>
  <c r="I51" i="50"/>
  <c r="H51" i="50"/>
  <c r="G51" i="50"/>
  <c r="F51" i="50"/>
  <c r="E51" i="50"/>
  <c r="D50" i="50"/>
  <c r="D49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6" i="50"/>
  <c r="D45" i="50"/>
  <c r="Q43" i="50"/>
  <c r="P43" i="50"/>
  <c r="O43" i="50"/>
  <c r="N43" i="50"/>
  <c r="M43" i="50"/>
  <c r="L43" i="50"/>
  <c r="K43" i="50"/>
  <c r="J43" i="50"/>
  <c r="I43" i="50"/>
  <c r="H43" i="50"/>
  <c r="G43" i="50"/>
  <c r="F43" i="50"/>
  <c r="E43" i="50"/>
  <c r="D42" i="50"/>
  <c r="D41" i="50"/>
  <c r="Q39" i="50"/>
  <c r="P39" i="50"/>
  <c r="O39" i="50"/>
  <c r="N39" i="50"/>
  <c r="M39" i="50"/>
  <c r="L39" i="50"/>
  <c r="K39" i="50"/>
  <c r="J39" i="50"/>
  <c r="I39" i="50"/>
  <c r="H39" i="50"/>
  <c r="G39" i="50"/>
  <c r="F39" i="50"/>
  <c r="D39" i="50" s="1"/>
  <c r="E39" i="50"/>
  <c r="D38" i="50"/>
  <c r="D37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4" i="50"/>
  <c r="D33" i="50"/>
  <c r="Q31" i="50"/>
  <c r="P31" i="50"/>
  <c r="O31" i="50"/>
  <c r="N31" i="50"/>
  <c r="M31" i="50"/>
  <c r="L31" i="50"/>
  <c r="K31" i="50"/>
  <c r="J31" i="50"/>
  <c r="I31" i="50"/>
  <c r="H31" i="50"/>
  <c r="G31" i="50"/>
  <c r="F31" i="50"/>
  <c r="E31" i="50"/>
  <c r="D30" i="50"/>
  <c r="D29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6" i="50"/>
  <c r="D25" i="50"/>
  <c r="Q23" i="50"/>
  <c r="P23" i="50"/>
  <c r="O23" i="50"/>
  <c r="N23" i="50"/>
  <c r="M23" i="50"/>
  <c r="L23" i="50"/>
  <c r="K23" i="50"/>
  <c r="J23" i="50"/>
  <c r="J15" i="50" s="1"/>
  <c r="I23" i="50"/>
  <c r="H23" i="50"/>
  <c r="G23" i="50"/>
  <c r="F23" i="50"/>
  <c r="E23" i="50"/>
  <c r="D22" i="50"/>
  <c r="D21" i="50"/>
  <c r="Q19" i="50"/>
  <c r="Q15" i="50" s="1"/>
  <c r="P19" i="50"/>
  <c r="O19" i="50"/>
  <c r="N19" i="50"/>
  <c r="M19" i="50"/>
  <c r="M15" i="50" s="1"/>
  <c r="L19" i="50"/>
  <c r="K19" i="50"/>
  <c r="J19" i="50"/>
  <c r="I19" i="50"/>
  <c r="I15" i="50" s="1"/>
  <c r="H19" i="50"/>
  <c r="G19" i="50"/>
  <c r="F19" i="50"/>
  <c r="E19" i="50"/>
  <c r="E15" i="50" s="1"/>
  <c r="D18" i="50"/>
  <c r="D17" i="50"/>
  <c r="N15" i="50"/>
  <c r="Q14" i="50"/>
  <c r="Q158" i="50" s="1"/>
  <c r="P14" i="50"/>
  <c r="P158" i="50" s="1"/>
  <c r="N14" i="50"/>
  <c r="N158" i="50" s="1"/>
  <c r="M14" i="50"/>
  <c r="M158" i="50" s="1"/>
  <c r="L14" i="50"/>
  <c r="L158" i="50" s="1"/>
  <c r="K14" i="50"/>
  <c r="K158" i="50" s="1"/>
  <c r="J14" i="50"/>
  <c r="J158" i="50" s="1"/>
  <c r="H14" i="50"/>
  <c r="H158" i="50" s="1"/>
  <c r="G14" i="50"/>
  <c r="F14" i="50"/>
  <c r="F158" i="50" s="1"/>
  <c r="E14" i="50"/>
  <c r="E158" i="50" s="1"/>
  <c r="Q13" i="50"/>
  <c r="Q157" i="50" s="1"/>
  <c r="P13" i="50"/>
  <c r="P157" i="50" s="1"/>
  <c r="P159" i="50" s="1"/>
  <c r="O13" i="50"/>
  <c r="O157" i="50" s="1"/>
  <c r="N13" i="50"/>
  <c r="N157" i="50" s="1"/>
  <c r="M13" i="50"/>
  <c r="M157" i="50" s="1"/>
  <c r="L13" i="50"/>
  <c r="L157" i="50" s="1"/>
  <c r="L159" i="50" s="1"/>
  <c r="K13" i="50"/>
  <c r="K157" i="50" s="1"/>
  <c r="J13" i="50"/>
  <c r="J157" i="50" s="1"/>
  <c r="I13" i="50"/>
  <c r="I157" i="50" s="1"/>
  <c r="H13" i="50"/>
  <c r="H157" i="50" s="1"/>
  <c r="H159" i="50" s="1"/>
  <c r="G13" i="50"/>
  <c r="G157" i="50" s="1"/>
  <c r="F13" i="50"/>
  <c r="F157" i="50" s="1"/>
  <c r="E13" i="50"/>
  <c r="E157" i="50" s="1"/>
  <c r="D35" i="50" l="1"/>
  <c r="G106" i="50"/>
  <c r="D106" i="50" s="1"/>
  <c r="G21" i="51"/>
  <c r="M159" i="50"/>
  <c r="D31" i="50"/>
  <c r="D63" i="50"/>
  <c r="D105" i="50"/>
  <c r="I14" i="50"/>
  <c r="I158" i="50" s="1"/>
  <c r="D27" i="50"/>
  <c r="D59" i="50"/>
  <c r="H15" i="50"/>
  <c r="P15" i="50"/>
  <c r="K107" i="50"/>
  <c r="D131" i="50"/>
  <c r="D23" i="50"/>
  <c r="D55" i="50"/>
  <c r="E107" i="50"/>
  <c r="E159" i="50" s="1"/>
  <c r="J107" i="50"/>
  <c r="D127" i="50"/>
  <c r="D155" i="50"/>
  <c r="D19" i="50"/>
  <c r="D51" i="50"/>
  <c r="K15" i="50"/>
  <c r="D118" i="50"/>
  <c r="D123" i="50"/>
  <c r="D151" i="50"/>
  <c r="G20" i="51"/>
  <c r="F9" i="51"/>
  <c r="I159" i="50"/>
  <c r="Q159" i="50"/>
  <c r="D47" i="50"/>
  <c r="D115" i="50"/>
  <c r="D147" i="50"/>
  <c r="D43" i="50"/>
  <c r="L15" i="50"/>
  <c r="D103" i="50"/>
  <c r="D111" i="50"/>
  <c r="D134" i="50"/>
  <c r="D143" i="50"/>
  <c r="D135" i="50"/>
  <c r="K159" i="50"/>
  <c r="F159" i="50"/>
  <c r="J159" i="50"/>
  <c r="N159" i="50"/>
  <c r="G15" i="50"/>
  <c r="D67" i="50"/>
  <c r="D66" i="50"/>
  <c r="D119" i="50"/>
  <c r="G25" i="51"/>
  <c r="E28" i="51"/>
  <c r="G28" i="51" s="1"/>
  <c r="O119" i="50"/>
  <c r="O107" i="50" s="1"/>
  <c r="D107" i="50" s="1"/>
  <c r="O99" i="50"/>
  <c r="O15" i="50" s="1"/>
  <c r="D15" i="50" s="1"/>
  <c r="D13" i="50"/>
  <c r="D157" i="50" s="1"/>
  <c r="O14" i="50"/>
  <c r="O158" i="50" s="1"/>
  <c r="O159" i="50" s="1"/>
  <c r="K156" i="45"/>
  <c r="K150" i="45"/>
  <c r="K144" i="45"/>
  <c r="K145" i="45" s="1"/>
  <c r="K78" i="45"/>
  <c r="H411" i="45"/>
  <c r="G411" i="45"/>
  <c r="I399" i="45"/>
  <c r="I375" i="45" s="1"/>
  <c r="O309" i="45"/>
  <c r="N309" i="45"/>
  <c r="K303" i="45"/>
  <c r="N285" i="45"/>
  <c r="N267" i="45"/>
  <c r="K267" i="45"/>
  <c r="K234" i="45"/>
  <c r="O78" i="45"/>
  <c r="N78" i="45"/>
  <c r="H78" i="45"/>
  <c r="K51" i="45"/>
  <c r="P418" i="45"/>
  <c r="O418" i="45"/>
  <c r="N418" i="45"/>
  <c r="L418" i="45"/>
  <c r="K418" i="45"/>
  <c r="J418" i="45"/>
  <c r="I418" i="45"/>
  <c r="G418" i="45"/>
  <c r="M417" i="45"/>
  <c r="M414" i="45" s="1"/>
  <c r="F417" i="45"/>
  <c r="E417" i="45" s="1"/>
  <c r="D417" i="45" s="1"/>
  <c r="D414" i="45" s="1"/>
  <c r="M416" i="45"/>
  <c r="H416" i="45"/>
  <c r="P414" i="45"/>
  <c r="O414" i="45"/>
  <c r="N414" i="45"/>
  <c r="L414" i="45"/>
  <c r="K414" i="45"/>
  <c r="J414" i="45"/>
  <c r="I414" i="45"/>
  <c r="H414" i="45"/>
  <c r="G414" i="45"/>
  <c r="P413" i="45"/>
  <c r="P415" i="45"/>
  <c r="O413" i="45"/>
  <c r="N413" i="45"/>
  <c r="N415" i="45" s="1"/>
  <c r="M413" i="45"/>
  <c r="M415" i="45" s="1"/>
  <c r="L413" i="45"/>
  <c r="K413" i="45"/>
  <c r="J413" i="45"/>
  <c r="J415" i="45" s="1"/>
  <c r="I413" i="45"/>
  <c r="G413" i="45"/>
  <c r="P412" i="45"/>
  <c r="O412" i="45"/>
  <c r="N412" i="45"/>
  <c r="L412" i="45"/>
  <c r="K412" i="45"/>
  <c r="J412" i="45"/>
  <c r="I412" i="45"/>
  <c r="H412" i="45"/>
  <c r="M411" i="45"/>
  <c r="M410" i="45"/>
  <c r="M412" i="45" s="1"/>
  <c r="F410" i="45"/>
  <c r="E410" i="45" s="1"/>
  <c r="P408" i="45"/>
  <c r="O408" i="45"/>
  <c r="N408" i="45"/>
  <c r="N409" i="45"/>
  <c r="L408" i="45"/>
  <c r="K408" i="45"/>
  <c r="J408" i="45"/>
  <c r="I408" i="45"/>
  <c r="H408" i="45"/>
  <c r="P407" i="45"/>
  <c r="P409" i="45"/>
  <c r="O407" i="45"/>
  <c r="N407" i="45"/>
  <c r="M407" i="45"/>
  <c r="L407" i="45"/>
  <c r="L409" i="45" s="1"/>
  <c r="K407" i="45"/>
  <c r="J407" i="45"/>
  <c r="J409" i="45" s="1"/>
  <c r="I407" i="45"/>
  <c r="H407" i="45"/>
  <c r="H409" i="45" s="1"/>
  <c r="G407" i="45"/>
  <c r="F407" i="45"/>
  <c r="P406" i="45"/>
  <c r="N406" i="45"/>
  <c r="L406" i="45"/>
  <c r="K406" i="45"/>
  <c r="J406" i="45"/>
  <c r="I406" i="45"/>
  <c r="H406" i="45"/>
  <c r="G406" i="45"/>
  <c r="M405" i="45"/>
  <c r="F405" i="45"/>
  <c r="E405" i="45" s="1"/>
  <c r="D405" i="45" s="1"/>
  <c r="O404" i="45"/>
  <c r="O406" i="45" s="1"/>
  <c r="M404" i="45"/>
  <c r="M406" i="45" s="1"/>
  <c r="F404" i="45"/>
  <c r="P403" i="45"/>
  <c r="O403" i="45"/>
  <c r="N403" i="45"/>
  <c r="L403" i="45"/>
  <c r="K403" i="45"/>
  <c r="J403" i="45"/>
  <c r="I403" i="45"/>
  <c r="H403" i="45"/>
  <c r="G403" i="45"/>
  <c r="M402" i="45"/>
  <c r="F402" i="45"/>
  <c r="E402" i="45" s="1"/>
  <c r="E403" i="45" s="1"/>
  <c r="M401" i="45"/>
  <c r="M403" i="45" s="1"/>
  <c r="F401" i="45"/>
  <c r="E401" i="45" s="1"/>
  <c r="P400" i="45"/>
  <c r="O400" i="45"/>
  <c r="N400" i="45"/>
  <c r="L400" i="45"/>
  <c r="K400" i="45"/>
  <c r="J400" i="45"/>
  <c r="I400" i="45"/>
  <c r="H400" i="45"/>
  <c r="G400" i="45"/>
  <c r="M399" i="45"/>
  <c r="F399" i="45"/>
  <c r="M398" i="45"/>
  <c r="F398" i="45"/>
  <c r="P397" i="45"/>
  <c r="O397" i="45"/>
  <c r="N397" i="45"/>
  <c r="L397" i="45"/>
  <c r="K397" i="45"/>
  <c r="J397" i="45"/>
  <c r="I397" i="45"/>
  <c r="H397" i="45"/>
  <c r="G397" i="45"/>
  <c r="M396" i="45"/>
  <c r="F396" i="45"/>
  <c r="E396" i="45" s="1"/>
  <c r="D396" i="45" s="1"/>
  <c r="M395" i="45"/>
  <c r="M397" i="45" s="1"/>
  <c r="F395" i="45"/>
  <c r="P394" i="45"/>
  <c r="O394" i="45"/>
  <c r="N394" i="45"/>
  <c r="L394" i="45"/>
  <c r="K394" i="45"/>
  <c r="J394" i="45"/>
  <c r="I394" i="45"/>
  <c r="H394" i="45"/>
  <c r="G394" i="45"/>
  <c r="M393" i="45"/>
  <c r="F393" i="45"/>
  <c r="E393" i="45" s="1"/>
  <c r="D393" i="45" s="1"/>
  <c r="M392" i="45"/>
  <c r="F392" i="45"/>
  <c r="E392" i="45" s="1"/>
  <c r="P391" i="45"/>
  <c r="O391" i="45"/>
  <c r="N391" i="45"/>
  <c r="L391" i="45"/>
  <c r="K391" i="45"/>
  <c r="J391" i="45"/>
  <c r="I391" i="45"/>
  <c r="H391" i="45"/>
  <c r="G391" i="45"/>
  <c r="M390" i="45"/>
  <c r="F390" i="45"/>
  <c r="E390" i="45" s="1"/>
  <c r="M389" i="45"/>
  <c r="F389" i="45"/>
  <c r="F391" i="45" s="1"/>
  <c r="P388" i="45"/>
  <c r="O388" i="45"/>
  <c r="N388" i="45"/>
  <c r="L388" i="45"/>
  <c r="K388" i="45"/>
  <c r="J388" i="45"/>
  <c r="I388" i="45"/>
  <c r="H388" i="45"/>
  <c r="G388" i="45"/>
  <c r="M387" i="45"/>
  <c r="F387" i="45"/>
  <c r="M386" i="45"/>
  <c r="F386" i="45"/>
  <c r="P385" i="45"/>
  <c r="O385" i="45"/>
  <c r="N385" i="45"/>
  <c r="L385" i="45"/>
  <c r="K385" i="45"/>
  <c r="J385" i="45"/>
  <c r="I385" i="45"/>
  <c r="H385" i="45"/>
  <c r="G385" i="45"/>
  <c r="M384" i="45"/>
  <c r="F384" i="45"/>
  <c r="E384" i="45"/>
  <c r="D384" i="45" s="1"/>
  <c r="M383" i="45"/>
  <c r="F383" i="45"/>
  <c r="E383" i="45"/>
  <c r="P382" i="45"/>
  <c r="O382" i="45"/>
  <c r="N382" i="45"/>
  <c r="L382" i="45"/>
  <c r="K382" i="45"/>
  <c r="J382" i="45"/>
  <c r="I382" i="45"/>
  <c r="H382" i="45"/>
  <c r="G382" i="45"/>
  <c r="M381" i="45"/>
  <c r="F381" i="45"/>
  <c r="M380" i="45"/>
  <c r="F380" i="45"/>
  <c r="E380" i="45"/>
  <c r="P379" i="45"/>
  <c r="O379" i="45"/>
  <c r="N379" i="45"/>
  <c r="L379" i="45"/>
  <c r="K379" i="45"/>
  <c r="J379" i="45"/>
  <c r="I379" i="45"/>
  <c r="H379" i="45"/>
  <c r="G379" i="45"/>
  <c r="M378" i="45"/>
  <c r="F378" i="45"/>
  <c r="E378" i="45"/>
  <c r="M377" i="45"/>
  <c r="F377" i="45"/>
  <c r="P375" i="45"/>
  <c r="O375" i="45"/>
  <c r="N375" i="45"/>
  <c r="L375" i="45"/>
  <c r="K375" i="45"/>
  <c r="J375" i="45"/>
  <c r="H375" i="45"/>
  <c r="G375" i="45"/>
  <c r="P374" i="45"/>
  <c r="O374" i="45"/>
  <c r="O376" i="45" s="1"/>
  <c r="N374" i="45"/>
  <c r="L374" i="45"/>
  <c r="K374" i="45"/>
  <c r="J374" i="45"/>
  <c r="J376" i="45" s="1"/>
  <c r="I374" i="45"/>
  <c r="H374" i="45"/>
  <c r="G374" i="45"/>
  <c r="P373" i="45"/>
  <c r="O373" i="45"/>
  <c r="N373" i="45"/>
  <c r="L373" i="45"/>
  <c r="K373" i="45"/>
  <c r="J373" i="45"/>
  <c r="I373" i="45"/>
  <c r="H373" i="45"/>
  <c r="G373" i="45"/>
  <c r="M372" i="45"/>
  <c r="F372" i="45"/>
  <c r="E372" i="45"/>
  <c r="M371" i="45"/>
  <c r="F371" i="45"/>
  <c r="E371" i="45" s="1"/>
  <c r="P370" i="45"/>
  <c r="O370" i="45"/>
  <c r="N370" i="45"/>
  <c r="L370" i="45"/>
  <c r="J370" i="45"/>
  <c r="I370" i="45"/>
  <c r="G370" i="45"/>
  <c r="M369" i="45"/>
  <c r="F369" i="45"/>
  <c r="M368" i="45"/>
  <c r="K368" i="45"/>
  <c r="H368" i="45"/>
  <c r="F368" i="45" s="1"/>
  <c r="P367" i="45"/>
  <c r="O367" i="45"/>
  <c r="N367" i="45"/>
  <c r="L367" i="45"/>
  <c r="K367" i="45"/>
  <c r="J367" i="45"/>
  <c r="I367" i="45"/>
  <c r="H367" i="45"/>
  <c r="G367" i="45"/>
  <c r="M366" i="45"/>
  <c r="F366" i="45"/>
  <c r="E366" i="45" s="1"/>
  <c r="M365" i="45"/>
  <c r="F365" i="45"/>
  <c r="P364" i="45"/>
  <c r="O364" i="45"/>
  <c r="N364" i="45"/>
  <c r="L364" i="45"/>
  <c r="K364" i="45"/>
  <c r="J364" i="45"/>
  <c r="I364" i="45"/>
  <c r="H364" i="45"/>
  <c r="G364" i="45"/>
  <c r="M363" i="45"/>
  <c r="F363" i="45"/>
  <c r="E363" i="45"/>
  <c r="M362" i="45"/>
  <c r="M364" i="45"/>
  <c r="F362" i="45"/>
  <c r="F364" i="45"/>
  <c r="P361" i="45"/>
  <c r="O361" i="45"/>
  <c r="N361" i="45"/>
  <c r="L361" i="45"/>
  <c r="K361" i="45"/>
  <c r="J361" i="45"/>
  <c r="I361" i="45"/>
  <c r="G361" i="45"/>
  <c r="M360" i="45"/>
  <c r="F360" i="45"/>
  <c r="E360" i="45" s="1"/>
  <c r="M359" i="45"/>
  <c r="H359" i="45"/>
  <c r="P358" i="45"/>
  <c r="O358" i="45"/>
  <c r="N358" i="45"/>
  <c r="L358" i="45"/>
  <c r="K358" i="45"/>
  <c r="J358" i="45"/>
  <c r="I358" i="45"/>
  <c r="H358" i="45"/>
  <c r="G358" i="45"/>
  <c r="M357" i="45"/>
  <c r="M358" i="45" s="1"/>
  <c r="F357" i="45"/>
  <c r="E357" i="45"/>
  <c r="M356" i="45"/>
  <c r="F356" i="45"/>
  <c r="F358" i="45" s="1"/>
  <c r="P355" i="45"/>
  <c r="O355" i="45"/>
  <c r="N355" i="45"/>
  <c r="L355" i="45"/>
  <c r="K355" i="45"/>
  <c r="J355" i="45"/>
  <c r="I355" i="45"/>
  <c r="H355" i="45"/>
  <c r="G355" i="45"/>
  <c r="M354" i="45"/>
  <c r="F354" i="45"/>
  <c r="E354" i="45" s="1"/>
  <c r="M353" i="45"/>
  <c r="F353" i="45"/>
  <c r="P352" i="45"/>
  <c r="O352" i="45"/>
  <c r="N352" i="45"/>
  <c r="L352" i="45"/>
  <c r="K352" i="45"/>
  <c r="J352" i="45"/>
  <c r="I352" i="45"/>
  <c r="H352" i="45"/>
  <c r="G352" i="45"/>
  <c r="M351" i="45"/>
  <c r="F351" i="45"/>
  <c r="E351" i="45" s="1"/>
  <c r="M350" i="45"/>
  <c r="F350" i="45"/>
  <c r="E350" i="45" s="1"/>
  <c r="P349" i="45"/>
  <c r="O349" i="45"/>
  <c r="N349" i="45"/>
  <c r="L349" i="45"/>
  <c r="K349" i="45"/>
  <c r="J349" i="45"/>
  <c r="I349" i="45"/>
  <c r="H349" i="45"/>
  <c r="G349" i="45"/>
  <c r="M348" i="45"/>
  <c r="F348" i="45"/>
  <c r="M347" i="45"/>
  <c r="M349" i="45"/>
  <c r="F347" i="45"/>
  <c r="E347" i="45"/>
  <c r="P346" i="45"/>
  <c r="O346" i="45"/>
  <c r="N346" i="45"/>
  <c r="L346" i="45"/>
  <c r="K346" i="45"/>
  <c r="J346" i="45"/>
  <c r="I346" i="45"/>
  <c r="H346" i="45"/>
  <c r="G346" i="45"/>
  <c r="M345" i="45"/>
  <c r="F345" i="45"/>
  <c r="E345" i="45"/>
  <c r="M344" i="45"/>
  <c r="F344" i="45"/>
  <c r="E344" i="45"/>
  <c r="P342" i="45"/>
  <c r="O342" i="45"/>
  <c r="O343" i="45" s="1"/>
  <c r="N342" i="45"/>
  <c r="L342" i="45"/>
  <c r="K342" i="45"/>
  <c r="J342" i="45"/>
  <c r="I342" i="45"/>
  <c r="H342" i="45"/>
  <c r="G342" i="45"/>
  <c r="P341" i="45"/>
  <c r="O341" i="45"/>
  <c r="N341" i="45"/>
  <c r="N343" i="45" s="1"/>
  <c r="L341" i="45"/>
  <c r="J341" i="45"/>
  <c r="J343" i="45"/>
  <c r="I341" i="45"/>
  <c r="G341" i="45"/>
  <c r="G343" i="45" s="1"/>
  <c r="P340" i="45"/>
  <c r="O340" i="45"/>
  <c r="N340" i="45"/>
  <c r="L340" i="45"/>
  <c r="J340" i="45"/>
  <c r="I340" i="45"/>
  <c r="G340" i="45"/>
  <c r="M339" i="45"/>
  <c r="F339" i="45"/>
  <c r="E339" i="45" s="1"/>
  <c r="D339" i="45" s="1"/>
  <c r="M338" i="45"/>
  <c r="K338" i="45"/>
  <c r="K340" i="45" s="1"/>
  <c r="H338" i="45"/>
  <c r="P337" i="45"/>
  <c r="O337" i="45"/>
  <c r="N337" i="45"/>
  <c r="L337" i="45"/>
  <c r="K337" i="45"/>
  <c r="J337" i="45"/>
  <c r="I337" i="45"/>
  <c r="G337" i="45"/>
  <c r="M336" i="45"/>
  <c r="F336" i="45"/>
  <c r="M335" i="45"/>
  <c r="H335" i="45"/>
  <c r="F335" i="45" s="1"/>
  <c r="P333" i="45"/>
  <c r="O333" i="45"/>
  <c r="N333" i="45"/>
  <c r="L333" i="45"/>
  <c r="L334" i="45" s="1"/>
  <c r="K333" i="45"/>
  <c r="J333" i="45"/>
  <c r="I333" i="45"/>
  <c r="H333" i="45"/>
  <c r="G333" i="45"/>
  <c r="P332" i="45"/>
  <c r="P334" i="45" s="1"/>
  <c r="O332" i="45"/>
  <c r="N332" i="45"/>
  <c r="N334" i="45" s="1"/>
  <c r="L332" i="45"/>
  <c r="J332" i="45"/>
  <c r="I332" i="45"/>
  <c r="G332" i="45"/>
  <c r="G334" i="45"/>
  <c r="P331" i="45"/>
  <c r="O331" i="45"/>
  <c r="N331" i="45"/>
  <c r="L331" i="45"/>
  <c r="K331" i="45"/>
  <c r="J331" i="45"/>
  <c r="I331" i="45"/>
  <c r="H331" i="45"/>
  <c r="G331" i="45"/>
  <c r="M330" i="45"/>
  <c r="F330" i="45"/>
  <c r="E330" i="45"/>
  <c r="D330" i="45" s="1"/>
  <c r="M329" i="45"/>
  <c r="F329" i="45"/>
  <c r="E329" i="45"/>
  <c r="D329" i="45" s="1"/>
  <c r="P328" i="45"/>
  <c r="O328" i="45"/>
  <c r="N328" i="45"/>
  <c r="L328" i="45"/>
  <c r="K328" i="45"/>
  <c r="J328" i="45"/>
  <c r="I328" i="45"/>
  <c r="H328" i="45"/>
  <c r="G328" i="45"/>
  <c r="M327" i="45"/>
  <c r="F327" i="45"/>
  <c r="E327" i="45" s="1"/>
  <c r="D327" i="45" s="1"/>
  <c r="M326" i="45"/>
  <c r="M328" i="45"/>
  <c r="F326" i="45"/>
  <c r="E326" i="45"/>
  <c r="P325" i="45"/>
  <c r="O325" i="45"/>
  <c r="N325" i="45"/>
  <c r="L325" i="45"/>
  <c r="K325" i="45"/>
  <c r="J325" i="45"/>
  <c r="I325" i="45"/>
  <c r="H325" i="45"/>
  <c r="G325" i="45"/>
  <c r="M324" i="45"/>
  <c r="M325" i="45" s="1"/>
  <c r="F324" i="45"/>
  <c r="E324" i="45"/>
  <c r="M323" i="45"/>
  <c r="F323" i="45"/>
  <c r="E323" i="45" s="1"/>
  <c r="P322" i="45"/>
  <c r="O322" i="45"/>
  <c r="N322" i="45"/>
  <c r="L322" i="45"/>
  <c r="K322" i="45"/>
  <c r="J322" i="45"/>
  <c r="I322" i="45"/>
  <c r="H322" i="45"/>
  <c r="G322" i="45"/>
  <c r="M321" i="45"/>
  <c r="F321" i="45"/>
  <c r="E321" i="45" s="1"/>
  <c r="M320" i="45"/>
  <c r="F320" i="45"/>
  <c r="E320" i="45" s="1"/>
  <c r="D320" i="45"/>
  <c r="P319" i="45"/>
  <c r="O319" i="45"/>
  <c r="N319" i="45"/>
  <c r="L319" i="45"/>
  <c r="K319" i="45"/>
  <c r="J319" i="45"/>
  <c r="I319" i="45"/>
  <c r="G319" i="45"/>
  <c r="M318" i="45"/>
  <c r="F318" i="45"/>
  <c r="E318" i="45" s="1"/>
  <c r="M317" i="45"/>
  <c r="H317" i="45"/>
  <c r="P316" i="45"/>
  <c r="O316" i="45"/>
  <c r="N316" i="45"/>
  <c r="L316" i="45"/>
  <c r="K316" i="45"/>
  <c r="J316" i="45"/>
  <c r="I316" i="45"/>
  <c r="G316" i="45"/>
  <c r="M315" i="45"/>
  <c r="F315" i="45"/>
  <c r="E315" i="45" s="1"/>
  <c r="D315" i="45" s="1"/>
  <c r="M314" i="45"/>
  <c r="M316" i="45" s="1"/>
  <c r="H314" i="45"/>
  <c r="H316" i="45" s="1"/>
  <c r="P313" i="45"/>
  <c r="O313" i="45"/>
  <c r="N313" i="45"/>
  <c r="L313" i="45"/>
  <c r="K313" i="45"/>
  <c r="J313" i="45"/>
  <c r="I313" i="45"/>
  <c r="G313" i="45"/>
  <c r="M312" i="45"/>
  <c r="F312" i="45"/>
  <c r="E312" i="45" s="1"/>
  <c r="D312" i="45" s="1"/>
  <c r="M311" i="45"/>
  <c r="M305" i="45" s="1"/>
  <c r="H311" i="45"/>
  <c r="P310" i="45"/>
  <c r="O310" i="45"/>
  <c r="N310" i="45"/>
  <c r="L310" i="45"/>
  <c r="K310" i="45"/>
  <c r="J310" i="45"/>
  <c r="I310" i="45"/>
  <c r="G310" i="45"/>
  <c r="M309" i="45"/>
  <c r="F309" i="45"/>
  <c r="M308" i="45"/>
  <c r="M310" i="45" s="1"/>
  <c r="H308" i="45"/>
  <c r="H310" i="45" s="1"/>
  <c r="P306" i="45"/>
  <c r="O306" i="45"/>
  <c r="N306" i="45"/>
  <c r="L306" i="45"/>
  <c r="K306" i="45"/>
  <c r="J306" i="45"/>
  <c r="I306" i="45"/>
  <c r="H306" i="45"/>
  <c r="G306" i="45"/>
  <c r="P305" i="45"/>
  <c r="P307" i="45" s="1"/>
  <c r="O305" i="45"/>
  <c r="O307" i="45" s="1"/>
  <c r="N305" i="45"/>
  <c r="L305" i="45"/>
  <c r="L307" i="45" s="1"/>
  <c r="K305" i="45"/>
  <c r="K307" i="45" s="1"/>
  <c r="J305" i="45"/>
  <c r="I305" i="45"/>
  <c r="I307" i="45" s="1"/>
  <c r="G305" i="45"/>
  <c r="G307" i="45" s="1"/>
  <c r="P304" i="45"/>
  <c r="O304" i="45"/>
  <c r="N304" i="45"/>
  <c r="L304" i="45"/>
  <c r="K304" i="45"/>
  <c r="J304" i="45"/>
  <c r="I304" i="45"/>
  <c r="G304" i="45"/>
  <c r="M303" i="45"/>
  <c r="F303" i="45"/>
  <c r="E303" i="45" s="1"/>
  <c r="M302" i="45"/>
  <c r="H302" i="45"/>
  <c r="F302" i="45" s="1"/>
  <c r="H304" i="45"/>
  <c r="P301" i="45"/>
  <c r="O301" i="45"/>
  <c r="N301" i="45"/>
  <c r="L301" i="45"/>
  <c r="K301" i="45"/>
  <c r="J301" i="45"/>
  <c r="I301" i="45"/>
  <c r="G301" i="45"/>
  <c r="M300" i="45"/>
  <c r="F300" i="45"/>
  <c r="M299" i="45"/>
  <c r="H299" i="45"/>
  <c r="H301" i="45" s="1"/>
  <c r="P298" i="45"/>
  <c r="O298" i="45"/>
  <c r="N298" i="45"/>
  <c r="L298" i="45"/>
  <c r="K298" i="45"/>
  <c r="J298" i="45"/>
  <c r="I298" i="45"/>
  <c r="H298" i="45"/>
  <c r="G298" i="45"/>
  <c r="M297" i="45"/>
  <c r="F297" i="45"/>
  <c r="E297" i="45" s="1"/>
  <c r="D297" i="45" s="1"/>
  <c r="M296" i="45"/>
  <c r="M298" i="45"/>
  <c r="F296" i="45"/>
  <c r="E296" i="45"/>
  <c r="D296" i="45" s="1"/>
  <c r="P295" i="45"/>
  <c r="O295" i="45"/>
  <c r="N295" i="45"/>
  <c r="L295" i="45"/>
  <c r="K295" i="45"/>
  <c r="J295" i="45"/>
  <c r="I295" i="45"/>
  <c r="G295" i="45"/>
  <c r="M294" i="45"/>
  <c r="F294" i="45"/>
  <c r="E294" i="45" s="1"/>
  <c r="D294" i="45" s="1"/>
  <c r="M293" i="45"/>
  <c r="H293" i="45"/>
  <c r="P292" i="45"/>
  <c r="O292" i="45"/>
  <c r="N292" i="45"/>
  <c r="L292" i="45"/>
  <c r="K292" i="45"/>
  <c r="J292" i="45"/>
  <c r="I292" i="45"/>
  <c r="H292" i="45"/>
  <c r="G292" i="45"/>
  <c r="M291" i="45"/>
  <c r="F291" i="45"/>
  <c r="E291" i="45" s="1"/>
  <c r="M290" i="45"/>
  <c r="F290" i="45"/>
  <c r="P288" i="45"/>
  <c r="O288" i="45"/>
  <c r="N288" i="45"/>
  <c r="L288" i="45"/>
  <c r="K288" i="45"/>
  <c r="J288" i="45"/>
  <c r="J289" i="45" s="1"/>
  <c r="I288" i="45"/>
  <c r="H288" i="45"/>
  <c r="G288" i="45"/>
  <c r="G289" i="45" s="1"/>
  <c r="P287" i="45"/>
  <c r="O287" i="45"/>
  <c r="N287" i="45"/>
  <c r="L287" i="45"/>
  <c r="L289" i="45"/>
  <c r="K287" i="45"/>
  <c r="J287" i="45"/>
  <c r="I287" i="45"/>
  <c r="I289" i="45"/>
  <c r="G287" i="45"/>
  <c r="P286" i="45"/>
  <c r="O286" i="45"/>
  <c r="L286" i="45"/>
  <c r="K286" i="45"/>
  <c r="J286" i="45"/>
  <c r="I286" i="45"/>
  <c r="H286" i="45"/>
  <c r="G286" i="45"/>
  <c r="F285" i="45"/>
  <c r="E285" i="45" s="1"/>
  <c r="M284" i="45"/>
  <c r="D284" i="45" s="1"/>
  <c r="H284" i="45"/>
  <c r="H269" i="45"/>
  <c r="P283" i="45"/>
  <c r="O283" i="45"/>
  <c r="N283" i="45"/>
  <c r="L283" i="45"/>
  <c r="K283" i="45"/>
  <c r="J283" i="45"/>
  <c r="I283" i="45"/>
  <c r="H283" i="45"/>
  <c r="G283" i="45"/>
  <c r="M282" i="45"/>
  <c r="F282" i="45"/>
  <c r="E282" i="45"/>
  <c r="D282" i="45" s="1"/>
  <c r="M281" i="45"/>
  <c r="M283" i="45" s="1"/>
  <c r="F281" i="45"/>
  <c r="E281" i="45" s="1"/>
  <c r="P280" i="45"/>
  <c r="N280" i="45"/>
  <c r="L280" i="45"/>
  <c r="K280" i="45"/>
  <c r="J280" i="45"/>
  <c r="I280" i="45"/>
  <c r="H280" i="45"/>
  <c r="G280" i="45"/>
  <c r="M279" i="45"/>
  <c r="F279" i="45"/>
  <c r="O278" i="45"/>
  <c r="O280" i="45" s="1"/>
  <c r="M278" i="45"/>
  <c r="M280" i="45" s="1"/>
  <c r="F278" i="45"/>
  <c r="P277" i="45"/>
  <c r="O277" i="45"/>
  <c r="N277" i="45"/>
  <c r="L277" i="45"/>
  <c r="K277" i="45"/>
  <c r="J277" i="45"/>
  <c r="I277" i="45"/>
  <c r="H277" i="45"/>
  <c r="G277" i="45"/>
  <c r="M276" i="45"/>
  <c r="F276" i="45"/>
  <c r="E276" i="45" s="1"/>
  <c r="D276" i="45" s="1"/>
  <c r="M275" i="45"/>
  <c r="F275" i="45"/>
  <c r="P274" i="45"/>
  <c r="O274" i="45"/>
  <c r="N274" i="45"/>
  <c r="L274" i="45"/>
  <c r="K274" i="45"/>
  <c r="J274" i="45"/>
  <c r="I274" i="45"/>
  <c r="H274" i="45"/>
  <c r="G274" i="45"/>
  <c r="M273" i="45"/>
  <c r="F273" i="45"/>
  <c r="M272" i="45"/>
  <c r="F272" i="45"/>
  <c r="P270" i="45"/>
  <c r="O270" i="45"/>
  <c r="N270" i="45"/>
  <c r="L270" i="45"/>
  <c r="K270" i="45"/>
  <c r="J270" i="45"/>
  <c r="I270" i="45"/>
  <c r="H270" i="45"/>
  <c r="H271" i="45" s="1"/>
  <c r="G270" i="45"/>
  <c r="P269" i="45"/>
  <c r="N269" i="45"/>
  <c r="N271" i="45" s="1"/>
  <c r="L269" i="45"/>
  <c r="K269" i="45"/>
  <c r="J269" i="45"/>
  <c r="I269" i="45"/>
  <c r="I271" i="45"/>
  <c r="G269" i="45"/>
  <c r="G271" i="45"/>
  <c r="P268" i="45"/>
  <c r="O268" i="45"/>
  <c r="N268" i="45"/>
  <c r="L268" i="45"/>
  <c r="K268" i="45"/>
  <c r="J268" i="45"/>
  <c r="I268" i="45"/>
  <c r="G268" i="45"/>
  <c r="M267" i="45"/>
  <c r="F267" i="45"/>
  <c r="E267" i="45" s="1"/>
  <c r="M266" i="45"/>
  <c r="H266" i="45"/>
  <c r="P265" i="45"/>
  <c r="O265" i="45"/>
  <c r="N265" i="45"/>
  <c r="M265" i="45"/>
  <c r="L265" i="45"/>
  <c r="K265" i="45"/>
  <c r="J265" i="45"/>
  <c r="I265" i="45"/>
  <c r="H265" i="45"/>
  <c r="G265" i="45"/>
  <c r="M264" i="45"/>
  <c r="F264" i="45"/>
  <c r="M263" i="45"/>
  <c r="F263" i="45"/>
  <c r="P262" i="45"/>
  <c r="O262" i="45"/>
  <c r="N262" i="45"/>
  <c r="M262" i="45"/>
  <c r="L262" i="45"/>
  <c r="K262" i="45"/>
  <c r="J262" i="45"/>
  <c r="I262" i="45"/>
  <c r="H262" i="45"/>
  <c r="G262" i="45"/>
  <c r="M261" i="45"/>
  <c r="F261" i="45"/>
  <c r="M260" i="45"/>
  <c r="F260" i="45"/>
  <c r="E260" i="45" s="1"/>
  <c r="P259" i="45"/>
  <c r="O259" i="45"/>
  <c r="N259" i="45"/>
  <c r="L259" i="45"/>
  <c r="K259" i="45"/>
  <c r="J259" i="45"/>
  <c r="I259" i="45"/>
  <c r="G259" i="45"/>
  <c r="M258" i="45"/>
  <c r="F258" i="45"/>
  <c r="E258" i="45"/>
  <c r="M257" i="45"/>
  <c r="H257" i="45"/>
  <c r="P256" i="45"/>
  <c r="O256" i="45"/>
  <c r="N256" i="45"/>
  <c r="L256" i="45"/>
  <c r="K256" i="45"/>
  <c r="J256" i="45"/>
  <c r="I256" i="45"/>
  <c r="G256" i="45"/>
  <c r="M255" i="45"/>
  <c r="F255" i="45"/>
  <c r="E255" i="45" s="1"/>
  <c r="D255" i="45" s="1"/>
  <c r="M254" i="45"/>
  <c r="M256" i="45"/>
  <c r="H254" i="45"/>
  <c r="H256" i="45" s="1"/>
  <c r="P253" i="45"/>
  <c r="O253" i="45"/>
  <c r="N253" i="45"/>
  <c r="L253" i="45"/>
  <c r="K253" i="45"/>
  <c r="J253" i="45"/>
  <c r="I253" i="45"/>
  <c r="G253" i="45"/>
  <c r="M252" i="45"/>
  <c r="F252" i="45"/>
  <c r="E252" i="45" s="1"/>
  <c r="M251" i="45"/>
  <c r="M253" i="45" s="1"/>
  <c r="H251" i="45"/>
  <c r="P250" i="45"/>
  <c r="O250" i="45"/>
  <c r="N250" i="45"/>
  <c r="L250" i="45"/>
  <c r="K250" i="45"/>
  <c r="J250" i="45"/>
  <c r="I250" i="45"/>
  <c r="H250" i="45"/>
  <c r="G250" i="45"/>
  <c r="M249" i="45"/>
  <c r="F249" i="45"/>
  <c r="E249" i="45" s="1"/>
  <c r="D249" i="45" s="1"/>
  <c r="M248" i="45"/>
  <c r="M250" i="45"/>
  <c r="F248" i="45"/>
  <c r="P247" i="45"/>
  <c r="O247" i="45"/>
  <c r="N247" i="45"/>
  <c r="M247" i="45"/>
  <c r="L247" i="45"/>
  <c r="K247" i="45"/>
  <c r="J247" i="45"/>
  <c r="I247" i="45"/>
  <c r="H247" i="45"/>
  <c r="G247" i="45"/>
  <c r="F246" i="45"/>
  <c r="F245" i="45"/>
  <c r="E245" i="45" s="1"/>
  <c r="D245" i="45"/>
  <c r="P244" i="45"/>
  <c r="O244" i="45"/>
  <c r="N244" i="45"/>
  <c r="L244" i="45"/>
  <c r="K244" i="45"/>
  <c r="J244" i="45"/>
  <c r="I244" i="45"/>
  <c r="H244" i="45"/>
  <c r="G244" i="45"/>
  <c r="M243" i="45"/>
  <c r="F243" i="45"/>
  <c r="E243" i="45"/>
  <c r="M242" i="45"/>
  <c r="F242" i="45"/>
  <c r="P241" i="45"/>
  <c r="O241" i="45"/>
  <c r="N241" i="45"/>
  <c r="L241" i="45"/>
  <c r="K241" i="45"/>
  <c r="J241" i="45"/>
  <c r="I241" i="45"/>
  <c r="H241" i="45"/>
  <c r="G241" i="45"/>
  <c r="M240" i="45"/>
  <c r="F240" i="45"/>
  <c r="E240" i="45"/>
  <c r="M239" i="45"/>
  <c r="F239" i="45"/>
  <c r="E239" i="45" s="1"/>
  <c r="P237" i="45"/>
  <c r="O237" i="45"/>
  <c r="N237" i="45"/>
  <c r="L237" i="45"/>
  <c r="K237" i="45"/>
  <c r="J237" i="45"/>
  <c r="I237" i="45"/>
  <c r="H237" i="45"/>
  <c r="G237" i="45"/>
  <c r="P236" i="45"/>
  <c r="P238" i="45" s="1"/>
  <c r="O236" i="45"/>
  <c r="O238" i="45" s="1"/>
  <c r="N236" i="45"/>
  <c r="M236" i="45"/>
  <c r="M238" i="45" s="1"/>
  <c r="L236" i="45"/>
  <c r="L238" i="45" s="1"/>
  <c r="K236" i="45"/>
  <c r="K238" i="45" s="1"/>
  <c r="J236" i="45"/>
  <c r="I236" i="45"/>
  <c r="G236" i="45"/>
  <c r="G238" i="45" s="1"/>
  <c r="P235" i="45"/>
  <c r="O235" i="45"/>
  <c r="N235" i="45"/>
  <c r="L235" i="45"/>
  <c r="J235" i="45"/>
  <c r="I235" i="45"/>
  <c r="H235" i="45"/>
  <c r="G235" i="45"/>
  <c r="M234" i="45"/>
  <c r="F234" i="45"/>
  <c r="E234" i="45" s="1"/>
  <c r="D234" i="45" s="1"/>
  <c r="M233" i="45"/>
  <c r="M235" i="45"/>
  <c r="F233" i="45"/>
  <c r="P232" i="45"/>
  <c r="O232" i="45"/>
  <c r="N232" i="45"/>
  <c r="L232" i="45"/>
  <c r="K232" i="45"/>
  <c r="J232" i="45"/>
  <c r="I232" i="45"/>
  <c r="H232" i="45"/>
  <c r="G232" i="45"/>
  <c r="M231" i="45"/>
  <c r="F231" i="45"/>
  <c r="E231" i="45" s="1"/>
  <c r="M230" i="45"/>
  <c r="F230" i="45"/>
  <c r="P229" i="45"/>
  <c r="O229" i="45"/>
  <c r="N229" i="45"/>
  <c r="L229" i="45"/>
  <c r="K229" i="45"/>
  <c r="J229" i="45"/>
  <c r="I229" i="45"/>
  <c r="H229" i="45"/>
  <c r="G229" i="45"/>
  <c r="M228" i="45"/>
  <c r="F228" i="45"/>
  <c r="E228" i="45" s="1"/>
  <c r="D228" i="45" s="1"/>
  <c r="M227" i="45"/>
  <c r="F227" i="45"/>
  <c r="E227" i="45" s="1"/>
  <c r="P226" i="45"/>
  <c r="O226" i="45"/>
  <c r="N226" i="45"/>
  <c r="L226" i="45"/>
  <c r="K226" i="45"/>
  <c r="J226" i="45"/>
  <c r="I226" i="45"/>
  <c r="G226" i="45"/>
  <c r="M225" i="45"/>
  <c r="F225" i="45"/>
  <c r="E225" i="45" s="1"/>
  <c r="D225" i="45" s="1"/>
  <c r="M224" i="45"/>
  <c r="M226" i="45" s="1"/>
  <c r="H224" i="45"/>
  <c r="H226" i="45" s="1"/>
  <c r="P223" i="45"/>
  <c r="O223" i="45"/>
  <c r="N223" i="45"/>
  <c r="L223" i="45"/>
  <c r="K223" i="45"/>
  <c r="J223" i="45"/>
  <c r="I223" i="45"/>
  <c r="G223" i="45"/>
  <c r="M222" i="45"/>
  <c r="F222" i="45"/>
  <c r="E222" i="45" s="1"/>
  <c r="D222" i="45" s="1"/>
  <c r="M221" i="45"/>
  <c r="H221" i="45"/>
  <c r="P220" i="45"/>
  <c r="O220" i="45"/>
  <c r="N220" i="45"/>
  <c r="L220" i="45"/>
  <c r="K220" i="45"/>
  <c r="J220" i="45"/>
  <c r="I220" i="45"/>
  <c r="H220" i="45"/>
  <c r="G220" i="45"/>
  <c r="M219" i="45"/>
  <c r="F219" i="45"/>
  <c r="E219" i="45" s="1"/>
  <c r="D219" i="45" s="1"/>
  <c r="D220" i="45" s="1"/>
  <c r="M218" i="45"/>
  <c r="M220" i="45" s="1"/>
  <c r="F218" i="45"/>
  <c r="P217" i="45"/>
  <c r="N217" i="45"/>
  <c r="L217" i="45"/>
  <c r="K217" i="45"/>
  <c r="J217" i="45"/>
  <c r="I217" i="45"/>
  <c r="H217" i="45"/>
  <c r="G217" i="45"/>
  <c r="M216" i="45"/>
  <c r="D216" i="45" s="1"/>
  <c r="D217" i="45" s="1"/>
  <c r="F216" i="45"/>
  <c r="E216" i="45"/>
  <c r="O215" i="45"/>
  <c r="M215" i="45"/>
  <c r="F215" i="45"/>
  <c r="E215" i="45"/>
  <c r="D215" i="45" s="1"/>
  <c r="P214" i="45"/>
  <c r="O214" i="45"/>
  <c r="N214" i="45"/>
  <c r="L214" i="45"/>
  <c r="K214" i="45"/>
  <c r="J214" i="45"/>
  <c r="I214" i="45"/>
  <c r="G214" i="45"/>
  <c r="M213" i="45"/>
  <c r="F213" i="45"/>
  <c r="M212" i="45"/>
  <c r="H212" i="45"/>
  <c r="H214" i="45" s="1"/>
  <c r="P211" i="45"/>
  <c r="O211" i="45"/>
  <c r="N211" i="45"/>
  <c r="L211" i="45"/>
  <c r="K211" i="45"/>
  <c r="J211" i="45"/>
  <c r="I211" i="45"/>
  <c r="G211" i="45"/>
  <c r="M210" i="45"/>
  <c r="F210" i="45"/>
  <c r="E210" i="45" s="1"/>
  <c r="D210" i="45" s="1"/>
  <c r="M209" i="45"/>
  <c r="M211" i="45" s="1"/>
  <c r="H209" i="45"/>
  <c r="P208" i="45"/>
  <c r="O208" i="45"/>
  <c r="N208" i="45"/>
  <c r="L208" i="45"/>
  <c r="K208" i="45"/>
  <c r="J208" i="45"/>
  <c r="I208" i="45"/>
  <c r="G208" i="45"/>
  <c r="M207" i="45"/>
  <c r="F207" i="45"/>
  <c r="E207" i="45" s="1"/>
  <c r="D207" i="45" s="1"/>
  <c r="M206" i="45"/>
  <c r="H206" i="45"/>
  <c r="P205" i="45"/>
  <c r="O205" i="45"/>
  <c r="N205" i="45"/>
  <c r="L205" i="45"/>
  <c r="K205" i="45"/>
  <c r="J205" i="45"/>
  <c r="I205" i="45"/>
  <c r="H205" i="45"/>
  <c r="G205" i="45"/>
  <c r="M204" i="45"/>
  <c r="F204" i="45"/>
  <c r="E204" i="45" s="1"/>
  <c r="M203" i="45"/>
  <c r="D203" i="45" s="1"/>
  <c r="F203" i="45"/>
  <c r="F205" i="45" s="1"/>
  <c r="P202" i="45"/>
  <c r="O202" i="45"/>
  <c r="N202" i="45"/>
  <c r="L202" i="45"/>
  <c r="K202" i="45"/>
  <c r="J202" i="45"/>
  <c r="I202" i="45"/>
  <c r="H202" i="45"/>
  <c r="G202" i="45"/>
  <c r="M201" i="45"/>
  <c r="F201" i="45"/>
  <c r="M200" i="45"/>
  <c r="F200" i="45"/>
  <c r="E200" i="45" s="1"/>
  <c r="P199" i="45"/>
  <c r="O199" i="45"/>
  <c r="N199" i="45"/>
  <c r="L199" i="45"/>
  <c r="J199" i="45"/>
  <c r="I199" i="45"/>
  <c r="G199" i="45"/>
  <c r="M198" i="45"/>
  <c r="D198" i="45" s="1"/>
  <c r="F198" i="45"/>
  <c r="E198" i="45"/>
  <c r="M197" i="45"/>
  <c r="K197" i="45"/>
  <c r="K199" i="45" s="1"/>
  <c r="H197" i="45"/>
  <c r="P196" i="45"/>
  <c r="O196" i="45"/>
  <c r="N196" i="45"/>
  <c r="L196" i="45"/>
  <c r="K196" i="45"/>
  <c r="J196" i="45"/>
  <c r="I196" i="45"/>
  <c r="H196" i="45"/>
  <c r="G196" i="45"/>
  <c r="M195" i="45"/>
  <c r="F195" i="45"/>
  <c r="E195" i="45" s="1"/>
  <c r="D195" i="45" s="1"/>
  <c r="M194" i="45"/>
  <c r="M196" i="45"/>
  <c r="F194" i="45"/>
  <c r="P193" i="45"/>
  <c r="O193" i="45"/>
  <c r="N193" i="45"/>
  <c r="L193" i="45"/>
  <c r="K193" i="45"/>
  <c r="J193" i="45"/>
  <c r="I193" i="45"/>
  <c r="H193" i="45"/>
  <c r="G193" i="45"/>
  <c r="M192" i="45"/>
  <c r="F192" i="45"/>
  <c r="E192" i="45" s="1"/>
  <c r="M191" i="45"/>
  <c r="F191" i="45"/>
  <c r="P189" i="45"/>
  <c r="O189" i="45"/>
  <c r="N189" i="45"/>
  <c r="L189" i="45"/>
  <c r="J189" i="45"/>
  <c r="I189" i="45"/>
  <c r="H189" i="45"/>
  <c r="G189" i="45"/>
  <c r="P188" i="45"/>
  <c r="N188" i="45"/>
  <c r="N190" i="45" s="1"/>
  <c r="L188" i="45"/>
  <c r="L190" i="45" s="1"/>
  <c r="K188" i="45"/>
  <c r="J188" i="45"/>
  <c r="J190" i="45" s="1"/>
  <c r="I188" i="45"/>
  <c r="G188" i="45"/>
  <c r="G190" i="45" s="1"/>
  <c r="P187" i="45"/>
  <c r="O187" i="45"/>
  <c r="N187" i="45"/>
  <c r="L187" i="45"/>
  <c r="K187" i="45"/>
  <c r="J187" i="45"/>
  <c r="I187" i="45"/>
  <c r="H187" i="45"/>
  <c r="G187" i="45"/>
  <c r="M186" i="45"/>
  <c r="M183" i="45" s="1"/>
  <c r="F186" i="45"/>
  <c r="E186" i="45" s="1"/>
  <c r="M185" i="45"/>
  <c r="F185" i="45"/>
  <c r="F182" i="45" s="1"/>
  <c r="P183" i="45"/>
  <c r="O183" i="45"/>
  <c r="N183" i="45"/>
  <c r="L183" i="45"/>
  <c r="K183" i="45"/>
  <c r="J183" i="45"/>
  <c r="I183" i="45"/>
  <c r="H183" i="45"/>
  <c r="G183" i="45"/>
  <c r="G184" i="45" s="1"/>
  <c r="P182" i="45"/>
  <c r="O182" i="45"/>
  <c r="O184" i="45" s="1"/>
  <c r="N182" i="45"/>
  <c r="L182" i="45"/>
  <c r="L184" i="45" s="1"/>
  <c r="K182" i="45"/>
  <c r="J182" i="45"/>
  <c r="J184" i="45" s="1"/>
  <c r="I182" i="45"/>
  <c r="H182" i="45"/>
  <c r="H184" i="45"/>
  <c r="G182" i="45"/>
  <c r="P181" i="45"/>
  <c r="O181" i="45"/>
  <c r="N181" i="45"/>
  <c r="L181" i="45"/>
  <c r="K181" i="45"/>
  <c r="J181" i="45"/>
  <c r="I181" i="45"/>
  <c r="H181" i="45"/>
  <c r="G181" i="45"/>
  <c r="M180" i="45"/>
  <c r="F180" i="45"/>
  <c r="E180" i="45" s="1"/>
  <c r="D180" i="45" s="1"/>
  <c r="M179" i="45"/>
  <c r="M181" i="45" s="1"/>
  <c r="F179" i="45"/>
  <c r="P178" i="45"/>
  <c r="O178" i="45"/>
  <c r="N178" i="45"/>
  <c r="L178" i="45"/>
  <c r="K178" i="45"/>
  <c r="J178" i="45"/>
  <c r="I178" i="45"/>
  <c r="H178" i="45"/>
  <c r="G178" i="45"/>
  <c r="M177" i="45"/>
  <c r="F177" i="45"/>
  <c r="E177" i="45" s="1"/>
  <c r="M176" i="45"/>
  <c r="M178" i="45" s="1"/>
  <c r="F176" i="45"/>
  <c r="P174" i="45"/>
  <c r="O174" i="45"/>
  <c r="N174" i="45"/>
  <c r="N175" i="45" s="1"/>
  <c r="L174" i="45"/>
  <c r="K174" i="45"/>
  <c r="J174" i="45"/>
  <c r="I174" i="45"/>
  <c r="H174" i="45"/>
  <c r="G174" i="45"/>
  <c r="P173" i="45"/>
  <c r="O173" i="45"/>
  <c r="O175" i="45" s="1"/>
  <c r="N173" i="45"/>
  <c r="L173" i="45"/>
  <c r="L175" i="45" s="1"/>
  <c r="K173" i="45"/>
  <c r="J173" i="45"/>
  <c r="I173" i="45"/>
  <c r="H173" i="45"/>
  <c r="H175" i="45" s="1"/>
  <c r="G173" i="45"/>
  <c r="P172" i="45"/>
  <c r="O172" i="45"/>
  <c r="N172" i="45"/>
  <c r="L172" i="45"/>
  <c r="K172" i="45"/>
  <c r="J172" i="45"/>
  <c r="I172" i="45"/>
  <c r="H172" i="45"/>
  <c r="G172" i="45"/>
  <c r="M171" i="45"/>
  <c r="F171" i="45"/>
  <c r="M170" i="45"/>
  <c r="F170" i="45"/>
  <c r="P169" i="45"/>
  <c r="O169" i="45"/>
  <c r="N169" i="45"/>
  <c r="L169" i="45"/>
  <c r="K169" i="45"/>
  <c r="J169" i="45"/>
  <c r="I169" i="45"/>
  <c r="H169" i="45"/>
  <c r="G169" i="45"/>
  <c r="M168" i="45"/>
  <c r="F168" i="45"/>
  <c r="E168" i="45"/>
  <c r="M167" i="45"/>
  <c r="F167" i="45"/>
  <c r="E167" i="45" s="1"/>
  <c r="D167" i="45" s="1"/>
  <c r="P165" i="45"/>
  <c r="O165" i="45"/>
  <c r="O166" i="45"/>
  <c r="N165" i="45"/>
  <c r="M165" i="45"/>
  <c r="L165" i="45"/>
  <c r="K165" i="45"/>
  <c r="J165" i="45"/>
  <c r="J166" i="45" s="1"/>
  <c r="I165" i="45"/>
  <c r="H165" i="45"/>
  <c r="G165" i="45"/>
  <c r="P164" i="45"/>
  <c r="O164" i="45"/>
  <c r="N164" i="45"/>
  <c r="N166" i="45" s="1"/>
  <c r="L164" i="45"/>
  <c r="K164" i="45"/>
  <c r="J164" i="45"/>
  <c r="I164" i="45"/>
  <c r="I166" i="45" s="1"/>
  <c r="H164" i="45"/>
  <c r="G164" i="45"/>
  <c r="P163" i="45"/>
  <c r="O163" i="45"/>
  <c r="N163" i="45"/>
  <c r="L163" i="45"/>
  <c r="K163" i="45"/>
  <c r="J163" i="45"/>
  <c r="I163" i="45"/>
  <c r="H163" i="45"/>
  <c r="G163" i="45"/>
  <c r="M162" i="45"/>
  <c r="M159" i="45" s="1"/>
  <c r="F162" i="45"/>
  <c r="F159" i="45" s="1"/>
  <c r="E162" i="45"/>
  <c r="M161" i="45"/>
  <c r="M158" i="45"/>
  <c r="F161" i="45"/>
  <c r="F163" i="45"/>
  <c r="P159" i="45"/>
  <c r="O159" i="45"/>
  <c r="N159" i="45"/>
  <c r="L159" i="45"/>
  <c r="K159" i="45"/>
  <c r="J159" i="45"/>
  <c r="J160" i="45" s="1"/>
  <c r="I159" i="45"/>
  <c r="H159" i="45"/>
  <c r="G159" i="45"/>
  <c r="P158" i="45"/>
  <c r="P160" i="45" s="1"/>
  <c r="O158" i="45"/>
  <c r="N158" i="45"/>
  <c r="L158" i="45"/>
  <c r="L160" i="45" s="1"/>
  <c r="K158" i="45"/>
  <c r="J158" i="45"/>
  <c r="I158" i="45"/>
  <c r="I160" i="45" s="1"/>
  <c r="H158" i="45"/>
  <c r="G158" i="45"/>
  <c r="P157" i="45"/>
  <c r="O157" i="45"/>
  <c r="N157" i="45"/>
  <c r="M157" i="45"/>
  <c r="L157" i="45"/>
  <c r="J157" i="45"/>
  <c r="I157" i="45"/>
  <c r="H157" i="45"/>
  <c r="G157" i="45"/>
  <c r="M156" i="45"/>
  <c r="F156" i="45"/>
  <c r="E156" i="45"/>
  <c r="D156" i="45" s="1"/>
  <c r="M155" i="45"/>
  <c r="K155" i="45"/>
  <c r="K157" i="45" s="1"/>
  <c r="F155" i="45"/>
  <c r="P154" i="45"/>
  <c r="O154" i="45"/>
  <c r="N154" i="45"/>
  <c r="L154" i="45"/>
  <c r="K154" i="45"/>
  <c r="J154" i="45"/>
  <c r="I154" i="45"/>
  <c r="G154" i="45"/>
  <c r="M153" i="45"/>
  <c r="F153" i="45"/>
  <c r="E153" i="45" s="1"/>
  <c r="D153" i="45" s="1"/>
  <c r="M152" i="45"/>
  <c r="M154" i="45" s="1"/>
  <c r="H152" i="45"/>
  <c r="H154" i="45" s="1"/>
  <c r="P151" i="45"/>
  <c r="O151" i="45"/>
  <c r="N151" i="45"/>
  <c r="L151" i="45"/>
  <c r="K151" i="45"/>
  <c r="J151" i="45"/>
  <c r="I151" i="45"/>
  <c r="H151" i="45"/>
  <c r="G151" i="45"/>
  <c r="M150" i="45"/>
  <c r="F150" i="45"/>
  <c r="M149" i="45"/>
  <c r="M151" i="45" s="1"/>
  <c r="F149" i="45"/>
  <c r="E149" i="45" s="1"/>
  <c r="P148" i="45"/>
  <c r="O148" i="45"/>
  <c r="N148" i="45"/>
  <c r="L148" i="45"/>
  <c r="K148" i="45"/>
  <c r="J148" i="45"/>
  <c r="I148" i="45"/>
  <c r="G148" i="45"/>
  <c r="M147" i="45"/>
  <c r="F147" i="45"/>
  <c r="E147" i="45"/>
  <c r="M146" i="45"/>
  <c r="H146" i="45"/>
  <c r="P145" i="45"/>
  <c r="O145" i="45"/>
  <c r="N145" i="45"/>
  <c r="L145" i="45"/>
  <c r="J145" i="45"/>
  <c r="I145" i="45"/>
  <c r="H145" i="45"/>
  <c r="G145" i="45"/>
  <c r="M144" i="45"/>
  <c r="F144" i="45"/>
  <c r="E144" i="45"/>
  <c r="D144" i="45" s="1"/>
  <c r="M143" i="45"/>
  <c r="M145" i="45" s="1"/>
  <c r="F143" i="45"/>
  <c r="P142" i="45"/>
  <c r="O142" i="45"/>
  <c r="N142" i="45"/>
  <c r="L142" i="45"/>
  <c r="K142" i="45"/>
  <c r="J142" i="45"/>
  <c r="I142" i="45"/>
  <c r="H142" i="45"/>
  <c r="G142" i="45"/>
  <c r="M141" i="45"/>
  <c r="F141" i="45"/>
  <c r="E141" i="45" s="1"/>
  <c r="M140" i="45"/>
  <c r="M137" i="45" s="1"/>
  <c r="F140" i="45"/>
  <c r="E140" i="45"/>
  <c r="P138" i="45"/>
  <c r="O138" i="45"/>
  <c r="N138" i="45"/>
  <c r="L138" i="45"/>
  <c r="K138" i="45"/>
  <c r="J138" i="45"/>
  <c r="I138" i="45"/>
  <c r="H138" i="45"/>
  <c r="G138" i="45"/>
  <c r="P137" i="45"/>
  <c r="P139" i="45" s="1"/>
  <c r="O137" i="45"/>
  <c r="N137" i="45"/>
  <c r="N139" i="45" s="1"/>
  <c r="L137" i="45"/>
  <c r="J137" i="45"/>
  <c r="J139" i="45" s="1"/>
  <c r="I137" i="45"/>
  <c r="G137" i="45"/>
  <c r="G139" i="45" s="1"/>
  <c r="P136" i="45"/>
  <c r="O136" i="45"/>
  <c r="N136" i="45"/>
  <c r="L136" i="45"/>
  <c r="K136" i="45"/>
  <c r="J136" i="45"/>
  <c r="I136" i="45"/>
  <c r="H136" i="45"/>
  <c r="G136" i="45"/>
  <c r="M135" i="45"/>
  <c r="F135" i="45"/>
  <c r="M134" i="45"/>
  <c r="F134" i="45"/>
  <c r="P133" i="45"/>
  <c r="O133" i="45"/>
  <c r="N133" i="45"/>
  <c r="L133" i="45"/>
  <c r="K133" i="45"/>
  <c r="J133" i="45"/>
  <c r="I133" i="45"/>
  <c r="H133" i="45"/>
  <c r="G133" i="45"/>
  <c r="M132" i="45"/>
  <c r="M129" i="45" s="1"/>
  <c r="F132" i="45"/>
  <c r="M131" i="45"/>
  <c r="F131" i="45"/>
  <c r="E131" i="45" s="1"/>
  <c r="P129" i="45"/>
  <c r="O129" i="45"/>
  <c r="N129" i="45"/>
  <c r="L129" i="45"/>
  <c r="L130" i="45" s="1"/>
  <c r="K129" i="45"/>
  <c r="J129" i="45"/>
  <c r="I129" i="45"/>
  <c r="H129" i="45"/>
  <c r="G129" i="45"/>
  <c r="P128" i="45"/>
  <c r="P130" i="45" s="1"/>
  <c r="O128" i="45"/>
  <c r="O130" i="45" s="1"/>
  <c r="N128" i="45"/>
  <c r="N130" i="45" s="1"/>
  <c r="L128" i="45"/>
  <c r="K128" i="45"/>
  <c r="K130" i="45"/>
  <c r="J128" i="45"/>
  <c r="I128" i="45"/>
  <c r="H128" i="45"/>
  <c r="G128" i="45"/>
  <c r="G130" i="45" s="1"/>
  <c r="P127" i="45"/>
  <c r="O127" i="45"/>
  <c r="N127" i="45"/>
  <c r="L127" i="45"/>
  <c r="K127" i="45"/>
  <c r="J127" i="45"/>
  <c r="I127" i="45"/>
  <c r="G127" i="45"/>
  <c r="M126" i="45"/>
  <c r="M127" i="45" s="1"/>
  <c r="F126" i="45"/>
  <c r="E126" i="45"/>
  <c r="M125" i="45"/>
  <c r="H125" i="45"/>
  <c r="P123" i="45"/>
  <c r="O123" i="45"/>
  <c r="N123" i="45"/>
  <c r="M123" i="45"/>
  <c r="L123" i="45"/>
  <c r="K123" i="45"/>
  <c r="J123" i="45"/>
  <c r="I123" i="45"/>
  <c r="H123" i="45"/>
  <c r="G123" i="45"/>
  <c r="P122" i="45"/>
  <c r="P124" i="45" s="1"/>
  <c r="O122" i="45"/>
  <c r="O124" i="45" s="1"/>
  <c r="N122" i="45"/>
  <c r="L122" i="45"/>
  <c r="K122" i="45"/>
  <c r="J122" i="45"/>
  <c r="I122" i="45"/>
  <c r="G122" i="45"/>
  <c r="P121" i="45"/>
  <c r="O121" i="45"/>
  <c r="N121" i="45"/>
  <c r="L121" i="45"/>
  <c r="K121" i="45"/>
  <c r="J121" i="45"/>
  <c r="I121" i="45"/>
  <c r="H121" i="45"/>
  <c r="G121" i="45"/>
  <c r="M120" i="45"/>
  <c r="M121" i="45" s="1"/>
  <c r="F120" i="45"/>
  <c r="E120" i="45"/>
  <c r="M119" i="45"/>
  <c r="F119" i="45"/>
  <c r="F121" i="45" s="1"/>
  <c r="P118" i="45"/>
  <c r="O118" i="45"/>
  <c r="N118" i="45"/>
  <c r="L118" i="45"/>
  <c r="K118" i="45"/>
  <c r="J118" i="45"/>
  <c r="I118" i="45"/>
  <c r="G118" i="45"/>
  <c r="M117" i="45"/>
  <c r="F117" i="45"/>
  <c r="M116" i="45"/>
  <c r="H116" i="45"/>
  <c r="P115" i="45"/>
  <c r="O115" i="45"/>
  <c r="N115" i="45"/>
  <c r="L115" i="45"/>
  <c r="K115" i="45"/>
  <c r="J115" i="45"/>
  <c r="I115" i="45"/>
  <c r="H115" i="45"/>
  <c r="G115" i="45"/>
  <c r="M114" i="45"/>
  <c r="F114" i="45"/>
  <c r="E114" i="45" s="1"/>
  <c r="D114" i="45" s="1"/>
  <c r="M113" i="45"/>
  <c r="F113" i="45"/>
  <c r="P112" i="45"/>
  <c r="O112" i="45"/>
  <c r="N112" i="45"/>
  <c r="L112" i="45"/>
  <c r="K112" i="45"/>
  <c r="J112" i="45"/>
  <c r="I112" i="45"/>
  <c r="G112" i="45"/>
  <c r="M111" i="45"/>
  <c r="F111" i="45"/>
  <c r="E111" i="45" s="1"/>
  <c r="M110" i="45"/>
  <c r="H110" i="45"/>
  <c r="H112" i="45" s="1"/>
  <c r="F110" i="45"/>
  <c r="P109" i="45"/>
  <c r="O109" i="45"/>
  <c r="N109" i="45"/>
  <c r="L109" i="45"/>
  <c r="K109" i="45"/>
  <c r="J109" i="45"/>
  <c r="I109" i="45"/>
  <c r="G109" i="45"/>
  <c r="M108" i="45"/>
  <c r="F108" i="45"/>
  <c r="E108" i="45" s="1"/>
  <c r="M107" i="45"/>
  <c r="H107" i="45"/>
  <c r="P105" i="45"/>
  <c r="O105" i="45"/>
  <c r="N105" i="45"/>
  <c r="L105" i="45"/>
  <c r="L106" i="45" s="1"/>
  <c r="K105" i="45"/>
  <c r="J105" i="45"/>
  <c r="I105" i="45"/>
  <c r="H105" i="45"/>
  <c r="G105" i="45"/>
  <c r="P104" i="45"/>
  <c r="P106" i="45" s="1"/>
  <c r="O104" i="45"/>
  <c r="O106" i="45" s="1"/>
  <c r="N104" i="45"/>
  <c r="L104" i="45"/>
  <c r="K104" i="45"/>
  <c r="K106" i="45" s="1"/>
  <c r="J104" i="45"/>
  <c r="J106" i="45" s="1"/>
  <c r="I104" i="45"/>
  <c r="G104" i="45"/>
  <c r="G106" i="45" s="1"/>
  <c r="P103" i="45"/>
  <c r="O103" i="45"/>
  <c r="N103" i="45"/>
  <c r="L103" i="45"/>
  <c r="K103" i="45"/>
  <c r="J103" i="45"/>
  <c r="I103" i="45"/>
  <c r="G103" i="45"/>
  <c r="M102" i="45"/>
  <c r="M99" i="45" s="1"/>
  <c r="F102" i="45"/>
  <c r="F99" i="45" s="1"/>
  <c r="M101" i="45"/>
  <c r="H101" i="45"/>
  <c r="F101" i="45" s="1"/>
  <c r="P99" i="45"/>
  <c r="O99" i="45"/>
  <c r="N99" i="45"/>
  <c r="L99" i="45"/>
  <c r="L100" i="45" s="1"/>
  <c r="K99" i="45"/>
  <c r="J99" i="45"/>
  <c r="I99" i="45"/>
  <c r="H99" i="45"/>
  <c r="G99" i="45"/>
  <c r="G100" i="45" s="1"/>
  <c r="P98" i="45"/>
  <c r="O98" i="45"/>
  <c r="O100" i="45" s="1"/>
  <c r="N98" i="45"/>
  <c r="N100" i="45" s="1"/>
  <c r="L98" i="45"/>
  <c r="K98" i="45"/>
  <c r="J98" i="45"/>
  <c r="J100" i="45" s="1"/>
  <c r="I98" i="45"/>
  <c r="G98" i="45"/>
  <c r="P97" i="45"/>
  <c r="O97" i="45"/>
  <c r="N97" i="45"/>
  <c r="L97" i="45"/>
  <c r="K97" i="45"/>
  <c r="J97" i="45"/>
  <c r="I97" i="45"/>
  <c r="H97" i="45"/>
  <c r="G97" i="45"/>
  <c r="M96" i="45"/>
  <c r="F96" i="45"/>
  <c r="E96" i="45" s="1"/>
  <c r="M95" i="45"/>
  <c r="F95" i="45"/>
  <c r="F97" i="45" s="1"/>
  <c r="P94" i="45"/>
  <c r="O94" i="45"/>
  <c r="N94" i="45"/>
  <c r="L94" i="45"/>
  <c r="K94" i="45"/>
  <c r="J94" i="45"/>
  <c r="I94" i="45"/>
  <c r="G94" i="45"/>
  <c r="M93" i="45"/>
  <c r="D93" i="45" s="1"/>
  <c r="F93" i="45"/>
  <c r="F90" i="45" s="1"/>
  <c r="M92" i="45"/>
  <c r="H92" i="45"/>
  <c r="H94" i="45" s="1"/>
  <c r="P90" i="45"/>
  <c r="O90" i="45"/>
  <c r="N90" i="45"/>
  <c r="L90" i="45"/>
  <c r="L91" i="45" s="1"/>
  <c r="K90" i="45"/>
  <c r="J90" i="45"/>
  <c r="I90" i="45"/>
  <c r="I91" i="45" s="1"/>
  <c r="H90" i="45"/>
  <c r="G90" i="45"/>
  <c r="P89" i="45"/>
  <c r="O89" i="45"/>
  <c r="O91" i="45" s="1"/>
  <c r="N89" i="45"/>
  <c r="N91" i="45" s="1"/>
  <c r="L89" i="45"/>
  <c r="K89" i="45"/>
  <c r="J89" i="45"/>
  <c r="I89" i="45"/>
  <c r="G89" i="45"/>
  <c r="G91" i="45" s="1"/>
  <c r="P88" i="45"/>
  <c r="O88" i="45"/>
  <c r="N88" i="45"/>
  <c r="L88" i="45"/>
  <c r="K88" i="45"/>
  <c r="J88" i="45"/>
  <c r="I88" i="45"/>
  <c r="H88" i="45"/>
  <c r="G88" i="45"/>
  <c r="M87" i="45"/>
  <c r="F87" i="45"/>
  <c r="E87" i="45" s="1"/>
  <c r="M86" i="45"/>
  <c r="F86" i="45"/>
  <c r="P85" i="45"/>
  <c r="O85" i="45"/>
  <c r="N85" i="45"/>
  <c r="L85" i="45"/>
  <c r="K85" i="45"/>
  <c r="J85" i="45"/>
  <c r="I85" i="45"/>
  <c r="H85" i="45"/>
  <c r="G85" i="45"/>
  <c r="M84" i="45"/>
  <c r="F84" i="45"/>
  <c r="E84" i="45" s="1"/>
  <c r="D84" i="45" s="1"/>
  <c r="M83" i="45"/>
  <c r="F83" i="45"/>
  <c r="P82" i="45"/>
  <c r="O82" i="45"/>
  <c r="N82" i="45"/>
  <c r="L82" i="45"/>
  <c r="K82" i="45"/>
  <c r="J82" i="45"/>
  <c r="I82" i="45"/>
  <c r="H82" i="45"/>
  <c r="G82" i="45"/>
  <c r="M81" i="45"/>
  <c r="F81" i="45"/>
  <c r="E81" i="45" s="1"/>
  <c r="M80" i="45"/>
  <c r="F80" i="45"/>
  <c r="P79" i="45"/>
  <c r="O79" i="45"/>
  <c r="N79" i="45"/>
  <c r="L79" i="45"/>
  <c r="K79" i="45"/>
  <c r="J79" i="45"/>
  <c r="I79" i="45"/>
  <c r="H79" i="45"/>
  <c r="G79" i="45"/>
  <c r="M78" i="45"/>
  <c r="F78" i="45"/>
  <c r="E78" i="45"/>
  <c r="M77" i="45"/>
  <c r="F77" i="45"/>
  <c r="P76" i="45"/>
  <c r="O76" i="45"/>
  <c r="N76" i="45"/>
  <c r="L76" i="45"/>
  <c r="K76" i="45"/>
  <c r="J76" i="45"/>
  <c r="I76" i="45"/>
  <c r="H76" i="45"/>
  <c r="G76" i="45"/>
  <c r="M75" i="45"/>
  <c r="F75" i="45"/>
  <c r="M74" i="45"/>
  <c r="F74" i="45"/>
  <c r="P73" i="45"/>
  <c r="O73" i="45"/>
  <c r="N73" i="45"/>
  <c r="L73" i="45"/>
  <c r="K73" i="45"/>
  <c r="J73" i="45"/>
  <c r="I73" i="45"/>
  <c r="H73" i="45"/>
  <c r="G73" i="45"/>
  <c r="M72" i="45"/>
  <c r="F72" i="45"/>
  <c r="E72" i="45"/>
  <c r="M71" i="45"/>
  <c r="F71" i="45"/>
  <c r="P70" i="45"/>
  <c r="O70" i="45"/>
  <c r="N70" i="45"/>
  <c r="L70" i="45"/>
  <c r="J70" i="45"/>
  <c r="I70" i="45"/>
  <c r="H70" i="45"/>
  <c r="G70" i="45"/>
  <c r="M69" i="45"/>
  <c r="F69" i="45"/>
  <c r="E69" i="45" s="1"/>
  <c r="M68" i="45"/>
  <c r="M70" i="45" s="1"/>
  <c r="K68" i="45"/>
  <c r="K70" i="45" s="1"/>
  <c r="F68" i="45"/>
  <c r="F70" i="45" s="1"/>
  <c r="P67" i="45"/>
  <c r="O67" i="45"/>
  <c r="N67" i="45"/>
  <c r="L67" i="45"/>
  <c r="K67" i="45"/>
  <c r="J67" i="45"/>
  <c r="I67" i="45"/>
  <c r="H67" i="45"/>
  <c r="G67" i="45"/>
  <c r="M66" i="45"/>
  <c r="F66" i="45"/>
  <c r="E66" i="45"/>
  <c r="M65" i="45"/>
  <c r="M67" i="45" s="1"/>
  <c r="F65" i="45"/>
  <c r="F67" i="45" s="1"/>
  <c r="E65" i="45"/>
  <c r="P63" i="45"/>
  <c r="O63" i="45"/>
  <c r="N63" i="45"/>
  <c r="L63" i="45"/>
  <c r="K63" i="45"/>
  <c r="J63" i="45"/>
  <c r="J64" i="45" s="1"/>
  <c r="I63" i="45"/>
  <c r="H63" i="45"/>
  <c r="G63" i="45"/>
  <c r="P62" i="45"/>
  <c r="P64" i="45" s="1"/>
  <c r="O62" i="45"/>
  <c r="N62" i="45"/>
  <c r="L62" i="45"/>
  <c r="K62" i="45"/>
  <c r="K64" i="45" s="1"/>
  <c r="J62" i="45"/>
  <c r="I62" i="45"/>
  <c r="H62" i="45"/>
  <c r="G62" i="45"/>
  <c r="P61" i="45"/>
  <c r="O61" i="45"/>
  <c r="N61" i="45"/>
  <c r="L61" i="45"/>
  <c r="K61" i="45"/>
  <c r="J61" i="45"/>
  <c r="I61" i="45"/>
  <c r="H61" i="45"/>
  <c r="G61" i="45"/>
  <c r="M60" i="45"/>
  <c r="F60" i="45"/>
  <c r="F57" i="45" s="1"/>
  <c r="M59" i="45"/>
  <c r="F59" i="45"/>
  <c r="P57" i="45"/>
  <c r="O57" i="45"/>
  <c r="N57" i="45"/>
  <c r="M57" i="45"/>
  <c r="L57" i="45"/>
  <c r="K57" i="45"/>
  <c r="J57" i="45"/>
  <c r="J14" i="45" s="1"/>
  <c r="J421" i="45" s="1"/>
  <c r="I57" i="45"/>
  <c r="H57" i="45"/>
  <c r="G57" i="45"/>
  <c r="P56" i="45"/>
  <c r="O56" i="45"/>
  <c r="N56" i="45"/>
  <c r="N58" i="45"/>
  <c r="L56" i="45"/>
  <c r="K56" i="45"/>
  <c r="J56" i="45"/>
  <c r="I56" i="45"/>
  <c r="H56" i="45"/>
  <c r="G56" i="45"/>
  <c r="F56" i="45"/>
  <c r="F58" i="45" s="1"/>
  <c r="P55" i="45"/>
  <c r="O55" i="45"/>
  <c r="N55" i="45"/>
  <c r="L55" i="45"/>
  <c r="K55" i="45"/>
  <c r="J55" i="45"/>
  <c r="I55" i="45"/>
  <c r="H55" i="45"/>
  <c r="G55" i="45"/>
  <c r="M54" i="45"/>
  <c r="M45" i="45" s="1"/>
  <c r="F54" i="45"/>
  <c r="E54" i="45"/>
  <c r="M53" i="45"/>
  <c r="F53" i="45"/>
  <c r="E53" i="45" s="1"/>
  <c r="P52" i="45"/>
  <c r="O52" i="45"/>
  <c r="N52" i="45"/>
  <c r="L52" i="45"/>
  <c r="K52" i="45"/>
  <c r="J52" i="45"/>
  <c r="I52" i="45"/>
  <c r="H52" i="45"/>
  <c r="G52" i="45"/>
  <c r="M51" i="45"/>
  <c r="F51" i="45"/>
  <c r="M50" i="45"/>
  <c r="M52" i="45"/>
  <c r="F50" i="45"/>
  <c r="E50" i="45"/>
  <c r="P49" i="45"/>
  <c r="O49" i="45"/>
  <c r="N49" i="45"/>
  <c r="L49" i="45"/>
  <c r="K49" i="45"/>
  <c r="J49" i="45"/>
  <c r="I49" i="45"/>
  <c r="H49" i="45"/>
  <c r="G49" i="45"/>
  <c r="M48" i="45"/>
  <c r="F48" i="45"/>
  <c r="E48" i="45" s="1"/>
  <c r="M47" i="45"/>
  <c r="M49" i="45" s="1"/>
  <c r="F47" i="45"/>
  <c r="E47" i="45" s="1"/>
  <c r="F49" i="45"/>
  <c r="P45" i="45"/>
  <c r="O45" i="45"/>
  <c r="N45" i="45"/>
  <c r="L45" i="45"/>
  <c r="K45" i="45"/>
  <c r="J45" i="45"/>
  <c r="J46" i="45" s="1"/>
  <c r="I45" i="45"/>
  <c r="H45" i="45"/>
  <c r="G45" i="45"/>
  <c r="P44" i="45"/>
  <c r="O44" i="45"/>
  <c r="N44" i="45"/>
  <c r="N46" i="45" s="1"/>
  <c r="L44" i="45"/>
  <c r="L46" i="45" s="1"/>
  <c r="K44" i="45"/>
  <c r="J44" i="45"/>
  <c r="I44" i="45"/>
  <c r="H44" i="45"/>
  <c r="H46" i="45" s="1"/>
  <c r="G44" i="45"/>
  <c r="G46" i="45" s="1"/>
  <c r="P43" i="45"/>
  <c r="O43" i="45"/>
  <c r="N43" i="45"/>
  <c r="L43" i="45"/>
  <c r="K43" i="45"/>
  <c r="J43" i="45"/>
  <c r="I43" i="45"/>
  <c r="H43" i="45"/>
  <c r="G43" i="45"/>
  <c r="M42" i="45"/>
  <c r="F42" i="45"/>
  <c r="E42" i="45" s="1"/>
  <c r="M41" i="45"/>
  <c r="F41" i="45"/>
  <c r="E41" i="45"/>
  <c r="P40" i="45"/>
  <c r="O40" i="45"/>
  <c r="N40" i="45"/>
  <c r="L40" i="45"/>
  <c r="J40" i="45"/>
  <c r="I40" i="45"/>
  <c r="H40" i="45"/>
  <c r="G40" i="45"/>
  <c r="M39" i="45"/>
  <c r="M40" i="45" s="1"/>
  <c r="F39" i="45"/>
  <c r="F40" i="45" s="1"/>
  <c r="M38" i="45"/>
  <c r="K38" i="45"/>
  <c r="E38" i="45" s="1"/>
  <c r="K40" i="45"/>
  <c r="F38" i="45"/>
  <c r="P36" i="45"/>
  <c r="O36" i="45"/>
  <c r="N36" i="45"/>
  <c r="L36" i="45"/>
  <c r="K36" i="45"/>
  <c r="J36" i="45"/>
  <c r="I36" i="45"/>
  <c r="H36" i="45"/>
  <c r="G36" i="45"/>
  <c r="P35" i="45"/>
  <c r="P37" i="45" s="1"/>
  <c r="O35" i="45"/>
  <c r="N35" i="45"/>
  <c r="N37" i="45" s="1"/>
  <c r="L35" i="45"/>
  <c r="L37" i="45" s="1"/>
  <c r="J35" i="45"/>
  <c r="J37" i="45" s="1"/>
  <c r="I35" i="45"/>
  <c r="I37" i="45" s="1"/>
  <c r="H35" i="45"/>
  <c r="H37" i="45" s="1"/>
  <c r="G35" i="45"/>
  <c r="F35" i="45"/>
  <c r="P34" i="45"/>
  <c r="O34" i="45"/>
  <c r="N34" i="45"/>
  <c r="L34" i="45"/>
  <c r="K34" i="45"/>
  <c r="J34" i="45"/>
  <c r="I34" i="45"/>
  <c r="H34" i="45"/>
  <c r="G34" i="45"/>
  <c r="M33" i="45"/>
  <c r="F33" i="45"/>
  <c r="E33" i="45"/>
  <c r="M32" i="45"/>
  <c r="F32" i="45"/>
  <c r="E32" i="45" s="1"/>
  <c r="D32" i="45" s="1"/>
  <c r="P31" i="45"/>
  <c r="O31" i="45"/>
  <c r="N31" i="45"/>
  <c r="L31" i="45"/>
  <c r="K31" i="45"/>
  <c r="J31" i="45"/>
  <c r="I31" i="45"/>
  <c r="G31" i="45"/>
  <c r="M30" i="45"/>
  <c r="F30" i="45"/>
  <c r="E30" i="45"/>
  <c r="M29" i="45"/>
  <c r="M31" i="45" s="1"/>
  <c r="H29" i="45"/>
  <c r="F29" i="45" s="1"/>
  <c r="P28" i="45"/>
  <c r="O28" i="45"/>
  <c r="N28" i="45"/>
  <c r="M28" i="45"/>
  <c r="L28" i="45"/>
  <c r="J28" i="45"/>
  <c r="I28" i="45"/>
  <c r="H28" i="45"/>
  <c r="G28" i="45"/>
  <c r="M27" i="45"/>
  <c r="F27" i="45"/>
  <c r="E27" i="45"/>
  <c r="M26" i="45"/>
  <c r="K26" i="45"/>
  <c r="K17" i="45" s="1"/>
  <c r="K19" i="45" s="1"/>
  <c r="F26" i="45"/>
  <c r="P25" i="45"/>
  <c r="O25" i="45"/>
  <c r="N25" i="45"/>
  <c r="L25" i="45"/>
  <c r="K25" i="45"/>
  <c r="J25" i="45"/>
  <c r="I25" i="45"/>
  <c r="H25" i="45"/>
  <c r="G25" i="45"/>
  <c r="M24" i="45"/>
  <c r="F24" i="45"/>
  <c r="E24" i="45" s="1"/>
  <c r="E25" i="45" s="1"/>
  <c r="M23" i="45"/>
  <c r="F23" i="45"/>
  <c r="E23" i="45" s="1"/>
  <c r="P22" i="45"/>
  <c r="O22" i="45"/>
  <c r="N22" i="45"/>
  <c r="L22" i="45"/>
  <c r="K22" i="45"/>
  <c r="J22" i="45"/>
  <c r="I22" i="45"/>
  <c r="H22" i="45"/>
  <c r="G22" i="45"/>
  <c r="M21" i="45"/>
  <c r="F21" i="45"/>
  <c r="E21" i="45" s="1"/>
  <c r="M20" i="45"/>
  <c r="F20" i="45"/>
  <c r="F22" i="45" s="1"/>
  <c r="P18" i="45"/>
  <c r="O18" i="45"/>
  <c r="N18" i="45"/>
  <c r="N19" i="45" s="1"/>
  <c r="L18" i="45"/>
  <c r="K18" i="45"/>
  <c r="J18" i="45"/>
  <c r="I18" i="45"/>
  <c r="H18" i="45"/>
  <c r="G18" i="45"/>
  <c r="P17" i="45"/>
  <c r="P19" i="45" s="1"/>
  <c r="O17" i="45"/>
  <c r="O19" i="45" s="1"/>
  <c r="N17" i="45"/>
  <c r="L17" i="45"/>
  <c r="L19" i="45"/>
  <c r="J17" i="45"/>
  <c r="I17" i="45"/>
  <c r="G17" i="45"/>
  <c r="G19" i="45" s="1"/>
  <c r="M418" i="45"/>
  <c r="M408" i="45"/>
  <c r="M409" i="45"/>
  <c r="H376" i="45"/>
  <c r="L376" i="45"/>
  <c r="F403" i="45"/>
  <c r="M375" i="45"/>
  <c r="M400" i="45"/>
  <c r="I376" i="45"/>
  <c r="D390" i="45"/>
  <c r="D391" i="45" s="1"/>
  <c r="P376" i="45"/>
  <c r="E389" i="45"/>
  <c r="E391" i="45" s="1"/>
  <c r="M394" i="45"/>
  <c r="N376" i="45"/>
  <c r="F385" i="45"/>
  <c r="G376" i="45"/>
  <c r="M382" i="45"/>
  <c r="F373" i="45"/>
  <c r="L343" i="45"/>
  <c r="D363" i="45"/>
  <c r="E365" i="45"/>
  <c r="E367" i="45" s="1"/>
  <c r="F346" i="45"/>
  <c r="F352" i="45"/>
  <c r="E346" i="45"/>
  <c r="D354" i="45"/>
  <c r="E356" i="45"/>
  <c r="E358" i="45"/>
  <c r="M319" i="45"/>
  <c r="F322" i="45"/>
  <c r="F325" i="45"/>
  <c r="F331" i="45"/>
  <c r="M337" i="45"/>
  <c r="M313" i="45"/>
  <c r="D318" i="45"/>
  <c r="M331" i="45"/>
  <c r="J334" i="45"/>
  <c r="O334" i="45"/>
  <c r="I334" i="45"/>
  <c r="M288" i="45"/>
  <c r="O289" i="45"/>
  <c r="F298" i="45"/>
  <c r="D298" i="45"/>
  <c r="N289" i="45"/>
  <c r="E298" i="45"/>
  <c r="K271" i="45"/>
  <c r="L271" i="45"/>
  <c r="M268" i="45"/>
  <c r="M237" i="45"/>
  <c r="D267" i="45"/>
  <c r="M259" i="45"/>
  <c r="D258" i="45"/>
  <c r="D227" i="45"/>
  <c r="F220" i="45"/>
  <c r="M208" i="45"/>
  <c r="P190" i="45"/>
  <c r="M202" i="45"/>
  <c r="E203" i="45"/>
  <c r="M214" i="45"/>
  <c r="H160" i="45"/>
  <c r="E161" i="45"/>
  <c r="M163" i="45"/>
  <c r="F164" i="45"/>
  <c r="F169" i="45"/>
  <c r="K184" i="45"/>
  <c r="F187" i="45"/>
  <c r="P166" i="45"/>
  <c r="F165" i="45"/>
  <c r="G175" i="45"/>
  <c r="K175" i="45"/>
  <c r="P175" i="45"/>
  <c r="M174" i="45"/>
  <c r="F158" i="45"/>
  <c r="F160" i="45"/>
  <c r="H166" i="45"/>
  <c r="L166" i="45"/>
  <c r="G166" i="45"/>
  <c r="K166" i="45"/>
  <c r="J175" i="45"/>
  <c r="N184" i="45"/>
  <c r="F183" i="45"/>
  <c r="F184" i="45"/>
  <c r="M138" i="45"/>
  <c r="M139" i="45" s="1"/>
  <c r="L139" i="45"/>
  <c r="M148" i="45"/>
  <c r="D147" i="45"/>
  <c r="M142" i="45"/>
  <c r="O139" i="45"/>
  <c r="I130" i="45"/>
  <c r="H130" i="45"/>
  <c r="E123" i="45"/>
  <c r="D120" i="45"/>
  <c r="N106" i="45"/>
  <c r="E119" i="45"/>
  <c r="D119" i="45" s="1"/>
  <c r="N64" i="45"/>
  <c r="E80" i="45"/>
  <c r="E82" i="45"/>
  <c r="E95" i="45"/>
  <c r="E97" i="45" s="1"/>
  <c r="L64" i="45"/>
  <c r="K91" i="45"/>
  <c r="F79" i="45"/>
  <c r="O64" i="45"/>
  <c r="G64" i="45"/>
  <c r="D69" i="45"/>
  <c r="I64" i="45"/>
  <c r="F55" i="45"/>
  <c r="G58" i="45"/>
  <c r="K58" i="45"/>
  <c r="O58" i="45"/>
  <c r="E60" i="45"/>
  <c r="E57" i="45" s="1"/>
  <c r="E58" i="45" s="1"/>
  <c r="P46" i="45"/>
  <c r="F44" i="45"/>
  <c r="O46" i="45"/>
  <c r="I46" i="45"/>
  <c r="I58" i="45"/>
  <c r="E59" i="45"/>
  <c r="F34" i="45"/>
  <c r="G37" i="45"/>
  <c r="F36" i="45"/>
  <c r="F43" i="45"/>
  <c r="M36" i="45"/>
  <c r="D21" i="45"/>
  <c r="I19" i="45"/>
  <c r="E43" i="45"/>
  <c r="E20" i="45"/>
  <c r="D20" i="45" s="1"/>
  <c r="D22" i="45" s="1"/>
  <c r="E22" i="45"/>
  <c r="E26" i="45"/>
  <c r="M89" i="45"/>
  <c r="M97" i="45"/>
  <c r="F283" i="45"/>
  <c r="M22" i="45"/>
  <c r="E71" i="45"/>
  <c r="F73" i="45"/>
  <c r="M85" i="45"/>
  <c r="M112" i="45"/>
  <c r="E121" i="45"/>
  <c r="M193" i="45"/>
  <c r="E242" i="45"/>
  <c r="F244" i="45"/>
  <c r="D60" i="45"/>
  <c r="D57" i="45"/>
  <c r="E385" i="45"/>
  <c r="M18" i="45"/>
  <c r="D50" i="45"/>
  <c r="F52" i="45"/>
  <c r="E67" i="45"/>
  <c r="E86" i="45"/>
  <c r="F88" i="45"/>
  <c r="E101" i="45"/>
  <c r="F103" i="45"/>
  <c r="F98" i="45"/>
  <c r="M109" i="45"/>
  <c r="D111" i="45"/>
  <c r="M173" i="45"/>
  <c r="M175" i="45" s="1"/>
  <c r="E205" i="45"/>
  <c r="E217" i="45"/>
  <c r="D240" i="45"/>
  <c r="D23" i="45"/>
  <c r="F25" i="45"/>
  <c r="D42" i="45"/>
  <c r="D48" i="45"/>
  <c r="F18" i="45"/>
  <c r="E61" i="45"/>
  <c r="D66" i="45"/>
  <c r="M82" i="45"/>
  <c r="M88" i="45"/>
  <c r="H103" i="45"/>
  <c r="E117" i="45"/>
  <c r="F105" i="45"/>
  <c r="M136" i="45"/>
  <c r="M128" i="45"/>
  <c r="E201" i="45"/>
  <c r="E39" i="45"/>
  <c r="E68" i="45"/>
  <c r="E77" i="45"/>
  <c r="D80" i="45"/>
  <c r="H89" i="45"/>
  <c r="H91" i="45"/>
  <c r="E93" i="45"/>
  <c r="M103" i="45"/>
  <c r="M98" i="45"/>
  <c r="M100" i="45"/>
  <c r="E110" i="45"/>
  <c r="G124" i="45"/>
  <c r="K124" i="45"/>
  <c r="M182" i="45"/>
  <c r="M184" i="45"/>
  <c r="M187" i="45"/>
  <c r="I238" i="45"/>
  <c r="F247" i="45"/>
  <c r="E246" i="45"/>
  <c r="E247" i="45" s="1"/>
  <c r="D246" i="45"/>
  <c r="D247" i="45" s="1"/>
  <c r="D87" i="45"/>
  <c r="H127" i="45"/>
  <c r="D141" i="45"/>
  <c r="F202" i="45"/>
  <c r="F311" i="45"/>
  <c r="H313" i="45"/>
  <c r="H305" i="45"/>
  <c r="H307" i="45" s="1"/>
  <c r="M17" i="45"/>
  <c r="M19" i="45" s="1"/>
  <c r="K35" i="45"/>
  <c r="K37" i="45"/>
  <c r="M44" i="45"/>
  <c r="M46" i="45" s="1"/>
  <c r="K100" i="45"/>
  <c r="M115" i="45"/>
  <c r="F123" i="45"/>
  <c r="M122" i="45"/>
  <c r="F128" i="45"/>
  <c r="J130" i="45"/>
  <c r="I139" i="45"/>
  <c r="D140" i="45"/>
  <c r="E155" i="45"/>
  <c r="F157" i="45"/>
  <c r="D162" i="45"/>
  <c r="D159" i="45"/>
  <c r="E159" i="45"/>
  <c r="O217" i="45"/>
  <c r="O188" i="45"/>
  <c r="D260" i="45"/>
  <c r="E170" i="45"/>
  <c r="E171" i="45"/>
  <c r="E176" i="45"/>
  <c r="F197" i="45"/>
  <c r="F217" i="45"/>
  <c r="E218" i="45"/>
  <c r="F250" i="45"/>
  <c r="E248" i="45"/>
  <c r="E250" i="45" s="1"/>
  <c r="F251" i="45"/>
  <c r="H253" i="45"/>
  <c r="E272" i="45"/>
  <c r="F274" i="45"/>
  <c r="H295" i="45"/>
  <c r="E322" i="45"/>
  <c r="D331" i="45"/>
  <c r="E381" i="45"/>
  <c r="M391" i="45"/>
  <c r="F178" i="45"/>
  <c r="F237" i="45"/>
  <c r="F266" i="45"/>
  <c r="H268" i="45"/>
  <c r="M301" i="45"/>
  <c r="E328" i="45"/>
  <c r="D326" i="45"/>
  <c r="D328" i="45" s="1"/>
  <c r="F328" i="45"/>
  <c r="F241" i="45"/>
  <c r="E273" i="45"/>
  <c r="F270" i="45"/>
  <c r="E302" i="45"/>
  <c r="F304" i="45"/>
  <c r="F306" i="45"/>
  <c r="E331" i="45"/>
  <c r="E263" i="45"/>
  <c r="E278" i="45"/>
  <c r="F284" i="45"/>
  <c r="E290" i="45"/>
  <c r="E309" i="45"/>
  <c r="H337" i="45"/>
  <c r="E348" i="45"/>
  <c r="D348" i="45"/>
  <c r="D350" i="45"/>
  <c r="M373" i="45"/>
  <c r="M379" i="45"/>
  <c r="E394" i="45"/>
  <c r="D392" i="45"/>
  <c r="F394" i="45"/>
  <c r="K409" i="45"/>
  <c r="O409" i="45"/>
  <c r="D410" i="45"/>
  <c r="E407" i="45"/>
  <c r="F292" i="45"/>
  <c r="H340" i="45"/>
  <c r="F338" i="45"/>
  <c r="D357" i="45"/>
  <c r="D366" i="45"/>
  <c r="E368" i="45"/>
  <c r="D378" i="45"/>
  <c r="F382" i="45"/>
  <c r="E349" i="45"/>
  <c r="D347" i="45"/>
  <c r="F349" i="45"/>
  <c r="D402" i="45"/>
  <c r="G415" i="45"/>
  <c r="K415" i="45"/>
  <c r="O415" i="45"/>
  <c r="D344" i="45"/>
  <c r="E353" i="45"/>
  <c r="E362" i="45"/>
  <c r="D371" i="45"/>
  <c r="E386" i="45"/>
  <c r="D389" i="45"/>
  <c r="E398" i="45"/>
  <c r="D401" i="45"/>
  <c r="D403" i="45" s="1"/>
  <c r="M332" i="45"/>
  <c r="D356" i="45"/>
  <c r="F166" i="45"/>
  <c r="E56" i="45"/>
  <c r="E172" i="45"/>
  <c r="E164" i="45"/>
  <c r="D170" i="45"/>
  <c r="D86" i="45"/>
  <c r="D88" i="45"/>
  <c r="E88" i="45"/>
  <c r="D242" i="45"/>
  <c r="E338" i="45"/>
  <c r="D338" i="45" s="1"/>
  <c r="D407" i="45"/>
  <c r="F286" i="45"/>
  <c r="E284" i="45"/>
  <c r="D142" i="45"/>
  <c r="E112" i="45"/>
  <c r="E90" i="45"/>
  <c r="D39" i="45"/>
  <c r="E98" i="45"/>
  <c r="D101" i="45"/>
  <c r="D398" i="45"/>
  <c r="E355" i="45"/>
  <c r="D309" i="45"/>
  <c r="D273" i="45"/>
  <c r="E251" i="45"/>
  <c r="F253" i="45"/>
  <c r="D218" i="45"/>
  <c r="E178" i="45"/>
  <c r="D176" i="45"/>
  <c r="E70" i="45"/>
  <c r="E73" i="45"/>
  <c r="D71" i="45"/>
  <c r="E364" i="45"/>
  <c r="D362" i="45"/>
  <c r="D364" i="45" s="1"/>
  <c r="E311" i="45"/>
  <c r="F313" i="45"/>
  <c r="D349" i="45"/>
  <c r="D368" i="45"/>
  <c r="D263" i="45"/>
  <c r="E266" i="45"/>
  <c r="E268" i="45" s="1"/>
  <c r="F268" i="45"/>
  <c r="E274" i="45"/>
  <c r="D272" i="45"/>
  <c r="D274" i="45" s="1"/>
  <c r="D248" i="45"/>
  <c r="D250" i="45"/>
  <c r="D171" i="45"/>
  <c r="D172" i="45" s="1"/>
  <c r="D155" i="45"/>
  <c r="D157" i="45" s="1"/>
  <c r="E157" i="45"/>
  <c r="D201" i="45"/>
  <c r="D266" i="45"/>
  <c r="D98" i="45"/>
  <c r="D164" i="45"/>
  <c r="J221" i="49"/>
  <c r="J223" i="49" s="1"/>
  <c r="K221" i="49"/>
  <c r="J222" i="49"/>
  <c r="K222" i="49"/>
  <c r="G222" i="49"/>
  <c r="G221" i="49"/>
  <c r="K226" i="49"/>
  <c r="J226" i="49"/>
  <c r="H226" i="49"/>
  <c r="G226" i="49"/>
  <c r="I225" i="49"/>
  <c r="I224" i="49"/>
  <c r="I226" i="49" s="1"/>
  <c r="J145" i="49"/>
  <c r="J147" i="49" s="1"/>
  <c r="K145" i="49"/>
  <c r="J146" i="49"/>
  <c r="K146" i="49"/>
  <c r="G146" i="49"/>
  <c r="G145" i="49"/>
  <c r="G147" i="49" s="1"/>
  <c r="K162" i="49"/>
  <c r="J162" i="49"/>
  <c r="G162" i="49"/>
  <c r="I161" i="49"/>
  <c r="I160" i="49"/>
  <c r="I162" i="49" s="1"/>
  <c r="J139" i="49"/>
  <c r="K139" i="49"/>
  <c r="J140" i="49"/>
  <c r="K140" i="49"/>
  <c r="G140" i="49"/>
  <c r="G139" i="49"/>
  <c r="K144" i="49"/>
  <c r="J144" i="49"/>
  <c r="G144" i="49"/>
  <c r="I143" i="49"/>
  <c r="I140" i="49" s="1"/>
  <c r="I142" i="49"/>
  <c r="I139" i="49" s="1"/>
  <c r="G141" i="49"/>
  <c r="J25" i="49"/>
  <c r="K25" i="49"/>
  <c r="J26" i="49"/>
  <c r="K26" i="49"/>
  <c r="K27" i="49" s="1"/>
  <c r="G26" i="49"/>
  <c r="G25" i="49"/>
  <c r="K57" i="49"/>
  <c r="J57" i="49"/>
  <c r="G57" i="49"/>
  <c r="I56" i="49"/>
  <c r="I55" i="49"/>
  <c r="I57" i="49" s="1"/>
  <c r="J58" i="49"/>
  <c r="K58" i="49"/>
  <c r="K60" i="49" s="1"/>
  <c r="J59" i="49"/>
  <c r="J60" i="49" s="1"/>
  <c r="K59" i="49"/>
  <c r="G59" i="49"/>
  <c r="G58" i="49"/>
  <c r="G60" i="49" s="1"/>
  <c r="K66" i="49"/>
  <c r="J66" i="49"/>
  <c r="G66" i="49"/>
  <c r="I65" i="49"/>
  <c r="I64" i="49"/>
  <c r="I66" i="49" s="1"/>
  <c r="K292" i="49"/>
  <c r="J292" i="49"/>
  <c r="H292" i="49"/>
  <c r="G292" i="49"/>
  <c r="I291" i="49"/>
  <c r="I290" i="49"/>
  <c r="I292" i="49" s="1"/>
  <c r="J205" i="49"/>
  <c r="J207" i="49" s="1"/>
  <c r="K205" i="49"/>
  <c r="K207" i="49" s="1"/>
  <c r="J206" i="49"/>
  <c r="K206" i="49"/>
  <c r="G206" i="49"/>
  <c r="G205" i="49"/>
  <c r="K213" i="49"/>
  <c r="J213" i="49"/>
  <c r="G213" i="49"/>
  <c r="I212" i="49"/>
  <c r="I211" i="49"/>
  <c r="I213" i="49" s="1"/>
  <c r="H288" i="49"/>
  <c r="H289" i="49" s="1"/>
  <c r="K289" i="49"/>
  <c r="J289" i="49"/>
  <c r="G289" i="49"/>
  <c r="I288" i="49"/>
  <c r="I287" i="49"/>
  <c r="I289" i="49" s="1"/>
  <c r="H285" i="49"/>
  <c r="H222" i="49" s="1"/>
  <c r="K286" i="49"/>
  <c r="J286" i="49"/>
  <c r="G286" i="49"/>
  <c r="I285" i="49"/>
  <c r="I284" i="49"/>
  <c r="I286" i="49" s="1"/>
  <c r="K54" i="49"/>
  <c r="J54" i="49"/>
  <c r="G54" i="49"/>
  <c r="I53" i="49"/>
  <c r="I52" i="49"/>
  <c r="I54" i="49" s="1"/>
  <c r="K183" i="49"/>
  <c r="J183" i="49"/>
  <c r="G183" i="49"/>
  <c r="I182" i="49"/>
  <c r="I181" i="49"/>
  <c r="I183" i="49" s="1"/>
  <c r="K204" i="49"/>
  <c r="J204" i="49"/>
  <c r="G204" i="49"/>
  <c r="I203" i="49"/>
  <c r="I204" i="49" s="1"/>
  <c r="I202" i="49"/>
  <c r="K192" i="49"/>
  <c r="J192" i="49"/>
  <c r="G192" i="49"/>
  <c r="I191" i="49"/>
  <c r="I190" i="49"/>
  <c r="K383" i="49"/>
  <c r="J383" i="49"/>
  <c r="I382" i="49"/>
  <c r="I381" i="49"/>
  <c r="I383" i="49"/>
  <c r="K377" i="49"/>
  <c r="J377" i="49"/>
  <c r="I376" i="49"/>
  <c r="I375" i="49"/>
  <c r="I377" i="49" s="1"/>
  <c r="K367" i="49"/>
  <c r="J367" i="49"/>
  <c r="H367" i="49"/>
  <c r="G367" i="49"/>
  <c r="I366" i="49"/>
  <c r="I367" i="49" s="1"/>
  <c r="I365" i="49"/>
  <c r="K364" i="49"/>
  <c r="J364" i="49"/>
  <c r="H364" i="49"/>
  <c r="G364" i="49"/>
  <c r="I363" i="49"/>
  <c r="I364" i="49" s="1"/>
  <c r="I362" i="49"/>
  <c r="K361" i="49"/>
  <c r="J361" i="49"/>
  <c r="H361" i="49"/>
  <c r="G361" i="49"/>
  <c r="I360" i="49"/>
  <c r="I359" i="49"/>
  <c r="I361" i="49"/>
  <c r="K358" i="49"/>
  <c r="J358" i="49"/>
  <c r="H358" i="49"/>
  <c r="G358" i="49"/>
  <c r="I357" i="49"/>
  <c r="I356" i="49"/>
  <c r="K355" i="49"/>
  <c r="J355" i="49"/>
  <c r="H355" i="49"/>
  <c r="G355" i="49"/>
  <c r="I354" i="49"/>
  <c r="I353" i="49"/>
  <c r="I355" i="49" s="1"/>
  <c r="K352" i="49"/>
  <c r="J352" i="49"/>
  <c r="H352" i="49"/>
  <c r="G352" i="49"/>
  <c r="I351" i="49"/>
  <c r="I350" i="49"/>
  <c r="I352" i="49" s="1"/>
  <c r="K349" i="49"/>
  <c r="J349" i="49"/>
  <c r="H349" i="49"/>
  <c r="G349" i="49"/>
  <c r="I348" i="49"/>
  <c r="I347" i="49"/>
  <c r="K346" i="49"/>
  <c r="J346" i="49"/>
  <c r="G346" i="49"/>
  <c r="I345" i="49"/>
  <c r="I344" i="49"/>
  <c r="H344" i="49"/>
  <c r="H346" i="49"/>
  <c r="K343" i="49"/>
  <c r="J343" i="49"/>
  <c r="G343" i="49"/>
  <c r="I342" i="49"/>
  <c r="I341" i="49"/>
  <c r="H341" i="49"/>
  <c r="H343" i="49" s="1"/>
  <c r="K340" i="49"/>
  <c r="J340" i="49"/>
  <c r="G340" i="49"/>
  <c r="I339" i="49"/>
  <c r="I338" i="49"/>
  <c r="I340" i="49" s="1"/>
  <c r="H338" i="49"/>
  <c r="H340" i="49" s="1"/>
  <c r="H335" i="49"/>
  <c r="H337" i="49" s="1"/>
  <c r="K336" i="49"/>
  <c r="J336" i="49"/>
  <c r="H336" i="49"/>
  <c r="G336" i="49"/>
  <c r="K335" i="49"/>
  <c r="K337" i="49" s="1"/>
  <c r="J335" i="49"/>
  <c r="J337" i="49" s="1"/>
  <c r="G335" i="49"/>
  <c r="G337" i="49" s="1"/>
  <c r="K334" i="49"/>
  <c r="J334" i="49"/>
  <c r="H334" i="49"/>
  <c r="G334" i="49"/>
  <c r="I333" i="49"/>
  <c r="I330" i="49" s="1"/>
  <c r="I332" i="49"/>
  <c r="I329" i="49" s="1"/>
  <c r="K330" i="49"/>
  <c r="J330" i="49"/>
  <c r="H330" i="49"/>
  <c r="G330" i="49"/>
  <c r="K329" i="49"/>
  <c r="K331" i="49" s="1"/>
  <c r="J329" i="49"/>
  <c r="J331" i="49" s="1"/>
  <c r="H329" i="49"/>
  <c r="G329" i="49"/>
  <c r="G331" i="49" s="1"/>
  <c r="K328" i="49"/>
  <c r="J328" i="49"/>
  <c r="G328" i="49"/>
  <c r="I327" i="49"/>
  <c r="I328" i="49" s="1"/>
  <c r="I324" i="49"/>
  <c r="I326" i="49"/>
  <c r="I323" i="49" s="1"/>
  <c r="H326" i="49"/>
  <c r="H323" i="49" s="1"/>
  <c r="H325" i="49" s="1"/>
  <c r="K324" i="49"/>
  <c r="J324" i="49"/>
  <c r="H324" i="49"/>
  <c r="G324" i="49"/>
  <c r="K323" i="49"/>
  <c r="K325" i="49" s="1"/>
  <c r="J323" i="49"/>
  <c r="J325" i="49"/>
  <c r="G323" i="49"/>
  <c r="K322" i="49"/>
  <c r="J322" i="49"/>
  <c r="G322" i="49"/>
  <c r="I321" i="49"/>
  <c r="I318" i="49" s="1"/>
  <c r="I320" i="49"/>
  <c r="I322" i="49" s="1"/>
  <c r="H320" i="49"/>
  <c r="H322" i="49" s="1"/>
  <c r="K318" i="49"/>
  <c r="J318" i="49"/>
  <c r="H318" i="49"/>
  <c r="G318" i="49"/>
  <c r="K317" i="49"/>
  <c r="K319" i="49" s="1"/>
  <c r="J317" i="49"/>
  <c r="J319" i="49"/>
  <c r="G317" i="49"/>
  <c r="K316" i="49"/>
  <c r="J316" i="49"/>
  <c r="H316" i="49"/>
  <c r="G316" i="49"/>
  <c r="I315" i="49"/>
  <c r="I312" i="49" s="1"/>
  <c r="I314" i="49"/>
  <c r="I316" i="49" s="1"/>
  <c r="K312" i="49"/>
  <c r="J312" i="49"/>
  <c r="H312" i="49"/>
  <c r="G312" i="49"/>
  <c r="K311" i="49"/>
  <c r="K313" i="49" s="1"/>
  <c r="J311" i="49"/>
  <c r="I311" i="49"/>
  <c r="H311" i="49"/>
  <c r="H313" i="49" s="1"/>
  <c r="G311" i="49"/>
  <c r="G313" i="49" s="1"/>
  <c r="K310" i="49"/>
  <c r="J310" i="49"/>
  <c r="H310" i="49"/>
  <c r="G310" i="49"/>
  <c r="I309" i="49"/>
  <c r="I308" i="49"/>
  <c r="I310" i="49" s="1"/>
  <c r="K307" i="49"/>
  <c r="J307" i="49"/>
  <c r="G307" i="49"/>
  <c r="I306" i="49"/>
  <c r="I303" i="49" s="1"/>
  <c r="I305" i="49"/>
  <c r="I307" i="49" s="1"/>
  <c r="H305" i="49"/>
  <c r="H302" i="49" s="1"/>
  <c r="H304" i="49" s="1"/>
  <c r="K303" i="49"/>
  <c r="J303" i="49"/>
  <c r="H303" i="49"/>
  <c r="G303" i="49"/>
  <c r="K302" i="49"/>
  <c r="K304" i="49" s="1"/>
  <c r="J302" i="49"/>
  <c r="J304" i="49" s="1"/>
  <c r="G302" i="49"/>
  <c r="G304" i="49" s="1"/>
  <c r="K301" i="49"/>
  <c r="J301" i="49"/>
  <c r="H301" i="49"/>
  <c r="G301" i="49"/>
  <c r="I300" i="49"/>
  <c r="I301" i="49" s="1"/>
  <c r="I299" i="49"/>
  <c r="K298" i="49"/>
  <c r="J298" i="49"/>
  <c r="H298" i="49"/>
  <c r="G298" i="49"/>
  <c r="I297" i="49"/>
  <c r="I296" i="49"/>
  <c r="I298" i="49" s="1"/>
  <c r="K295" i="49"/>
  <c r="J295" i="49"/>
  <c r="H295" i="49"/>
  <c r="G295" i="49"/>
  <c r="I294" i="49"/>
  <c r="I293" i="49"/>
  <c r="I295" i="49"/>
  <c r="K283" i="49"/>
  <c r="J283" i="49"/>
  <c r="H283" i="49"/>
  <c r="G283" i="49"/>
  <c r="I282" i="49"/>
  <c r="I281" i="49"/>
  <c r="K280" i="49"/>
  <c r="J280" i="49"/>
  <c r="H280" i="49"/>
  <c r="G280" i="49"/>
  <c r="I279" i="49"/>
  <c r="I278" i="49"/>
  <c r="I280" i="49" s="1"/>
  <c r="K277" i="49"/>
  <c r="J277" i="49"/>
  <c r="H277" i="49"/>
  <c r="G277" i="49"/>
  <c r="I276" i="49"/>
  <c r="I275" i="49"/>
  <c r="K274" i="49"/>
  <c r="J274" i="49"/>
  <c r="H274" i="49"/>
  <c r="G274" i="49"/>
  <c r="I273" i="49"/>
  <c r="I272" i="49"/>
  <c r="I274" i="49"/>
  <c r="K271" i="49"/>
  <c r="J271" i="49"/>
  <c r="H271" i="49"/>
  <c r="G271" i="49"/>
  <c r="I270" i="49"/>
  <c r="I269" i="49"/>
  <c r="I271" i="49" s="1"/>
  <c r="K268" i="49"/>
  <c r="J268" i="49"/>
  <c r="H268" i="49"/>
  <c r="G268" i="49"/>
  <c r="I267" i="49"/>
  <c r="I266" i="49"/>
  <c r="K265" i="49"/>
  <c r="J265" i="49"/>
  <c r="H265" i="49"/>
  <c r="G265" i="49"/>
  <c r="I264" i="49"/>
  <c r="I263" i="49"/>
  <c r="I265" i="49" s="1"/>
  <c r="K262" i="49"/>
  <c r="J262" i="49"/>
  <c r="H262" i="49"/>
  <c r="G262" i="49"/>
  <c r="I261" i="49"/>
  <c r="I260" i="49"/>
  <c r="K259" i="49"/>
  <c r="J259" i="49"/>
  <c r="H259" i="49"/>
  <c r="G259" i="49"/>
  <c r="I258" i="49"/>
  <c r="I257" i="49"/>
  <c r="I259" i="49" s="1"/>
  <c r="K256" i="49"/>
  <c r="J256" i="49"/>
  <c r="H256" i="49"/>
  <c r="G256" i="49"/>
  <c r="I255" i="49"/>
  <c r="I256" i="49" s="1"/>
  <c r="I254" i="49"/>
  <c r="K253" i="49"/>
  <c r="J253" i="49"/>
  <c r="H253" i="49"/>
  <c r="G253" i="49"/>
  <c r="I252" i="49"/>
  <c r="I253" i="49" s="1"/>
  <c r="I251" i="49"/>
  <c r="K250" i="49"/>
  <c r="J250" i="49"/>
  <c r="H250" i="49"/>
  <c r="G250" i="49"/>
  <c r="I249" i="49"/>
  <c r="I248" i="49"/>
  <c r="I250" i="49" s="1"/>
  <c r="K247" i="49"/>
  <c r="J247" i="49"/>
  <c r="G247" i="49"/>
  <c r="I246" i="49"/>
  <c r="I245" i="49"/>
  <c r="I247" i="49" s="1"/>
  <c r="H245" i="49"/>
  <c r="H221" i="49" s="1"/>
  <c r="K244" i="49"/>
  <c r="J244" i="49"/>
  <c r="H244" i="49"/>
  <c r="G244" i="49"/>
  <c r="I243" i="49"/>
  <c r="I242" i="49"/>
  <c r="I244" i="49" s="1"/>
  <c r="K241" i="49"/>
  <c r="J241" i="49"/>
  <c r="H241" i="49"/>
  <c r="G241" i="49"/>
  <c r="I240" i="49"/>
  <c r="I239" i="49"/>
  <c r="K238" i="49"/>
  <c r="J238" i="49"/>
  <c r="H238" i="49"/>
  <c r="G238" i="49"/>
  <c r="I237" i="49"/>
  <c r="I236" i="49"/>
  <c r="K235" i="49"/>
  <c r="J235" i="49"/>
  <c r="H235" i="49"/>
  <c r="G235" i="49"/>
  <c r="I234" i="49"/>
  <c r="I233" i="49"/>
  <c r="I235" i="49"/>
  <c r="K232" i="49"/>
  <c r="J232" i="49"/>
  <c r="H232" i="49"/>
  <c r="G232" i="49"/>
  <c r="I231" i="49"/>
  <c r="I232" i="49" s="1"/>
  <c r="I230" i="49"/>
  <c r="K229" i="49"/>
  <c r="J229" i="49"/>
  <c r="H229" i="49"/>
  <c r="G229" i="49"/>
  <c r="I228" i="49"/>
  <c r="I227" i="49"/>
  <c r="K210" i="49"/>
  <c r="J210" i="49"/>
  <c r="G210" i="49"/>
  <c r="I209" i="49"/>
  <c r="I206" i="49" s="1"/>
  <c r="I208" i="49"/>
  <c r="H205" i="49"/>
  <c r="K201" i="49"/>
  <c r="J201" i="49"/>
  <c r="G201" i="49"/>
  <c r="I200" i="49"/>
  <c r="I199" i="49"/>
  <c r="K198" i="49"/>
  <c r="J198" i="49"/>
  <c r="G198" i="49"/>
  <c r="I197" i="49"/>
  <c r="I196" i="49"/>
  <c r="K195" i="49"/>
  <c r="J195" i="49"/>
  <c r="G195" i="49"/>
  <c r="I194" i="49"/>
  <c r="I193" i="49"/>
  <c r="I195" i="49" s="1"/>
  <c r="K189" i="49"/>
  <c r="J189" i="49"/>
  <c r="G189" i="49"/>
  <c r="I188" i="49"/>
  <c r="I187" i="49"/>
  <c r="K186" i="49"/>
  <c r="J186" i="49"/>
  <c r="G186" i="49"/>
  <c r="I185" i="49"/>
  <c r="I184" i="49"/>
  <c r="K180" i="49"/>
  <c r="J180" i="49"/>
  <c r="G180" i="49"/>
  <c r="I179" i="49"/>
  <c r="I180" i="49" s="1"/>
  <c r="I178" i="49"/>
  <c r="K177" i="49"/>
  <c r="J177" i="49"/>
  <c r="G177" i="49"/>
  <c r="I176" i="49"/>
  <c r="I175" i="49"/>
  <c r="K174" i="49"/>
  <c r="J174" i="49"/>
  <c r="G174" i="49"/>
  <c r="I173" i="49"/>
  <c r="I172" i="49"/>
  <c r="K171" i="49"/>
  <c r="J171" i="49"/>
  <c r="G171" i="49"/>
  <c r="I170" i="49"/>
  <c r="I171" i="49" s="1"/>
  <c r="I169" i="49"/>
  <c r="K168" i="49"/>
  <c r="J168" i="49"/>
  <c r="G168" i="49"/>
  <c r="I167" i="49"/>
  <c r="I166" i="49"/>
  <c r="K165" i="49"/>
  <c r="J165" i="49"/>
  <c r="G165" i="49"/>
  <c r="I164" i="49"/>
  <c r="I163" i="49"/>
  <c r="I165" i="49" s="1"/>
  <c r="K159" i="49"/>
  <c r="J159" i="49"/>
  <c r="G159" i="49"/>
  <c r="I158" i="49"/>
  <c r="I157" i="49"/>
  <c r="K156" i="49"/>
  <c r="J156" i="49"/>
  <c r="G156" i="49"/>
  <c r="I155" i="49"/>
  <c r="I154" i="49"/>
  <c r="I156" i="49"/>
  <c r="K153" i="49"/>
  <c r="J153" i="49"/>
  <c r="G153" i="49"/>
  <c r="I152" i="49"/>
  <c r="I151" i="49"/>
  <c r="K150" i="49"/>
  <c r="J150" i="49"/>
  <c r="G150" i="49"/>
  <c r="I149" i="49"/>
  <c r="I148" i="49"/>
  <c r="I150" i="49" s="1"/>
  <c r="K138" i="49"/>
  <c r="J138" i="49"/>
  <c r="G138" i="49"/>
  <c r="I137" i="49"/>
  <c r="I136" i="49"/>
  <c r="K135" i="49"/>
  <c r="J135" i="49"/>
  <c r="G135" i="49"/>
  <c r="I134" i="49"/>
  <c r="I133" i="49"/>
  <c r="I135" i="49" s="1"/>
  <c r="K132" i="49"/>
  <c r="J132" i="49"/>
  <c r="G132" i="49"/>
  <c r="I131" i="49"/>
  <c r="I130" i="49"/>
  <c r="K129" i="49"/>
  <c r="J129" i="49"/>
  <c r="G129" i="49"/>
  <c r="I128" i="49"/>
  <c r="I127" i="49"/>
  <c r="K126" i="49"/>
  <c r="J126" i="49"/>
  <c r="G126" i="49"/>
  <c r="I125" i="49"/>
  <c r="I122" i="49" s="1"/>
  <c r="I124" i="49"/>
  <c r="I126" i="49" s="1"/>
  <c r="K122" i="49"/>
  <c r="J122" i="49"/>
  <c r="G122" i="49"/>
  <c r="K121" i="49"/>
  <c r="K123" i="49" s="1"/>
  <c r="J121" i="49"/>
  <c r="J123" i="49" s="1"/>
  <c r="G121" i="49"/>
  <c r="K120" i="49"/>
  <c r="J120" i="49"/>
  <c r="G120" i="49"/>
  <c r="I119" i="49"/>
  <c r="I118" i="49"/>
  <c r="K117" i="49"/>
  <c r="J117" i="49"/>
  <c r="G117" i="49"/>
  <c r="I116" i="49"/>
  <c r="I113" i="49" s="1"/>
  <c r="I115" i="49"/>
  <c r="K113" i="49"/>
  <c r="J113" i="49"/>
  <c r="G113" i="49"/>
  <c r="K112" i="49"/>
  <c r="K114" i="49" s="1"/>
  <c r="J112" i="49"/>
  <c r="H112" i="49"/>
  <c r="G112" i="49"/>
  <c r="G114" i="49" s="1"/>
  <c r="K111" i="49"/>
  <c r="J111" i="49"/>
  <c r="G111" i="49"/>
  <c r="I110" i="49"/>
  <c r="I109" i="49"/>
  <c r="K108" i="49"/>
  <c r="J108" i="49"/>
  <c r="G108" i="49"/>
  <c r="I107" i="49"/>
  <c r="I106" i="49"/>
  <c r="K105" i="49"/>
  <c r="J105" i="49"/>
  <c r="G105" i="49"/>
  <c r="I104" i="49"/>
  <c r="I103" i="49"/>
  <c r="I100" i="49" s="1"/>
  <c r="K101" i="49"/>
  <c r="J101" i="49"/>
  <c r="G101" i="49"/>
  <c r="K100" i="49"/>
  <c r="J100" i="49"/>
  <c r="J102" i="49" s="1"/>
  <c r="H100" i="49"/>
  <c r="G100" i="49"/>
  <c r="G102" i="49" s="1"/>
  <c r="K99" i="49"/>
  <c r="J99" i="49"/>
  <c r="G99" i="49"/>
  <c r="I98" i="49"/>
  <c r="I97" i="49"/>
  <c r="K96" i="49"/>
  <c r="J96" i="49"/>
  <c r="G96" i="49"/>
  <c r="I95" i="49"/>
  <c r="I96" i="49" s="1"/>
  <c r="I94" i="49"/>
  <c r="K93" i="49"/>
  <c r="J93" i="49"/>
  <c r="G93" i="49"/>
  <c r="I92" i="49"/>
  <c r="I91" i="49"/>
  <c r="I93" i="49" s="1"/>
  <c r="K90" i="49"/>
  <c r="J90" i="49"/>
  <c r="G90" i="49"/>
  <c r="I89" i="49"/>
  <c r="I88" i="49"/>
  <c r="K86" i="49"/>
  <c r="J86" i="49"/>
  <c r="G86" i="49"/>
  <c r="K85" i="49"/>
  <c r="K215" i="49" s="1"/>
  <c r="J85" i="49"/>
  <c r="J87" i="49" s="1"/>
  <c r="G85" i="49"/>
  <c r="K84" i="49"/>
  <c r="J84" i="49"/>
  <c r="G84" i="49"/>
  <c r="I83" i="49"/>
  <c r="I82" i="49"/>
  <c r="I84" i="49" s="1"/>
  <c r="K81" i="49"/>
  <c r="J81" i="49"/>
  <c r="G81" i="49"/>
  <c r="I80" i="49"/>
  <c r="I79" i="49"/>
  <c r="I81" i="49" s="1"/>
  <c r="K78" i="49"/>
  <c r="J78" i="49"/>
  <c r="G78" i="49"/>
  <c r="I77" i="49"/>
  <c r="I74" i="49" s="1"/>
  <c r="I76" i="49"/>
  <c r="I73" i="49" s="1"/>
  <c r="K74" i="49"/>
  <c r="J74" i="49"/>
  <c r="G74" i="49"/>
  <c r="K73" i="49"/>
  <c r="K75" i="49" s="1"/>
  <c r="J73" i="49"/>
  <c r="J75" i="49"/>
  <c r="H73" i="49"/>
  <c r="G73" i="49"/>
  <c r="K72" i="49"/>
  <c r="J72" i="49"/>
  <c r="G72" i="49"/>
  <c r="I71" i="49"/>
  <c r="I68" i="49" s="1"/>
  <c r="I70" i="49"/>
  <c r="I72" i="49" s="1"/>
  <c r="K68" i="49"/>
  <c r="J68" i="49"/>
  <c r="G68" i="49"/>
  <c r="K67" i="49"/>
  <c r="J67" i="49"/>
  <c r="J69" i="49" s="1"/>
  <c r="G67" i="49"/>
  <c r="G69" i="49"/>
  <c r="K63" i="49"/>
  <c r="J63" i="49"/>
  <c r="G63" i="49"/>
  <c r="I62" i="49"/>
  <c r="I59" i="49" s="1"/>
  <c r="I61" i="49"/>
  <c r="K51" i="49"/>
  <c r="J51" i="49"/>
  <c r="G51" i="49"/>
  <c r="I50" i="49"/>
  <c r="I49" i="49"/>
  <c r="K48" i="49"/>
  <c r="J48" i="49"/>
  <c r="G48" i="49"/>
  <c r="I47" i="49"/>
  <c r="I46" i="49"/>
  <c r="K45" i="49"/>
  <c r="J45" i="49"/>
  <c r="G45" i="49"/>
  <c r="I44" i="49"/>
  <c r="I43" i="49"/>
  <c r="I45" i="49" s="1"/>
  <c r="K42" i="49"/>
  <c r="J42" i="49"/>
  <c r="G42" i="49"/>
  <c r="I41" i="49"/>
  <c r="I40" i="49"/>
  <c r="K39" i="49"/>
  <c r="J39" i="49"/>
  <c r="G39" i="49"/>
  <c r="I38" i="49"/>
  <c r="I37" i="49"/>
  <c r="I39" i="49" s="1"/>
  <c r="K36" i="49"/>
  <c r="J36" i="49"/>
  <c r="G36" i="49"/>
  <c r="I35" i="49"/>
  <c r="I36" i="49" s="1"/>
  <c r="I34" i="49"/>
  <c r="K33" i="49"/>
  <c r="J33" i="49"/>
  <c r="G33" i="49"/>
  <c r="I32" i="49"/>
  <c r="I31" i="49"/>
  <c r="K30" i="49"/>
  <c r="J30" i="49"/>
  <c r="G30" i="49"/>
  <c r="I29" i="49"/>
  <c r="I28" i="49"/>
  <c r="K24" i="49"/>
  <c r="J24" i="49"/>
  <c r="G24" i="49"/>
  <c r="I23" i="49"/>
  <c r="I20" i="49" s="1"/>
  <c r="I22" i="49"/>
  <c r="I19" i="49" s="1"/>
  <c r="K20" i="49"/>
  <c r="K216" i="49" s="1"/>
  <c r="J20" i="49"/>
  <c r="G20" i="49"/>
  <c r="G216" i="49" s="1"/>
  <c r="K19" i="49"/>
  <c r="J19" i="49"/>
  <c r="J21" i="49"/>
  <c r="G19" i="49"/>
  <c r="H307" i="49"/>
  <c r="I112" i="49"/>
  <c r="I192" i="49"/>
  <c r="I159" i="49"/>
  <c r="G207" i="49"/>
  <c r="K69" i="49"/>
  <c r="H286" i="49"/>
  <c r="I205" i="49"/>
  <c r="I78" i="49"/>
  <c r="H317" i="49"/>
  <c r="H319" i="49" s="1"/>
  <c r="I334" i="49"/>
  <c r="I42" i="49"/>
  <c r="G369" i="49"/>
  <c r="I317" i="49"/>
  <c r="I319" i="49" s="1"/>
  <c r="I302" i="49"/>
  <c r="I304" i="49" s="1"/>
  <c r="K223" i="49"/>
  <c r="G223" i="49"/>
  <c r="I229" i="49"/>
  <c r="K147" i="49"/>
  <c r="I105" i="49"/>
  <c r="I85" i="49"/>
  <c r="I90" i="49"/>
  <c r="J27" i="49"/>
  <c r="G27" i="49"/>
  <c r="D372" i="45"/>
  <c r="D373" i="45" s="1"/>
  <c r="N14" i="45"/>
  <c r="N421" i="45" s="1"/>
  <c r="M341" i="45"/>
  <c r="D360" i="45"/>
  <c r="K217" i="49" l="1"/>
  <c r="E213" i="45"/>
  <c r="F189" i="45"/>
  <c r="M304" i="45"/>
  <c r="D302" i="45"/>
  <c r="F317" i="45"/>
  <c r="H319" i="45"/>
  <c r="E352" i="45"/>
  <c r="D351" i="45"/>
  <c r="E382" i="45"/>
  <c r="D380" i="45"/>
  <c r="I67" i="49"/>
  <c r="I69" i="49" s="1"/>
  <c r="I114" i="49"/>
  <c r="I26" i="49"/>
  <c r="G370" i="49"/>
  <c r="M90" i="45"/>
  <c r="E336" i="45"/>
  <c r="F333" i="45"/>
  <c r="F181" i="45"/>
  <c r="E179" i="45"/>
  <c r="D352" i="45"/>
  <c r="E79" i="45"/>
  <c r="D77" i="45"/>
  <c r="M56" i="45"/>
  <c r="M58" i="45" s="1"/>
  <c r="D59" i="45"/>
  <c r="M61" i="45"/>
  <c r="F76" i="45"/>
  <c r="D110" i="45"/>
  <c r="D112" i="45" s="1"/>
  <c r="M104" i="45"/>
  <c r="F116" i="45"/>
  <c r="H118" i="45"/>
  <c r="E150" i="45"/>
  <c r="D150" i="45" s="1"/>
  <c r="F138" i="45"/>
  <c r="E183" i="45"/>
  <c r="D186" i="45"/>
  <c r="D183" i="45" s="1"/>
  <c r="D323" i="45"/>
  <c r="E325" i="45"/>
  <c r="E369" i="45"/>
  <c r="D369" i="45" s="1"/>
  <c r="F370" i="45"/>
  <c r="F342" i="45"/>
  <c r="E132" i="45"/>
  <c r="D132" i="45" s="1"/>
  <c r="D133" i="45" s="1"/>
  <c r="F133" i="45"/>
  <c r="I207" i="49"/>
  <c r="G215" i="49"/>
  <c r="G217" i="49" s="1"/>
  <c r="I75" i="49"/>
  <c r="D381" i="45"/>
  <c r="M91" i="45"/>
  <c r="F46" i="45"/>
  <c r="E51" i="45"/>
  <c r="F45" i="45"/>
  <c r="F146" i="45"/>
  <c r="H148" i="45"/>
  <c r="H137" i="45"/>
  <c r="E230" i="45"/>
  <c r="E232" i="45" s="1"/>
  <c r="F232" i="45"/>
  <c r="F277" i="45"/>
  <c r="E275" i="45"/>
  <c r="F269" i="45"/>
  <c r="F271" i="45" s="1"/>
  <c r="M292" i="45"/>
  <c r="M287" i="45"/>
  <c r="D290" i="45"/>
  <c r="M367" i="45"/>
  <c r="D365" i="45"/>
  <c r="D367" i="45" s="1"/>
  <c r="E399" i="45"/>
  <c r="D399" i="45" s="1"/>
  <c r="F400" i="45"/>
  <c r="E404" i="45"/>
  <c r="F406" i="45"/>
  <c r="F374" i="45"/>
  <c r="M385" i="45"/>
  <c r="D383" i="45"/>
  <c r="D385" i="45" s="1"/>
  <c r="M374" i="45"/>
  <c r="M376" i="45" s="1"/>
  <c r="D36" i="45"/>
  <c r="D386" i="45"/>
  <c r="D26" i="45"/>
  <c r="E75" i="45"/>
  <c r="D75" i="45" s="1"/>
  <c r="F63" i="45"/>
  <c r="H109" i="45"/>
  <c r="H104" i="45"/>
  <c r="H106" i="45" s="1"/>
  <c r="F107" i="45"/>
  <c r="M160" i="45"/>
  <c r="E191" i="45"/>
  <c r="E193" i="45" s="1"/>
  <c r="F193" i="45"/>
  <c r="E202" i="45"/>
  <c r="D200" i="45"/>
  <c r="D202" i="45" s="1"/>
  <c r="D291" i="45"/>
  <c r="E292" i="45"/>
  <c r="M355" i="45"/>
  <c r="D353" i="45"/>
  <c r="D355" i="45" s="1"/>
  <c r="K235" i="45"/>
  <c r="K189" i="45"/>
  <c r="G412" i="45"/>
  <c r="G408" i="45"/>
  <c r="G409" i="45" s="1"/>
  <c r="J13" i="45"/>
  <c r="K369" i="49"/>
  <c r="K13" i="49" s="1"/>
  <c r="K385" i="49" s="1"/>
  <c r="I33" i="49"/>
  <c r="I358" i="49"/>
  <c r="D38" i="45"/>
  <c r="D40" i="45" s="1"/>
  <c r="E35" i="45"/>
  <c r="E283" i="45"/>
  <c r="D281" i="45"/>
  <c r="D283" i="45" s="1"/>
  <c r="M346" i="45"/>
  <c r="D345" i="45"/>
  <c r="D346" i="45" s="1"/>
  <c r="M63" i="45"/>
  <c r="M73" i="45"/>
  <c r="J216" i="49"/>
  <c r="K21" i="49"/>
  <c r="E29" i="45"/>
  <c r="F31" i="45"/>
  <c r="D53" i="45"/>
  <c r="E55" i="45"/>
  <c r="P14" i="45"/>
  <c r="P421" i="45" s="1"/>
  <c r="P100" i="45"/>
  <c r="D108" i="45"/>
  <c r="E105" i="45"/>
  <c r="D131" i="45"/>
  <c r="O14" i="45"/>
  <c r="O421" i="45" s="1"/>
  <c r="E143" i="45"/>
  <c r="F145" i="45"/>
  <c r="F221" i="45"/>
  <c r="H223" i="45"/>
  <c r="E261" i="45"/>
  <c r="D261" i="45" s="1"/>
  <c r="F262" i="45"/>
  <c r="M322" i="45"/>
  <c r="D168" i="45"/>
  <c r="E165" i="45"/>
  <c r="E166" i="45" s="1"/>
  <c r="E169" i="45"/>
  <c r="E342" i="45"/>
  <c r="K102" i="49"/>
  <c r="I262" i="49"/>
  <c r="D358" i="45"/>
  <c r="E158" i="45"/>
  <c r="E160" i="45" s="1"/>
  <c r="D161" i="45"/>
  <c r="F28" i="45"/>
  <c r="F17" i="45"/>
  <c r="E241" i="45"/>
  <c r="D239" i="45"/>
  <c r="D241" i="45" s="1"/>
  <c r="D243" i="45"/>
  <c r="D244" i="45" s="1"/>
  <c r="E244" i="45"/>
  <c r="F257" i="45"/>
  <c r="H259" i="45"/>
  <c r="H236" i="45"/>
  <c r="H238" i="45" s="1"/>
  <c r="F337" i="45"/>
  <c r="E335" i="45"/>
  <c r="M340" i="45"/>
  <c r="M333" i="45"/>
  <c r="M334" i="45" s="1"/>
  <c r="E387" i="45"/>
  <c r="D387" i="45" s="1"/>
  <c r="F375" i="45"/>
  <c r="F411" i="45"/>
  <c r="G123" i="49"/>
  <c r="I153" i="49"/>
  <c r="I210" i="49"/>
  <c r="I343" i="49"/>
  <c r="I141" i="49"/>
  <c r="K370" i="49"/>
  <c r="K371" i="49" s="1"/>
  <c r="D268" i="45"/>
  <c r="F332" i="45"/>
  <c r="D68" i="45"/>
  <c r="D70" i="45" s="1"/>
  <c r="F100" i="45"/>
  <c r="K28" i="45"/>
  <c r="M232" i="45"/>
  <c r="M241" i="45"/>
  <c r="O269" i="45"/>
  <c r="O271" i="45" s="1"/>
  <c r="K289" i="45"/>
  <c r="M295" i="45"/>
  <c r="F299" i="45"/>
  <c r="F308" i="45"/>
  <c r="I409" i="45"/>
  <c r="I101" i="49"/>
  <c r="I102" i="49" s="1"/>
  <c r="J114" i="49"/>
  <c r="I241" i="49"/>
  <c r="K141" i="49"/>
  <c r="D370" i="45"/>
  <c r="E286" i="45"/>
  <c r="D394" i="45"/>
  <c r="M124" i="45"/>
  <c r="D30" i="45"/>
  <c r="P91" i="45"/>
  <c r="H139" i="45"/>
  <c r="E142" i="45"/>
  <c r="I184" i="45"/>
  <c r="F229" i="45"/>
  <c r="J271" i="45"/>
  <c r="M352" i="45"/>
  <c r="E373" i="45"/>
  <c r="I48" i="49"/>
  <c r="I111" i="49"/>
  <c r="I201" i="49"/>
  <c r="I222" i="49"/>
  <c r="I268" i="49"/>
  <c r="I283" i="49"/>
  <c r="J370" i="49"/>
  <c r="J141" i="49"/>
  <c r="O37" i="45"/>
  <c r="E74" i="45"/>
  <c r="E62" i="45" s="1"/>
  <c r="E64" i="45" s="1"/>
  <c r="D81" i="45"/>
  <c r="D82" i="45" s="1"/>
  <c r="D96" i="45"/>
  <c r="D90" i="45" s="1"/>
  <c r="I124" i="45"/>
  <c r="F173" i="45"/>
  <c r="K190" i="45"/>
  <c r="N238" i="45"/>
  <c r="F280" i="45"/>
  <c r="N307" i="45"/>
  <c r="H332" i="45"/>
  <c r="M361" i="45"/>
  <c r="H370" i="45"/>
  <c r="K87" i="49"/>
  <c r="I99" i="49"/>
  <c r="I120" i="49"/>
  <c r="I132" i="49"/>
  <c r="I177" i="49"/>
  <c r="I189" i="49"/>
  <c r="I238" i="49"/>
  <c r="G319" i="49"/>
  <c r="G325" i="49"/>
  <c r="H328" i="49"/>
  <c r="I349" i="49"/>
  <c r="E102" i="45"/>
  <c r="E103" i="45" s="1"/>
  <c r="J124" i="45"/>
  <c r="F152" i="45"/>
  <c r="O160" i="45"/>
  <c r="M217" i="45"/>
  <c r="F224" i="45"/>
  <c r="M229" i="45"/>
  <c r="M274" i="45"/>
  <c r="I415" i="45"/>
  <c r="H370" i="49"/>
  <c r="E306" i="45"/>
  <c r="M289" i="45"/>
  <c r="M164" i="45"/>
  <c r="M166" i="45" s="1"/>
  <c r="M199" i="45"/>
  <c r="F212" i="45"/>
  <c r="F214" i="45" s="1"/>
  <c r="E262" i="45"/>
  <c r="P289" i="45"/>
  <c r="K332" i="45"/>
  <c r="K334" i="45" s="1"/>
  <c r="K376" i="45"/>
  <c r="F388" i="45"/>
  <c r="F414" i="45"/>
  <c r="I86" i="49"/>
  <c r="I87" i="49" s="1"/>
  <c r="I108" i="49"/>
  <c r="I138" i="49"/>
  <c r="I168" i="49"/>
  <c r="I198" i="49"/>
  <c r="H247" i="49"/>
  <c r="J313" i="49"/>
  <c r="H331" i="49"/>
  <c r="E313" i="45"/>
  <c r="D400" i="45"/>
  <c r="F340" i="45"/>
  <c r="E370" i="45"/>
  <c r="E220" i="45"/>
  <c r="D262" i="45"/>
  <c r="D121" i="45"/>
  <c r="J58" i="45"/>
  <c r="H64" i="45"/>
  <c r="F85" i="45"/>
  <c r="M94" i="45"/>
  <c r="F112" i="45"/>
  <c r="D126" i="45"/>
  <c r="D123" i="45" s="1"/>
  <c r="M169" i="45"/>
  <c r="P271" i="45"/>
  <c r="D324" i="45"/>
  <c r="F367" i="45"/>
  <c r="M370" i="45"/>
  <c r="M388" i="45"/>
  <c r="G158" i="50"/>
  <c r="G159" i="50" s="1"/>
  <c r="I51" i="49"/>
  <c r="G87" i="49"/>
  <c r="I117" i="49"/>
  <c r="I129" i="49"/>
  <c r="I174" i="49"/>
  <c r="I186" i="49"/>
  <c r="I277" i="49"/>
  <c r="I313" i="49"/>
  <c r="I325" i="49"/>
  <c r="I346" i="49"/>
  <c r="D251" i="45"/>
  <c r="M34" i="45"/>
  <c r="F61" i="45"/>
  <c r="I100" i="45"/>
  <c r="N124" i="45"/>
  <c r="P184" i="45"/>
  <c r="M244" i="45"/>
  <c r="J307" i="45"/>
  <c r="D321" i="45"/>
  <c r="P343" i="45"/>
  <c r="L415" i="45"/>
  <c r="E9" i="51"/>
  <c r="G9" i="51" s="1"/>
  <c r="D14" i="50"/>
  <c r="D158" i="50" s="1"/>
  <c r="D159" i="50" s="1"/>
  <c r="D99" i="50"/>
  <c r="I21" i="49"/>
  <c r="G371" i="49"/>
  <c r="H369" i="49"/>
  <c r="H371" i="49" s="1"/>
  <c r="H223" i="49"/>
  <c r="I331" i="49"/>
  <c r="D292" i="45"/>
  <c r="J215" i="49"/>
  <c r="I58" i="49"/>
  <c r="I60" i="49" s="1"/>
  <c r="I121" i="49"/>
  <c r="I123" i="49" s="1"/>
  <c r="I146" i="49"/>
  <c r="I216" i="49" s="1"/>
  <c r="I336" i="49"/>
  <c r="I370" i="49" s="1"/>
  <c r="G21" i="49"/>
  <c r="I30" i="49"/>
  <c r="I25" i="49"/>
  <c r="I27" i="49" s="1"/>
  <c r="I63" i="49"/>
  <c r="I144" i="49"/>
  <c r="D340" i="45"/>
  <c r="E253" i="45"/>
  <c r="E332" i="45"/>
  <c r="D278" i="45"/>
  <c r="E269" i="45"/>
  <c r="E138" i="45"/>
  <c r="D95" i="45"/>
  <c r="D97" i="45" s="1"/>
  <c r="M130" i="45"/>
  <c r="F37" i="45"/>
  <c r="E44" i="45"/>
  <c r="D47" i="45"/>
  <c r="D49" i="45" s="1"/>
  <c r="E49" i="45"/>
  <c r="L13" i="45"/>
  <c r="L124" i="45"/>
  <c r="I145" i="49"/>
  <c r="I147" i="49" s="1"/>
  <c r="J369" i="49"/>
  <c r="J371" i="49" s="1"/>
  <c r="I221" i="49"/>
  <c r="I335" i="49"/>
  <c r="I24" i="49"/>
  <c r="G75" i="49"/>
  <c r="E340" i="45"/>
  <c r="F199" i="45"/>
  <c r="E197" i="45"/>
  <c r="E40" i="45"/>
  <c r="E36" i="45"/>
  <c r="E37" i="45" s="1"/>
  <c r="D63" i="45"/>
  <c r="E28" i="45"/>
  <c r="M133" i="45"/>
  <c r="D138" i="45"/>
  <c r="F151" i="45"/>
  <c r="D27" i="45"/>
  <c r="E18" i="45"/>
  <c r="H31" i="45"/>
  <c r="H17" i="45"/>
  <c r="D33" i="45"/>
  <c r="D34" i="45" s="1"/>
  <c r="E34" i="45"/>
  <c r="M35" i="45"/>
  <c r="D41" i="45"/>
  <c r="M43" i="45"/>
  <c r="K46" i="45"/>
  <c r="I106" i="45"/>
  <c r="I13" i="45"/>
  <c r="E113" i="45"/>
  <c r="F115" i="45"/>
  <c r="M105" i="45"/>
  <c r="M106" i="45" s="1"/>
  <c r="D117" i="45"/>
  <c r="D105" i="45" s="1"/>
  <c r="O190" i="45"/>
  <c r="O13" i="45"/>
  <c r="D28" i="45"/>
  <c r="D311" i="45"/>
  <c r="D313" i="45" s="1"/>
  <c r="F19" i="45"/>
  <c r="H58" i="45"/>
  <c r="H14" i="45"/>
  <c r="H421" i="45" s="1"/>
  <c r="L58" i="45"/>
  <c r="L14" i="45"/>
  <c r="L421" i="45" s="1"/>
  <c r="D65" i="45"/>
  <c r="D72" i="45"/>
  <c r="D73" i="45" s="1"/>
  <c r="E63" i="45"/>
  <c r="M76" i="45"/>
  <c r="M62" i="45"/>
  <c r="M64" i="45" s="1"/>
  <c r="E83" i="45"/>
  <c r="F62" i="45"/>
  <c r="F64" i="45" s="1"/>
  <c r="E135" i="45"/>
  <c r="F129" i="45"/>
  <c r="F130" i="45" s="1"/>
  <c r="E151" i="45"/>
  <c r="D149" i="45"/>
  <c r="D151" i="45" s="1"/>
  <c r="G160" i="45"/>
  <c r="G13" i="45"/>
  <c r="N160" i="45"/>
  <c r="N13" i="45"/>
  <c r="K160" i="45"/>
  <c r="K14" i="45"/>
  <c r="K421" i="45" s="1"/>
  <c r="D177" i="45"/>
  <c r="E174" i="45"/>
  <c r="I190" i="45"/>
  <c r="I14" i="45"/>
  <c r="I421" i="45" s="1"/>
  <c r="M188" i="45"/>
  <c r="D191" i="45"/>
  <c r="E194" i="45"/>
  <c r="F196" i="45"/>
  <c r="M223" i="45"/>
  <c r="F235" i="45"/>
  <c r="E233" i="45"/>
  <c r="D252" i="45"/>
  <c r="F293" i="45"/>
  <c r="H287" i="45"/>
  <c r="H289" i="45" s="1"/>
  <c r="F301" i="45"/>
  <c r="E299" i="45"/>
  <c r="D303" i="45"/>
  <c r="D304" i="45" s="1"/>
  <c r="E304" i="45"/>
  <c r="F310" i="45"/>
  <c r="E308" i="45"/>
  <c r="E163" i="45"/>
  <c r="P13" i="45"/>
  <c r="J19" i="45"/>
  <c r="M25" i="45"/>
  <c r="M55" i="45"/>
  <c r="P58" i="45"/>
  <c r="M79" i="45"/>
  <c r="M118" i="45"/>
  <c r="F136" i="45"/>
  <c r="E134" i="45"/>
  <c r="I175" i="45"/>
  <c r="H199" i="45"/>
  <c r="H188" i="45"/>
  <c r="H190" i="45" s="1"/>
  <c r="D24" i="45"/>
  <c r="D54" i="45"/>
  <c r="D78" i="45"/>
  <c r="D79" i="45" s="1"/>
  <c r="F82" i="45"/>
  <c r="F125" i="45"/>
  <c r="H122" i="45"/>
  <c r="H124" i="45" s="1"/>
  <c r="M205" i="45"/>
  <c r="D230" i="45"/>
  <c r="D229" i="45"/>
  <c r="F376" i="45"/>
  <c r="J91" i="45"/>
  <c r="M189" i="45"/>
  <c r="D204" i="45"/>
  <c r="D205" i="45" s="1"/>
  <c r="E264" i="45"/>
  <c r="F265" i="45"/>
  <c r="H361" i="45"/>
  <c r="F359" i="45"/>
  <c r="H341" i="45"/>
  <c r="H343" i="45" s="1"/>
  <c r="F206" i="45"/>
  <c r="H208" i="45"/>
  <c r="H211" i="45"/>
  <c r="F209" i="45"/>
  <c r="F397" i="45"/>
  <c r="E395" i="45"/>
  <c r="H98" i="45"/>
  <c r="H100" i="45" s="1"/>
  <c r="F137" i="45"/>
  <c r="M172" i="45"/>
  <c r="E229" i="45"/>
  <c r="M277" i="45"/>
  <c r="M269" i="45"/>
  <c r="E300" i="45"/>
  <c r="D300" i="45" s="1"/>
  <c r="D288" i="45" s="1"/>
  <c r="F288" i="45"/>
  <c r="I343" i="45"/>
  <c r="M342" i="45"/>
  <c r="M343" i="45" s="1"/>
  <c r="K370" i="45"/>
  <c r="K341" i="45"/>
  <c r="K343" i="45" s="1"/>
  <c r="F416" i="45"/>
  <c r="H413" i="45"/>
  <c r="H415" i="45" s="1"/>
  <c r="H418" i="45"/>
  <c r="M285" i="45"/>
  <c r="D285" i="45" s="1"/>
  <c r="D286" i="45" s="1"/>
  <c r="N286" i="45"/>
  <c r="F92" i="45"/>
  <c r="F142" i="45"/>
  <c r="K137" i="45"/>
  <c r="K139" i="45" s="1"/>
  <c r="F172" i="45"/>
  <c r="E185" i="45"/>
  <c r="D192" i="45"/>
  <c r="D231" i="45"/>
  <c r="J238" i="45"/>
  <c r="E279" i="45"/>
  <c r="E280" i="45" s="1"/>
  <c r="M306" i="45"/>
  <c r="M307" i="45" s="1"/>
  <c r="H334" i="45"/>
  <c r="F355" i="45"/>
  <c r="F379" i="45"/>
  <c r="E377" i="45"/>
  <c r="E414" i="45"/>
  <c r="F314" i="45"/>
  <c r="F305" i="45" s="1"/>
  <c r="F307" i="45" s="1"/>
  <c r="F174" i="45"/>
  <c r="F175" i="45" s="1"/>
  <c r="F254" i="45"/>
  <c r="E152" i="45" l="1"/>
  <c r="F154" i="45"/>
  <c r="F334" i="45"/>
  <c r="E411" i="45"/>
  <c r="F412" i="45"/>
  <c r="F408" i="45"/>
  <c r="F409" i="45" s="1"/>
  <c r="D158" i="45"/>
  <c r="D160" i="45" s="1"/>
  <c r="D163" i="45"/>
  <c r="D143" i="45"/>
  <c r="D145" i="45" s="1"/>
  <c r="E145" i="45"/>
  <c r="D275" i="45"/>
  <c r="D277" i="45" s="1"/>
  <c r="E277" i="45"/>
  <c r="E52" i="45"/>
  <c r="D51" i="45"/>
  <c r="D52" i="45" s="1"/>
  <c r="E45" i="45"/>
  <c r="E181" i="45"/>
  <c r="E173" i="45"/>
  <c r="D179" i="45"/>
  <c r="F259" i="45"/>
  <c r="E257" i="45"/>
  <c r="D169" i="45"/>
  <c r="D165" i="45"/>
  <c r="D166" i="45" s="1"/>
  <c r="J15" i="45"/>
  <c r="J422" i="45" s="1"/>
  <c r="J420" i="45"/>
  <c r="F319" i="45"/>
  <c r="E317" i="45"/>
  <c r="E99" i="45"/>
  <c r="E100" i="45" s="1"/>
  <c r="E133" i="45"/>
  <c r="E31" i="45"/>
  <c r="D29" i="45"/>
  <c r="D31" i="45" s="1"/>
  <c r="E375" i="45"/>
  <c r="E333" i="45"/>
  <c r="D336" i="45"/>
  <c r="D56" i="45"/>
  <c r="D58" i="45" s="1"/>
  <c r="D61" i="45"/>
  <c r="D102" i="45"/>
  <c r="E17" i="45"/>
  <c r="D375" i="45"/>
  <c r="D382" i="45"/>
  <c r="D74" i="45"/>
  <c r="D76" i="45" s="1"/>
  <c r="E76" i="45"/>
  <c r="E175" i="45"/>
  <c r="D322" i="45"/>
  <c r="D306" i="45"/>
  <c r="G14" i="45"/>
  <c r="G421" i="45" s="1"/>
  <c r="F226" i="45"/>
  <c r="E224" i="45"/>
  <c r="E337" i="45"/>
  <c r="D335" i="45"/>
  <c r="D332" i="45" s="1"/>
  <c r="J14" i="49"/>
  <c r="J386" i="49" s="1"/>
  <c r="F118" i="45"/>
  <c r="E116" i="45"/>
  <c r="D213" i="45"/>
  <c r="E189" i="45"/>
  <c r="E334" i="45"/>
  <c r="E212" i="45"/>
  <c r="K14" i="49"/>
  <c r="K386" i="49" s="1"/>
  <c r="K387" i="49" s="1"/>
  <c r="D342" i="45"/>
  <c r="E221" i="45"/>
  <c r="F223" i="45"/>
  <c r="E388" i="45"/>
  <c r="E146" i="45"/>
  <c r="F148" i="45"/>
  <c r="F139" i="45"/>
  <c r="D45" i="45"/>
  <c r="E288" i="45"/>
  <c r="E46" i="45"/>
  <c r="E107" i="45"/>
  <c r="F109" i="45"/>
  <c r="F104" i="45"/>
  <c r="F106" i="45" s="1"/>
  <c r="D388" i="45"/>
  <c r="E406" i="45"/>
  <c r="D404" i="45"/>
  <c r="D406" i="45" s="1"/>
  <c r="D325" i="45"/>
  <c r="E400" i="45"/>
  <c r="D194" i="45"/>
  <c r="D196" i="45" s="1"/>
  <c r="E196" i="45"/>
  <c r="D113" i="45"/>
  <c r="D115" i="45" s="1"/>
  <c r="E115" i="45"/>
  <c r="H13" i="45"/>
  <c r="H19" i="45"/>
  <c r="D197" i="45"/>
  <c r="D199" i="45" s="1"/>
  <c r="E199" i="45"/>
  <c r="D269" i="45"/>
  <c r="I14" i="49"/>
  <c r="I386" i="49" s="1"/>
  <c r="D395" i="45"/>
  <c r="E397" i="45"/>
  <c r="E374" i="45"/>
  <c r="E376" i="45" s="1"/>
  <c r="E125" i="45"/>
  <c r="F127" i="45"/>
  <c r="F122" i="45"/>
  <c r="F124" i="45" s="1"/>
  <c r="D25" i="45"/>
  <c r="D18" i="45"/>
  <c r="D233" i="45"/>
  <c r="D235" i="45" s="1"/>
  <c r="E235" i="45"/>
  <c r="N420" i="45"/>
  <c r="N15" i="45"/>
  <c r="N422" i="45" s="1"/>
  <c r="D135" i="45"/>
  <c r="D129" i="45" s="1"/>
  <c r="E129" i="45"/>
  <c r="D67" i="45"/>
  <c r="O420" i="45"/>
  <c r="O15" i="45"/>
  <c r="O422" i="45" s="1"/>
  <c r="K13" i="45"/>
  <c r="L15" i="45"/>
  <c r="L422" i="45" s="1"/>
  <c r="L420" i="45"/>
  <c r="J217" i="49"/>
  <c r="J13" i="49"/>
  <c r="F256" i="45"/>
  <c r="E254" i="45"/>
  <c r="F236" i="45"/>
  <c r="F238" i="45" s="1"/>
  <c r="E379" i="45"/>
  <c r="D377" i="45"/>
  <c r="D379" i="45" s="1"/>
  <c r="D189" i="45"/>
  <c r="F208" i="45"/>
  <c r="E206" i="45"/>
  <c r="F188" i="45"/>
  <c r="F190" i="45" s="1"/>
  <c r="D232" i="45"/>
  <c r="P420" i="45"/>
  <c r="P15" i="45"/>
  <c r="P422" i="45" s="1"/>
  <c r="M190" i="45"/>
  <c r="D174" i="45"/>
  <c r="D178" i="45"/>
  <c r="I337" i="49"/>
  <c r="K15" i="49"/>
  <c r="D55" i="45"/>
  <c r="F14" i="45"/>
  <c r="F421" i="45" s="1"/>
  <c r="E19" i="45"/>
  <c r="D253" i="45"/>
  <c r="F316" i="45"/>
  <c r="E314" i="45"/>
  <c r="E416" i="45"/>
  <c r="F413" i="45"/>
  <c r="F415" i="45" s="1"/>
  <c r="F418" i="45"/>
  <c r="E359" i="45"/>
  <c r="F341" i="45"/>
  <c r="F343" i="45" s="1"/>
  <c r="F361" i="45"/>
  <c r="D308" i="45"/>
  <c r="E310" i="45"/>
  <c r="E305" i="45"/>
  <c r="E307" i="45" s="1"/>
  <c r="F295" i="45"/>
  <c r="F287" i="45"/>
  <c r="F289" i="45" s="1"/>
  <c r="E293" i="45"/>
  <c r="D99" i="45"/>
  <c r="D100" i="45" s="1"/>
  <c r="D103" i="45"/>
  <c r="D43" i="45"/>
  <c r="D35" i="45"/>
  <c r="M286" i="45"/>
  <c r="M270" i="45"/>
  <c r="M14" i="45" s="1"/>
  <c r="M421" i="45" s="1"/>
  <c r="E136" i="45"/>
  <c r="D134" i="45"/>
  <c r="E128" i="45"/>
  <c r="E130" i="45" s="1"/>
  <c r="D299" i="45"/>
  <c r="D301" i="45" s="1"/>
  <c r="E301" i="45"/>
  <c r="D212" i="45"/>
  <c r="D214" i="45" s="1"/>
  <c r="E214" i="45"/>
  <c r="D193" i="45"/>
  <c r="I420" i="45"/>
  <c r="I15" i="45"/>
  <c r="I422" i="45" s="1"/>
  <c r="M37" i="45"/>
  <c r="M13" i="45"/>
  <c r="D279" i="45"/>
  <c r="D270" i="45" s="1"/>
  <c r="E270" i="45"/>
  <c r="E182" i="45"/>
  <c r="E184" i="45" s="1"/>
  <c r="E187" i="45"/>
  <c r="D185" i="45"/>
  <c r="F89" i="45"/>
  <c r="E92" i="45"/>
  <c r="F94" i="45"/>
  <c r="M271" i="45"/>
  <c r="F211" i="45"/>
  <c r="E209" i="45"/>
  <c r="D264" i="45"/>
  <c r="D265" i="45" s="1"/>
  <c r="E265" i="45"/>
  <c r="E237" i="45"/>
  <c r="G420" i="45"/>
  <c r="G15" i="45"/>
  <c r="G422" i="45" s="1"/>
  <c r="E85" i="45"/>
  <c r="D83" i="45"/>
  <c r="D85" i="45" s="1"/>
  <c r="I223" i="49"/>
  <c r="I369" i="49"/>
  <c r="I371" i="49" s="1"/>
  <c r="D44" i="45"/>
  <c r="D46" i="45" s="1"/>
  <c r="E271" i="45"/>
  <c r="I215" i="49"/>
  <c r="D280" i="45" l="1"/>
  <c r="E148" i="45"/>
  <c r="D146" i="45"/>
  <c r="E137" i="45"/>
  <c r="E139" i="45" s="1"/>
  <c r="E226" i="45"/>
  <c r="D224" i="45"/>
  <c r="D226" i="45" s="1"/>
  <c r="E109" i="45"/>
  <c r="D107" i="45"/>
  <c r="D109" i="45" s="1"/>
  <c r="D116" i="45"/>
  <c r="D118" i="45" s="1"/>
  <c r="E118" i="45"/>
  <c r="E14" i="45"/>
  <c r="E421" i="45" s="1"/>
  <c r="E223" i="45"/>
  <c r="D221" i="45"/>
  <c r="D223" i="45" s="1"/>
  <c r="D257" i="45"/>
  <c r="D259" i="45" s="1"/>
  <c r="E259" i="45"/>
  <c r="D411" i="45"/>
  <c r="E408" i="45"/>
  <c r="E409" i="45" s="1"/>
  <c r="E412" i="45"/>
  <c r="D17" i="45"/>
  <c r="E104" i="45"/>
  <c r="E106" i="45" s="1"/>
  <c r="E319" i="45"/>
  <c r="D317" i="45"/>
  <c r="D319" i="45" s="1"/>
  <c r="D181" i="45"/>
  <c r="D173" i="45"/>
  <c r="D175" i="45" s="1"/>
  <c r="D337" i="45"/>
  <c r="D333" i="45"/>
  <c r="D334" i="45" s="1"/>
  <c r="D152" i="45"/>
  <c r="D154" i="45" s="1"/>
  <c r="E154" i="45"/>
  <c r="M420" i="45"/>
  <c r="M15" i="45"/>
  <c r="M422" i="45" s="1"/>
  <c r="D310" i="45"/>
  <c r="D209" i="45"/>
  <c r="D211" i="45" s="1"/>
  <c r="E211" i="45"/>
  <c r="D92" i="45"/>
  <c r="E89" i="45"/>
  <c r="E94" i="45"/>
  <c r="D206" i="45"/>
  <c r="E208" i="45"/>
  <c r="D397" i="45"/>
  <c r="D374" i="45"/>
  <c r="D376" i="45" s="1"/>
  <c r="H420" i="45"/>
  <c r="H15" i="45"/>
  <c r="H422" i="45" s="1"/>
  <c r="I217" i="49"/>
  <c r="I13" i="49"/>
  <c r="E418" i="45"/>
  <c r="E413" i="45"/>
  <c r="E415" i="45" s="1"/>
  <c r="D416" i="45"/>
  <c r="J385" i="49"/>
  <c r="J387" i="49" s="1"/>
  <c r="J15" i="49"/>
  <c r="D62" i="45"/>
  <c r="D64" i="45" s="1"/>
  <c r="D19" i="45"/>
  <c r="E122" i="45"/>
  <c r="E124" i="45" s="1"/>
  <c r="D125" i="45"/>
  <c r="E127" i="45"/>
  <c r="E188" i="45"/>
  <c r="E190" i="45" s="1"/>
  <c r="F91" i="45"/>
  <c r="F13" i="45"/>
  <c r="D187" i="45"/>
  <c r="D182" i="45"/>
  <c r="D184" i="45" s="1"/>
  <c r="D136" i="45"/>
  <c r="D128" i="45"/>
  <c r="D130" i="45" s="1"/>
  <c r="D37" i="45"/>
  <c r="D293" i="45"/>
  <c r="E287" i="45"/>
  <c r="E289" i="45" s="1"/>
  <c r="E295" i="45"/>
  <c r="D359" i="45"/>
  <c r="E341" i="45"/>
  <c r="E343" i="45" s="1"/>
  <c r="E361" i="45"/>
  <c r="D314" i="45"/>
  <c r="D316" i="45" s="1"/>
  <c r="E316" i="45"/>
  <c r="D104" i="45"/>
  <c r="D106" i="45" s="1"/>
  <c r="E256" i="45"/>
  <c r="D254" i="45"/>
  <c r="E236" i="45"/>
  <c r="E238" i="45" s="1"/>
  <c r="K15" i="45"/>
  <c r="K422" i="45" s="1"/>
  <c r="K420" i="45"/>
  <c r="D271" i="45"/>
  <c r="D237" i="45"/>
  <c r="D14" i="45" l="1"/>
  <c r="D421" i="45" s="1"/>
  <c r="D408" i="45"/>
  <c r="D409" i="45" s="1"/>
  <c r="D412" i="45"/>
  <c r="D148" i="45"/>
  <c r="D137" i="45"/>
  <c r="D139" i="45" s="1"/>
  <c r="D122" i="45"/>
  <c r="D124" i="45" s="1"/>
  <c r="D127" i="45"/>
  <c r="D287" i="45"/>
  <c r="D289" i="45" s="1"/>
  <c r="D295" i="45"/>
  <c r="D256" i="45"/>
  <c r="D236" i="45"/>
  <c r="D238" i="45" s="1"/>
  <c r="D413" i="45"/>
  <c r="D415" i="45" s="1"/>
  <c r="D418" i="45"/>
  <c r="E91" i="45"/>
  <c r="E13" i="45"/>
  <c r="D305" i="45"/>
  <c r="D307" i="45" s="1"/>
  <c r="F15" i="45"/>
  <c r="F422" i="45" s="1"/>
  <c r="F420" i="45"/>
  <c r="D89" i="45"/>
  <c r="D91" i="45" s="1"/>
  <c r="D94" i="45"/>
  <c r="D208" i="45"/>
  <c r="D188" i="45"/>
  <c r="D190" i="45" s="1"/>
  <c r="D361" i="45"/>
  <c r="D341" i="45"/>
  <c r="D343" i="45" s="1"/>
  <c r="I385" i="49"/>
  <c r="I387" i="49" s="1"/>
  <c r="I15" i="49"/>
  <c r="D13" i="45" l="1"/>
  <c r="D420" i="45" s="1"/>
  <c r="E15" i="45"/>
  <c r="E422" i="45" s="1"/>
  <c r="E420" i="45"/>
  <c r="D15" i="45" l="1"/>
  <c r="D422" i="45" s="1"/>
</calcChain>
</file>

<file path=xl/sharedStrings.xml><?xml version="1.0" encoding="utf-8"?>
<sst xmlns="http://schemas.openxmlformats.org/spreadsheetml/2006/main" count="5366" uniqueCount="1205">
  <si>
    <t>w złotych</t>
  </si>
  <si>
    <t>Dział</t>
  </si>
  <si>
    <t>Rozdział</t>
  </si>
  <si>
    <t>*</t>
  </si>
  <si>
    <t>OGÓŁEM</t>
  </si>
  <si>
    <t>a</t>
  </si>
  <si>
    <t>b</t>
  </si>
  <si>
    <t>c</t>
  </si>
  <si>
    <t>010</t>
  </si>
  <si>
    <t>ROLNICTWO I ŁOWIECTWO</t>
  </si>
  <si>
    <t>01042</t>
  </si>
  <si>
    <t>600</t>
  </si>
  <si>
    <t>TRANSPORT I ŁĄCZNOŚĆ</t>
  </si>
  <si>
    <t>60013</t>
  </si>
  <si>
    <t>700</t>
  </si>
  <si>
    <t>GOSPODARKA MIESZKANIOWA</t>
  </si>
  <si>
    <t>70005</t>
  </si>
  <si>
    <t>710</t>
  </si>
  <si>
    <t>DZIAŁALNOŚĆ USŁUGOWA</t>
  </si>
  <si>
    <t>71003</t>
  </si>
  <si>
    <t>750</t>
  </si>
  <si>
    <t>ADMINISTRACJA PUBLICZNA</t>
  </si>
  <si>
    <t>75018</t>
  </si>
  <si>
    <t>801</t>
  </si>
  <si>
    <t>OŚWIATA I WYCHOWANIE</t>
  </si>
  <si>
    <t>80147</t>
  </si>
  <si>
    <t>851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</si>
  <si>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</si>
  <si>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</si>
  <si>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</si>
  <si>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</si>
  <si>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</si>
  <si>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</si>
  <si>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a - plan przed zmianą </t>
  </si>
  <si>
    <t>b - saldo zmian</t>
  </si>
  <si>
    <t>c - plan po zmianach</t>
  </si>
  <si>
    <t>71012</t>
  </si>
  <si>
    <t>w tym:</t>
  </si>
  <si>
    <t>Wynagrodzenia z pochodnymi</t>
  </si>
  <si>
    <t>Wydatki bieżące</t>
  </si>
  <si>
    <t>60003</t>
  </si>
  <si>
    <t>Krajowe pasażerskie przewozy autobusowe</t>
  </si>
  <si>
    <t>60095</t>
  </si>
  <si>
    <t>Pozostała działalność</t>
  </si>
  <si>
    <t>71005</t>
  </si>
  <si>
    <t>Prace geologiczne (nieinwestycyjne)</t>
  </si>
  <si>
    <t>75084</t>
  </si>
  <si>
    <t>Funkcjonowanie wojewódzkich rad dialogu społecznego</t>
  </si>
  <si>
    <t>752</t>
  </si>
  <si>
    <t>OBRONA NARODOWA</t>
  </si>
  <si>
    <t>75212</t>
  </si>
  <si>
    <t>Pozostałe wydatki obronne</t>
  </si>
  <si>
    <t>Składki na ubezpieczenie zdrowotne oraz świadczenia dla osób nieobjętych obowiązkiem ubezpieczenia zdrowotnego</t>
  </si>
  <si>
    <t>Wojewódzkie urzędy pracy</t>
  </si>
  <si>
    <t>RODZINA</t>
  </si>
  <si>
    <t>Ochrona powietrza atmosferycznego i klimatu</t>
  </si>
  <si>
    <t>Zmniejszenie hałasu i wibracji</t>
  </si>
  <si>
    <t>050</t>
  </si>
  <si>
    <t>RYBOŁÓWSTWO I RYBACTWO</t>
  </si>
  <si>
    <t>630</t>
  </si>
  <si>
    <t>TURYSTYKA</t>
  </si>
  <si>
    <t>720</t>
  </si>
  <si>
    <t>INFORMATYKA</t>
  </si>
  <si>
    <t>72095</t>
  </si>
  <si>
    <t>80146</t>
  </si>
  <si>
    <t>60014</t>
  </si>
  <si>
    <t>63095</t>
  </si>
  <si>
    <t>Zadania z zakresu geodezji i kartografii</t>
  </si>
  <si>
    <t>Działalność ośrodków adopcyjnych</t>
  </si>
  <si>
    <t>Dział                   Rozdział</t>
  </si>
  <si>
    <t>Nazwa</t>
  </si>
  <si>
    <t>Ogółem</t>
  </si>
  <si>
    <t>z tego: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</si>
  <si>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</si>
  <si>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</si>
  <si>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</si>
  <si>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</si>
  <si>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</si>
  <si>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</si>
  <si>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Zakup i objęcie akcji i udziałów</t>
  </si>
  <si>
    <t>Zadania statutowe</t>
  </si>
  <si>
    <t>01009</t>
  </si>
  <si>
    <t>Spółki wodne</t>
  </si>
  <si>
    <t>01041</t>
  </si>
  <si>
    <t xml:space="preserve">Program Rozwoju Obszarów Wiejskich                                             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</si>
  <si>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</si>
  <si>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</si>
  <si>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</si>
  <si>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</si>
  <si>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</si>
  <si>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</si>
  <si>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</si>
  <si>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</si>
  <si>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</si>
  <si>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</si>
  <si>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</si>
  <si>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</si>
  <si>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</si>
  <si>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</si>
  <si>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Krajowe pasażerskie przewozy kolejowe</t>
  </si>
  <si>
    <t>60002</t>
  </si>
  <si>
    <t>Infrastruktura kolejowa</t>
  </si>
  <si>
    <t>Drogi publiczne wojewódzkie</t>
  </si>
  <si>
    <t>Drogi publiczne powiatowe</t>
  </si>
  <si>
    <t>63003</t>
  </si>
  <si>
    <t>Zadania w zakresie upowszechniania turystyki</t>
  </si>
  <si>
    <t>Gospodarka gruntami i nieruchomościami</t>
  </si>
  <si>
    <t>Biura planowania przestrzennego</t>
  </si>
  <si>
    <t>71004</t>
  </si>
  <si>
    <t>Plany zagospodarowania przestrzennego</t>
  </si>
  <si>
    <t>75017</t>
  </si>
  <si>
    <t>Samorządowe sejmiki województw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</si>
  <si>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</si>
  <si>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</si>
  <si>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</si>
  <si>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</si>
  <si>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</si>
  <si>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</si>
  <si>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</si>
  <si>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</si>
  <si>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</si>
  <si>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</si>
  <si>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</si>
  <si>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</si>
  <si>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</si>
  <si>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</si>
  <si>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</si>
  <si>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</si>
  <si>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</si>
  <si>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</si>
  <si>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</si>
  <si>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</si>
  <si>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</si>
  <si>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</si>
  <si>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80113</t>
  </si>
  <si>
    <t>Dowożenie uczniów do szkół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</si>
  <si>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</si>
  <si>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</si>
  <si>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</si>
  <si>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</si>
  <si>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</si>
  <si>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</si>
  <si>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</si>
  <si>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Dokształcanie i doskonalenie nauczycieli</t>
  </si>
  <si>
    <t>Biblioteki pedagogiczne</t>
  </si>
  <si>
    <t>80151</t>
  </si>
  <si>
    <t>Kwalifikacyjne kursy zawodowe</t>
  </si>
  <si>
    <t>80195</t>
  </si>
  <si>
    <t>Szpitale ogólne</t>
  </si>
  <si>
    <t>Medycyna pracy</t>
  </si>
  <si>
    <t>Programy polityki zdrowotnej</t>
  </si>
  <si>
    <t>Zwalczanie narkomanii</t>
  </si>
  <si>
    <t>Przeciwdziałanie alkoholizmowi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</si>
  <si>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</si>
  <si>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</si>
  <si>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</si>
  <si>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</si>
  <si>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</si>
  <si>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</si>
  <si>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Fundusz Gwarantowanych Świadczeń Pracowniczych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</si>
  <si>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</si>
  <si>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</si>
  <si>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</si>
  <si>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</si>
  <si>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</si>
  <si>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motywacyjnym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</si>
  <si>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</si>
  <si>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</si>
  <si>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</si>
  <si>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</si>
  <si>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</si>
  <si>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</si>
  <si>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</si>
  <si>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</si>
  <si>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</si>
  <si>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</si>
  <si>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</si>
  <si>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</si>
  <si>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</si>
  <si>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</si>
  <si>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>15011</t>
  </si>
  <si>
    <t>Rozwój  przedsiębiorczości</t>
  </si>
  <si>
    <t>Pozostałe zadania w zakresie kultury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</si>
  <si>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</si>
  <si>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</si>
  <si>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Pomoc materialna dla uczniów o charakterze socjalnym</t>
  </si>
  <si>
    <t>Pozostałe działania związane z gospodarką odpadami</t>
  </si>
  <si>
    <t>Inwestycje i zakupy inwestycyjne                   (w tym dotacje)</t>
  </si>
  <si>
    <t>05095</t>
  </si>
  <si>
    <t>Lokalny transport zbiorowy</t>
  </si>
  <si>
    <t>730</t>
  </si>
  <si>
    <t>SZKOLNICTWO WYŻSZE I NAUKA</t>
  </si>
  <si>
    <t>73014</t>
  </si>
  <si>
    <t>Działalność dydaktyczna i badawcza</t>
  </si>
  <si>
    <t>73095</t>
  </si>
  <si>
    <t>Obsługa papierów wartościowych, kredytów i pożyczek oraz innych zobowiązań jednostek samorządu terytorialnego zaliczanych do tytułu dłużnego - kredyty i pożyczki</t>
  </si>
  <si>
    <t>Placówki kształcenia ustawicznego i centra kształcenia zawodowego</t>
  </si>
  <si>
    <t>Drogi wewnętrzne</t>
  </si>
  <si>
    <t>Przedszkola</t>
  </si>
  <si>
    <t>Technika</t>
  </si>
  <si>
    <t>Zakłady opiekuńczo-lecznicze i pielęgnacyjno-opiekuńcze</t>
  </si>
  <si>
    <t>Leczenie sanatoryjno-klimatyczne</t>
  </si>
  <si>
    <t>Gospodarka ściekowa i ochrona wód</t>
  </si>
  <si>
    <t>Gospodarka odpadami komunalnymi</t>
  </si>
  <si>
    <t>Oświetlenie ulic, placów i dróg</t>
  </si>
  <si>
    <t>Zarządy melioracji i urządzeń wodnych</t>
  </si>
  <si>
    <t>01006</t>
  </si>
  <si>
    <t>Zapewnienie uczniom prawa do bezpłatnego dostępu do podręczników, materiałów edukacyjncy h lub materiałów ćwiczeniowych</t>
  </si>
  <si>
    <r>
      <t xml:space="preserve">W załączniku </t>
    </r>
    <r>
      <rPr>
        <b/>
        <sz val="10"/>
        <rFont val="Times New Roman"/>
        <family val="1"/>
        <charset val="238"/>
      </rPr>
      <t>nr 3 "Wydatki budżetu Województwa Kujawsko-Pomorskiego wg grup wydatków.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</si>
  <si>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Lp</t>
  </si>
  <si>
    <t>x</t>
  </si>
  <si>
    <t>85111</t>
  </si>
  <si>
    <t>Staże i specjalizacje medyczne</t>
  </si>
  <si>
    <t>Nazwa zadania inwestycyjnego</t>
  </si>
  <si>
    <t>Okres realizacji</t>
  </si>
  <si>
    <t>Ogólny koszt zadania</t>
  </si>
  <si>
    <t>Przewidywane nakłady poniesione do końca 2020 r.</t>
  </si>
  <si>
    <t>Planowane wydatki</t>
  </si>
  <si>
    <t>Jednostka organizacyjna realizująca zadanie lub koordynująca wykonanie zadania</t>
  </si>
  <si>
    <t>na rok budżetowy 2021</t>
  </si>
  <si>
    <t>z tego źródła finansowania:</t>
  </si>
  <si>
    <t>środki własne Województwa</t>
  </si>
  <si>
    <t>dotacje/środki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</si>
  <si>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</si>
  <si>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</si>
  <si>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</si>
  <si>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</si>
  <si>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Modernizacja dróg</t>
  </si>
  <si>
    <t>Zarząd Dróg Wojewódzkich w Bydgoszczy</t>
  </si>
  <si>
    <t>Wykup gruntu</t>
  </si>
  <si>
    <t>Drogowa Inicjatywa Samorządowa</t>
  </si>
  <si>
    <t>Modernizacja dróg wojewódzkich, grupa I - Kujawsko-pomorskiego planu spójności komunikacji drogowej i kolejowej 2014-2020</t>
  </si>
  <si>
    <t>Modernizacja dróg wojewódzkich, grupa III - Kujawsko-pomorskiego planu spójności komunikacji drogowej i kolejowej 2014-2020</t>
  </si>
  <si>
    <t>Przebudowa wiaduktu w ciągu drogi wojewódzkiej Nr 240 Chojnice-Świecie w km 64+533 w miejscowości Terespol Pomorski</t>
  </si>
  <si>
    <t>Zakupy inwestycyjne</t>
  </si>
  <si>
    <t>Zakup serwera do przechowywania baz danych</t>
  </si>
  <si>
    <t>Wydatki inwestycyjne</t>
  </si>
  <si>
    <t>Wdrożenie modułu obsługi pracowniczych planów kapitałowych dla systemu KSAT2000i</t>
  </si>
  <si>
    <t xml:space="preserve">Zakup centrali telefonicznej </t>
  </si>
  <si>
    <t>Medyczno-Społeczne Centrum Kształcenia Zawodowego i Ustawicznego w Inowrocławiu</t>
  </si>
  <si>
    <t>Zakup dwóch kondensacyjnych kotłów gazowych w systemie kaskadowym do nowobudowanej kotłowni</t>
  </si>
  <si>
    <t>Kujawsko-Pomorskie Centrum Kształcenia Zawodowego w Bydgoszczy</t>
  </si>
  <si>
    <t xml:space="preserve">Zakup multiwyszukiwarki INTEGRO </t>
  </si>
  <si>
    <t>Kujawsko-Pomorskie Centrum Edukacji Nauczycieli we Włocławku</t>
  </si>
  <si>
    <t xml:space="preserve">Zabudowa holu w budynku biblioteki </t>
  </si>
  <si>
    <t>Pedagogiczna Biblioteka Wojewódzka w Bydgoszczy</t>
  </si>
  <si>
    <t>Rozbudowa instalacji tlenowej w Wojewódzkim Szpitalu Zespolonym im. L. Rydygiera w Toruniu</t>
  </si>
  <si>
    <t>Wojewódzki Szpital Zespolony im. L. Rydygiera w Toruniu</t>
  </si>
  <si>
    <t>852</t>
  </si>
  <si>
    <t>85217</t>
  </si>
  <si>
    <t>Wykonanie wiaty rowerowej</t>
  </si>
  <si>
    <t>Regionalny Ośrodek Polityki Społecznej w Toruniu</t>
  </si>
  <si>
    <t>Zakup serwera</t>
  </si>
  <si>
    <t>854</t>
  </si>
  <si>
    <t>EDUKACYJNA OPIEKA WYCHOWAWCZA</t>
  </si>
  <si>
    <t>85403</t>
  </si>
  <si>
    <t xml:space="preserve">Kujawsko-Pomorski Specjalny Ośrodek Szkolno-Wychowawczy nr 2 dla Dzieci i Młodzieży Słabo Słyszącej i Niesłyszącej im. gen. Stanisława Maczka w Bydgoszczy - Prace związane z dostosowaniem budynku do wymogów p-poż </t>
  </si>
  <si>
    <t xml:space="preserve">Modernizacja centrali telefonicznej </t>
  </si>
  <si>
    <t xml:space="preserve">Kujawsko-Pomorski Specjalny Ośrodek Szkolno-Wychowawczy nr 2 dla Dzieci i Młodzieży Słabo Słyszącej i Niesłyszącej im. gen. Stanisława Maczka w Bydgoszczy </t>
  </si>
  <si>
    <t>Zakup pojazdu służbowego z przystosowaniem do przewozu osób niepełnosprawnych</t>
  </si>
  <si>
    <t>Kujawsko-Pomorski Specjalny Ośrodek Szkolno-Wychowawczy im. Janusza Korczaka w Toruniu</t>
  </si>
  <si>
    <t>921</t>
  </si>
  <si>
    <t>92106</t>
  </si>
  <si>
    <t>Zakup sprzętu komputerowego</t>
  </si>
  <si>
    <t>Opera Nova w Bydgoszczy</t>
  </si>
  <si>
    <t>Przebudowa stropodachu nad salą Manru w budynku Opery Nova w Bydgoszczy</t>
  </si>
  <si>
    <t>Wymiana oświetlenia oraz wystroju foyer w gmachu Opery Nova w Bydgoszczy</t>
  </si>
  <si>
    <t>92109</t>
  </si>
  <si>
    <t>Pałac Lubostroń w Lubostroniu</t>
  </si>
  <si>
    <t>Ośrodek Chopinowski w Szafarni</t>
  </si>
  <si>
    <t>92110</t>
  </si>
  <si>
    <t>Dostosowanie istniejących pomieszczeń sanitarnych dla potrzeb osób niepełnosprawnych w Galerii i Ośrodku Plastycznej Twórczości Dziecka w Toruniu</t>
  </si>
  <si>
    <t>Galeria i Ośrodek Plastycznej Twórczości Dziecka w Toruniu</t>
  </si>
  <si>
    <t>92116</t>
  </si>
  <si>
    <t>Modernizacja systemu alarmowego w budynkach Biblioteki</t>
  </si>
  <si>
    <t>Wojewódzka i Miejska Biblioteka Publiczna w Bydgoszczy</t>
  </si>
  <si>
    <t xml:space="preserve">Zakupy inwestycyjne </t>
  </si>
  <si>
    <t>Wojewódzka Biblioteka Publiczna - Książnica Kopernikańska w Toruniu</t>
  </si>
  <si>
    <t>92118</t>
  </si>
  <si>
    <t>Modernizacja budynku do celów wystawienniczo-edukacyjnych</t>
  </si>
  <si>
    <t>Muzeum Etnograficzne w Toruniu</t>
  </si>
  <si>
    <t>Wymiana pokryć dachowych, podwalin i polep w skansenie w Kłóbce</t>
  </si>
  <si>
    <t>Muzeum Ziemi Kujawskiej i Dobrzyńskiej we Włocławku</t>
  </si>
  <si>
    <t>Zabezpieczenie mechaniczne i monitoring wizyjny budynków</t>
  </si>
  <si>
    <t>92195</t>
  </si>
  <si>
    <t>Park Pamięci Ofiar Zbrodni Pomorskiej 1939</t>
  </si>
  <si>
    <t>926</t>
  </si>
  <si>
    <t>KULTURA FIZYCZNA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</si>
  <si>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</si>
  <si>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</si>
  <si>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</si>
  <si>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</si>
  <si>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</si>
  <si>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Roboty dodatkowe i uzupełniające związane z realizacją inwestycji drogowych w ramach grupy I RPO</t>
  </si>
  <si>
    <t>2018-2021</t>
  </si>
  <si>
    <t xml:space="preserve">Zarząd Dróg Wojewódzkich w Bydgoszczy </t>
  </si>
  <si>
    <t>Przygotowanie dokumentacji projektowych do realizacji zadań w ramach Programu modernizacji dróg wojewódzkich z grupy I i III Kujawsko-pomorskiego planu spójności komunikacji drogowej i kolejowej 2014-2020</t>
  </si>
  <si>
    <t>2020-2021</t>
  </si>
  <si>
    <t>Przygotowanie i realizacja zadań w ramach Funduszu Dróg Samorządowych</t>
  </si>
  <si>
    <t>2020-2024</t>
  </si>
  <si>
    <t>Budowa obwodnicy Więcborka - opracowanie studium techniczno-ekonomiczno-środowiskowego</t>
  </si>
  <si>
    <t>2019-2021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</si>
  <si>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</si>
  <si>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Opracowanie dokumentacji projektowej dla rozbudowy drogi wojewódzkiej Nr 244 Kamieniec-Strzelce Dolne, m. Żołędowo, ul. Jastrzębia od km 30+068 do km 33+342, dł. 3,274 km</t>
  </si>
  <si>
    <t>Rozbudowa drogi wojewódzkiej Nr 244 Kamieniec-Strzelce Dolne, m. Żołędowo, ul. Jastrzębia od km 30+068 do km 33+342, dł. 3,274 km</t>
  </si>
  <si>
    <t>2021-2022</t>
  </si>
  <si>
    <t>Budowa obwodnicy miasta Rypina - opracowanie Studium Techniczno-Ekonomiczno-Środowiskowego wraz z uzyskaniem decyzji o środowiskowych uwarunkowaniach zgody na realizację przedsięwzięcia</t>
  </si>
  <si>
    <t>Opracowanie dokumentacji projektowej dla przebudowy drogi wojewódzkiej Nr 301 Janowice-Tadzin-Bądkowo-Krotoszyn-Osięciny na odc. od km 2+290 do km 18+295,5 km oraz od km 18+892,5 do km 19+226, dł. 16,339 km</t>
  </si>
  <si>
    <t>Przebudowa drogi wojewódzkiej Nr 251 od km 45+145 do km 46+800, odc. Młodocin-Pturek wraz z przebudową przepustu w km 46+216</t>
  </si>
  <si>
    <t>2019+2021</t>
  </si>
  <si>
    <t>Przebudowa drogi wojewódzkiej, tj. ul. Magazynowej w Inowrocławiu na odcinku od ul. Prezydenta Gabriela Narutowicza do ul. Dworcowej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</si>
  <si>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</si>
  <si>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</si>
  <si>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60017</t>
  </si>
  <si>
    <t>Budowa parkingu</t>
  </si>
  <si>
    <t>Modernizacja nieruchomości w Toruniu przy ul. Św. Jakuba 3-5, Wola Zamkowa 8-10, 10A i 12A (rozliczenie z użytkownikiem)</t>
  </si>
  <si>
    <t>2016-2031</t>
  </si>
  <si>
    <t>Kultura w zasięgu 2.0 - wkład własny wojewódzkich jednostek organizacyjnych</t>
  </si>
  <si>
    <t>Rozbudowa kampusu UTP w Bydgoszczy w Fordonie (partycypacja do 30 % wysokości dotacji ministerialnej)</t>
  </si>
  <si>
    <t>2018-2022</t>
  </si>
  <si>
    <t>Modernizacja i rozbudowa budynku Urzędu Marszałkowskiego - Etap I</t>
  </si>
  <si>
    <t>2009-2025</t>
  </si>
  <si>
    <t>KPCEN we Włocławku - Rozbudowa budynku</t>
  </si>
  <si>
    <t>2020-2023</t>
  </si>
  <si>
    <t>2019-2029</t>
  </si>
  <si>
    <t>Kujawsko-Pomorski Teatr Muzyczny w Toruniu</t>
  </si>
  <si>
    <t>Przebudowa i remont konserwatorski budynku Pałacu Dąmbskich w Toruniu</t>
  </si>
  <si>
    <t>2015-2022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</si>
  <si>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</si>
  <si>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Adaptacja pomieszczeń piwnicznych w budynku Kujawsko-Pomorskiego Centrum Kultury w Bydgoszczy</t>
  </si>
  <si>
    <t>Kujawsko-Pomorskie Centrum Kultury w Bydgoszczy</t>
  </si>
  <si>
    <t>Modernizacja sieci wodociągowej przeciwpożarowej na terenie Muzeum Etnograficznego w Toruniu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</si>
  <si>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</si>
  <si>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</si>
  <si>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</si>
  <si>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</si>
  <si>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</si>
  <si>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r>
      <t xml:space="preserve">W załączniku </t>
    </r>
    <r>
      <rPr>
        <b/>
        <sz val="10"/>
        <rFont val="Times New Roman"/>
        <family val="1"/>
        <charset val="238"/>
      </rPr>
      <t>nr 8 "Wydatki na zadania inwestycyjne. Plan na 2021 rok"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</si>
  <si>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>85148</t>
  </si>
  <si>
    <t>Wykonanie awaryjnego przyłącza wodociągowego do Przychodni Medycyny Pracy przy Szosie Bydgoskiej 46</t>
  </si>
  <si>
    <t>Wojewódzki Ośrodek Medycyny Pracy w Toruniu</t>
  </si>
  <si>
    <t>85154</t>
  </si>
  <si>
    <t>Modernizacja sieci teleinformatycznej WOTUiW w Toruniu</t>
  </si>
  <si>
    <t>Wojewódzki Ośrodek Terapii Uzależnień i Współuzależnienia w Toruniu</t>
  </si>
  <si>
    <t>Ochotnicze straże pożarne</t>
  </si>
  <si>
    <t>Nabycie nieruchomości położonych w Bydgoszczy przy ul. Stanisława Staszica i Ks. Hugona Kołłątaja</t>
  </si>
  <si>
    <t>Wspieranie działań muzealnych - W trosce o dziedzictwo powierzone nam w opiekę. Doposażenie pracowni konserwatorskiej w Książnicy Kopernikańskiej</t>
  </si>
  <si>
    <t>2020-2022</t>
  </si>
  <si>
    <t>Przebudowa drogi wojewódzkiej Nr 246 Paterek-Dąbrowa Biskupia, odc. Rojewo-Płonkówko od km 59+344 do km 63+500, dł. 4,156 km</t>
  </si>
  <si>
    <t>Przebudowa drogi wojewódzkiej Nr 265 Brześć Kujawski-Kowal-Gostynin na odcinku Kowal-granica województwa od km 19+117 do km 34+025</t>
  </si>
  <si>
    <t>2021-2023</t>
  </si>
  <si>
    <t>Przebudowa drogi wojewódzkiej Nr 544 Brodnica-Lidzbark polegająca na odnowie nawierzchni od km 2+100 do km 13+310 długości 11,022 km z wyłączeniem odcinka od km 3+395 do km 3+572 długości 0,177 km wraz z przebudową przepustu w ciągu drogi wojewódzkiej nr 544 w km 10+342 w m. Łaszewo</t>
  </si>
  <si>
    <t>Przygotowanie dokumentacji na potrzeby realizacji projektu pn. "Młyn Energii w Grudziądzu"</t>
  </si>
  <si>
    <t>Modernizacja monitoringu</t>
  </si>
  <si>
    <t>Biblioteka czynna całą dobę - książkomat na osiedlu Miedzyń-Prądy (Program BBO)</t>
  </si>
  <si>
    <t>92105</t>
  </si>
  <si>
    <t>Wykonanie popiersia maestro Jerzego Maksymiuka</t>
  </si>
  <si>
    <t xml:space="preserve">Filharmonia Pomorska im. J. Paderewskiego w Bydgoszczy </t>
  </si>
  <si>
    <t>Prace projektowe związane z Nową Perspektywą Finansową 2021-2027</t>
  </si>
  <si>
    <t>Nadbudowa i rozbudowa dawnego budynku kinoteatru Grunwald usytuowanego przy ul. Warszawskiej 11 w Toruniu z przeznaczeniem na teatr - Utworzenie "DUŻEJ SCENY" Kujawsko-Pomorskiego Impresaryjnego Teatru Muzycznego w Toruniu</t>
  </si>
  <si>
    <t>92108</t>
  </si>
  <si>
    <t>2017-2026</t>
  </si>
  <si>
    <t>2021-2024</t>
  </si>
  <si>
    <t>Rozbudowa Opery Nova w Bydgoszczy o IV krąg</t>
  </si>
  <si>
    <t>Rewaloryzacja i adaptacja zabytkowego spichlerza dworskiego w Kłóbce</t>
  </si>
  <si>
    <t>Budowa parkingu przy Operze Nova w Bydgoszczy</t>
  </si>
  <si>
    <t xml:space="preserve">Budowa wiaduktów i przystanków kolejowych w bydgosko-toruńskim obszarze metropolitalnym - uzyskanie certyfikatów zgodności dla podsystemów i składników interoperacyjności WE w kolejnictwie </t>
  </si>
  <si>
    <t>2017-2021</t>
  </si>
  <si>
    <t>Rozszerzenie funkcjonalności teatralno-koncertowej poprzez rozbudowę i doposażenie dawnego budynku kinoteatru Grunwald</t>
  </si>
  <si>
    <t>Rozbudowa i remont Filharmonii Pomorskiej w Bydgoszczy - przygotowanie dokumentacji</t>
  </si>
  <si>
    <t>900</t>
  </si>
  <si>
    <t>Zakup kolejowego taboru pasażerskiego</t>
  </si>
  <si>
    <t xml:space="preserve">Instalacja systemów bezpieczeństwa </t>
  </si>
  <si>
    <t>Rozbudowa Kujawskiego Centrum Muzyki w miejscowości Wieniec koło Włocławka</t>
  </si>
  <si>
    <t>Nr      /          /21  Sejmiku Województwa</t>
  </si>
  <si>
    <t>z dnia    .06.2021 r.</t>
  </si>
  <si>
    <t>Rozbudowa zbiorów muzealnych - "Zakup kolekcji rzeźby ludowej i nieprofesjonalnej Izabelli i Piotra Sałustowiczów"</t>
  </si>
  <si>
    <t>Pomnik Solidarności</t>
  </si>
  <si>
    <t>Zakup wyposażenia na potrzeby Mediateki przy ul. Fałata 35</t>
  </si>
  <si>
    <t>Przebudowa wraz z rozbudową drogi wojewódzkiej Nr 269 Szczerkowo-Kowal od km 12+170 do km 28+898 oraz od km 33+622 do km 59+194 - przygotowanie inwestycji</t>
  </si>
  <si>
    <t>zmiana z: Przebudowa drogi wojewódzkiej Nr 551 Strzyżawa-Dąbrowa Chełmińska-Unisław-Wybcz-Chełmża-Wąbrzeźno na odcinku od km 17+515 do km 30+760 na: Przebudowa drogi wojewódzkiej Nr 551 Strzyżawa-Dąbrowa Chełmińska-Unisław-Wybcz-Chełmża-Wąbrzeźno na odcinku od km 17+515 do km 22+550</t>
  </si>
  <si>
    <t>Przebudowa i rozbudowa drogi wojewódzkiej Nr 255 Pakość-Strzelno od km 0+005 do km 21+910. Etap II -Przebudowa drogi wojewódzkiej Nr 255 na odcinku od km 2+220 do km 21+910, dł. 16,690 km - przygotowanie inwestycji</t>
  </si>
  <si>
    <t>2016-2021</t>
  </si>
  <si>
    <t>2013-2021</t>
  </si>
  <si>
    <t>Rozbudowa drogi wojewódzkiej Nr 543 Paparzyn-Szabda w m. Jabłonowo-Zamek</t>
  </si>
  <si>
    <t>Opracowanie Studium Techniczno-Ekonomiczno-Środowiskowego inwestycji pn. "Budowa obwodnicy Tucholi"</t>
  </si>
  <si>
    <t>Roboty dodatkowe i uzupełniające - ścieżki rowerowe</t>
  </si>
  <si>
    <t>Zakup licencji oprogramowania</t>
  </si>
  <si>
    <t>Zakup wyposażenia</t>
  </si>
  <si>
    <t>Przygotowanie dokumentacji na potrzeby realizacji projektów w ramach RPO WK-P</t>
  </si>
  <si>
    <t>Wsparcie realizacji inicjatyw o charakterze rekreacyjno-sportowym</t>
  </si>
  <si>
    <t>zmiana nazwy z: Budowa ciągu pieszo-rowerowego wzdłuż drogi wojewódzkiej Nr 534, tj. od skrzyżowania z drogą powiatową Nr 2205C Długie-Rakowo-Cetki do skrzyżowania z ul. Kościuszki w Rypinie - opracowanie dokumentacji technicznej na: Budowa ciągu pieszo-rowerowego wzdłuż drogi wojewódzkiej Nr 534 od miejscowości Ostrowite do skrzyżowania z ul. Kościuszki w Rypinie - opracowanie dokumentacji technicznej</t>
  </si>
  <si>
    <t>90095</t>
  </si>
  <si>
    <t>Załącznik nr 1 do uchwały</t>
  </si>
  <si>
    <t>Nr   /      /21 Sejmiku Województwa</t>
  </si>
  <si>
    <t xml:space="preserve">z dnia     .06.2021 r.     </t>
  </si>
  <si>
    <r>
      <t>W załączniku n</t>
    </r>
    <r>
      <rPr>
        <b/>
        <sz val="10"/>
        <rFont val="Times New Roman"/>
        <family val="1"/>
        <charset val="238"/>
      </rPr>
      <t>r 1 "Dochody budżetu Województwa Kujawsko-Pomorskiego wg źródeł pochodzenia. Plan na rok 2021"</t>
    </r>
    <r>
      <rPr>
        <sz val="10"/>
        <rFont val="Times New Roman"/>
        <family val="1"/>
        <charset val="238"/>
      </rPr>
      <t xml:space="preserve"> do uchwały Nr XXVIII/395/20 Sejmiku Województwa Kujawsko-Pomorskiego z dnia 21 grudnia 2020 r. w sprawie budżetu województwa na rok 2021                                           (z późn. zm.), wprowadza się następujące zmiany: </t>
    </r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</si>
  <si>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</si>
  <si>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</si>
  <si>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</si>
  <si>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</si>
  <si>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</si>
  <si>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</si>
  <si>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  <charset val="238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</si>
  <si>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</si>
  <si>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</si>
  <si>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</si>
  <si>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>z pozostałych źródeł</t>
  </si>
  <si>
    <t xml:space="preserve">z budżetu państwa </t>
  </si>
  <si>
    <t>na finansowanie części unijnej</t>
  </si>
  <si>
    <t>na finansowanie części krajowej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</si>
  <si>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</si>
  <si>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</si>
  <si>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</si>
  <si>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</si>
  <si>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</si>
  <si>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</si>
  <si>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</si>
  <si>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</si>
  <si>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</si>
  <si>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</si>
  <si>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</si>
  <si>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</si>
  <si>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</si>
  <si>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</si>
  <si>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</si>
  <si>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</si>
  <si>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DOCHODY BIEŻĄCE</t>
  </si>
  <si>
    <t>ROLNICTWO I  ŁOWIECTWO</t>
  </si>
  <si>
    <t>756</t>
  </si>
  <si>
    <t>DOCHODY OD OSÓB PRAWNYCH, OD OSÓB FIZYCZNYCH I OD INNYCH JEDNOSTEK NIEPOSIADAJĄCYCH OSOBOWOŚCI PRAWNEJ ORAZ WYDATKI ZWIĄZANE Z ICH POBOREM</t>
  </si>
  <si>
    <t>853</t>
  </si>
  <si>
    <t>POZOSTAŁE  ZADANIA W ZAKRESIE POLITYKI SPOŁECZNEJ</t>
  </si>
  <si>
    <t>855</t>
  </si>
  <si>
    <t>925</t>
  </si>
  <si>
    <t>DOCHODY MAJĄTKOWE</t>
  </si>
  <si>
    <t>o g ó ł e m :</t>
  </si>
  <si>
    <t xml:space="preserve"> - plan przed zmianą </t>
  </si>
  <si>
    <t xml:space="preserve"> - saldo zmian </t>
  </si>
  <si>
    <t xml:space="preserve"> - plan po zmianach</t>
  </si>
  <si>
    <t>Załącznik nr 2 do uchwały</t>
  </si>
  <si>
    <t xml:space="preserve">z dnia    .06.2021 r.    </t>
  </si>
  <si>
    <r>
      <t>W załączniku n</t>
    </r>
    <r>
      <rPr>
        <b/>
        <sz val="10"/>
        <color indexed="8"/>
        <rFont val="Times New Roman"/>
        <family val="1"/>
        <charset val="238"/>
      </rPr>
      <t>r 2 "Dochody budżetu Województwa Kujawsko-Pomorskiego wg klasyfikacji budżetowej. Plan na 2021 rok"</t>
    </r>
    <r>
      <rPr>
        <sz val="10"/>
        <color indexed="8"/>
        <rFont val="Times New Roman"/>
        <family val="1"/>
        <charset val="238"/>
      </rPr>
      <t xml:space="preserve"> do uchwały                         Nr XXVIII/395/20 Sejmiku Województwa Kujawsko-Pomorskiego z dnia 21 grudnia 2020 r. w sprawie budżetu województwa na rok 2021                       (z poźn. zm.), wprowadza się następujące zmiany:</t>
    </r>
  </si>
  <si>
    <t xml:space="preserve">Dział Rozdział </t>
  </si>
  <si>
    <t>§</t>
  </si>
  <si>
    <t>Treść</t>
  </si>
  <si>
    <t>Plan na 2021 r.</t>
  </si>
  <si>
    <t xml:space="preserve">Zwiększenie </t>
  </si>
  <si>
    <t>Zmniejszenie</t>
  </si>
  <si>
    <t>Plan po zmianach</t>
  </si>
  <si>
    <t>1.</t>
  </si>
  <si>
    <t>2.</t>
  </si>
  <si>
    <t>3.</t>
  </si>
  <si>
    <t>4.</t>
  </si>
  <si>
    <t>5.</t>
  </si>
  <si>
    <t>6.</t>
  </si>
  <si>
    <t>7.</t>
  </si>
  <si>
    <t>DOCHODY OGÓŁEM</t>
  </si>
  <si>
    <t xml:space="preserve"> </t>
  </si>
  <si>
    <t>Środki otrzymane z państwowych funduszy celowych na realizację zadań bieżących jednostek sektora finansów publicznych</t>
  </si>
  <si>
    <t>Dotacja celowa otrzymana z tytułu pomocy finansowej udzielanej między jednostkami samorządu terytorialnego na dofinansowanie własnych zadań inwestycyjnych i zakupów inwestycyjnych</t>
  </si>
  <si>
    <t>Dotacja celowa otrzymana z gminy na inwestycje i zakupy inwestycyjne realizowane na podstawie porozumień (umów) między jednostkami samorządu terytorialnego</t>
  </si>
  <si>
    <t>Dotacja celowa otrzymana z powiatu na inwestycje i zakupy inwestycyjne realizowane na podstawie porozumień (umów) między jednostkami samorządu terytorialnego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</si>
  <si>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</si>
  <si>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Udziały województw w podatkach stanowiących dochód budżetu państwa</t>
  </si>
  <si>
    <t>0020</t>
  </si>
  <si>
    <t>Wpływy z podatku dochodowego od osób prawnych</t>
  </si>
  <si>
    <t>Różne rozliczenia finansowe</t>
  </si>
  <si>
    <t>Wpłata środków finansowych z niewykorzystanych w terminie wydatków, które nie wygasają z upływem roku budżetowego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</si>
  <si>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</si>
  <si>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</si>
  <si>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</si>
  <si>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</si>
  <si>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</si>
  <si>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Dotacja celowa otrzymana z tytułu pomocy finansowej udzielanej między jednostkami samorządu terytorialnego na dofinansowanie własnych zadań bieżących</t>
  </si>
  <si>
    <t xml:space="preserve">Teatry </t>
  </si>
  <si>
    <t>Dotacja celowa otrzymana z gminy na zadania bieżące realizowane na podstawie porozumień (umów) między jednostkami samorządu terytorialnego</t>
  </si>
  <si>
    <t>Załącznik nr 4 do uchwały</t>
  </si>
  <si>
    <r>
      <t xml:space="preserve">W załączniku </t>
    </r>
    <r>
      <rPr>
        <b/>
        <sz val="10"/>
        <rFont val="Times New Roman"/>
        <family val="1"/>
        <charset val="238"/>
      </rPr>
      <t xml:space="preserve">nr 4 "Wydatki budżetu Województwa Kujawsko-Pomorskiego wg klasyfikacji budżetowej. Plan na 2021 rok" </t>
    </r>
    <r>
      <rPr>
        <sz val="10"/>
        <rFont val="Times New Roman"/>
        <family val="1"/>
        <charset val="238"/>
      </rPr>
      <t>do uchwały Nr XXVIII/395/20 Sejmiku Województwa Kujawsko-Pomorskiego z dnia 21 grudnia 2020 roku w sprawie budżetu województwa na rok 2021 (z późn. zm.), wprowadza się następujące zmiany:</t>
    </r>
  </si>
  <si>
    <t xml:space="preserve">Plan na </t>
  </si>
  <si>
    <t>Zwiększenie</t>
  </si>
  <si>
    <t>Plan po</t>
  </si>
  <si>
    <t xml:space="preserve">2021 r. </t>
  </si>
  <si>
    <t>zmianach</t>
  </si>
  <si>
    <t>WYDATKI OGÓŁEM</t>
  </si>
  <si>
    <t>Rozwój przedsiębiorczości</t>
  </si>
  <si>
    <t>Wydatki na zakup i objęcie akcji i udziałów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</si>
  <si>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</si>
  <si>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Wynagrodzenia osobowe pracowników</t>
  </si>
  <si>
    <t>Składki na ubezpieczenia społeczne</t>
  </si>
  <si>
    <t>Składki na Fundusz Pracy oraz Fundusz Solidarnościowy</t>
  </si>
  <si>
    <t>Wpłaty na PPK finansowane przez podmiot zatrudniający</t>
  </si>
  <si>
    <t>Dotacja celowa przekazana do samorządu województwa na zadania bieżące realizowane na podstawie porozumień (umów) między jednostkami samorządu terytorialnego</t>
  </si>
  <si>
    <t>Dotacja przedmiotowa z budżetu dla jednostek niezaliczanych do sektora finansów publicznych</t>
  </si>
  <si>
    <t>Wydatki na zakupy inwestycyjne jednostek budżetowych</t>
  </si>
  <si>
    <t>Dotacja celowa z budżetu na finansowanie lub dofinansowanie zadań zleconych do realizacji pozostałym jednostkom niezaliczanym do sektora finansów publicznych</t>
  </si>
  <si>
    <t>Dodatkowe wynagrodzenie roczne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</si>
  <si>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</si>
  <si>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</si>
  <si>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</si>
  <si>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</si>
  <si>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</si>
  <si>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Opłaty na rzecz budżetu państwa</t>
  </si>
  <si>
    <t>Wydatki inwestycyjne jednostek budżetowych</t>
  </si>
  <si>
    <t>Dopłaty w spółkach prawa handlowego</t>
  </si>
  <si>
    <t>Wynagrodzenia bezosobowe</t>
  </si>
  <si>
    <t>Zakup środków żywności</t>
  </si>
  <si>
    <t>Zakup środków dydaktycznych i książek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</si>
  <si>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</si>
  <si>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dla pozostałych jednostek zaliczanych do sektora finansów publicznych</t>
  </si>
  <si>
    <t>Dotacja celowa z budżetu na finansowanie lub dofinansowanie kosztów realizacji inwestycji i zakupów inwestycyjnych innych jednostek sektora finansów publicznych</t>
  </si>
  <si>
    <t>Dotacja podmiotowa z budżetu dla samorządowej instytucji kultury</t>
  </si>
  <si>
    <t>Dotacja celowa z budżetu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</si>
  <si>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</si>
  <si>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Załącznik nr 3 do uchwały</t>
  </si>
  <si>
    <t>Nr   /       /21 Sejmiku Województwa</t>
  </si>
  <si>
    <t xml:space="preserve">Załącznik nr 5 do uchwały </t>
  </si>
  <si>
    <t xml:space="preserve">Nr     /         /21 Sejmiku Województwa </t>
  </si>
  <si>
    <t>z dnia     .06.2021 r.</t>
  </si>
  <si>
    <r>
      <t xml:space="preserve">W załączniku nr 5 </t>
    </r>
    <r>
      <rPr>
        <b/>
        <sz val="10"/>
        <rFont val="Times New Roman CE"/>
        <charset val="238"/>
      </rPr>
      <t xml:space="preserve">"Wynik budżetowy i finansowy. Plan na 2021 rok" </t>
    </r>
    <r>
      <rPr>
        <sz val="10"/>
        <rFont val="Times New Roman CE"/>
        <charset val="238"/>
      </rPr>
      <t>do uchwały Nr XXVIII/395/20 Sejmiku Województwa Kujawsko-Pomorskiego z dnia 21 grudnia 2020 r. w sprawie budżetu województwa na rok 2021 (z późn.zm.), wprowadza się następujące zmiany:</t>
    </r>
  </si>
  <si>
    <t>Lp.</t>
  </si>
  <si>
    <t>Wyszczególnienie</t>
  </si>
  <si>
    <t xml:space="preserve">Zmiana </t>
  </si>
  <si>
    <t>Dochody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</si>
  <si>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</si>
  <si>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</si>
  <si>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</si>
  <si>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</si>
  <si>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</si>
  <si>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</si>
  <si>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</si>
  <si>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</si>
  <si>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</si>
  <si>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</si>
  <si>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</si>
  <si>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</si>
  <si>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</si>
  <si>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</si>
  <si>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</si>
  <si>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</si>
  <si>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</si>
  <si>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</si>
  <si>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</si>
  <si>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</si>
  <si>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</si>
  <si>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</si>
  <si>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</si>
  <si>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</si>
  <si>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</si>
  <si>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</si>
  <si>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</si>
  <si>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</si>
  <si>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</si>
  <si>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</si>
  <si>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</si>
  <si>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</si>
  <si>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</si>
  <si>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</si>
  <si>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</si>
  <si>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</si>
  <si>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</si>
  <si>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</si>
  <si>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</si>
  <si>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</si>
  <si>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</si>
  <si>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</si>
  <si>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</si>
  <si>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</si>
  <si>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</si>
  <si>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</si>
  <si>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</si>
  <si>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</si>
  <si>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</si>
  <si>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</si>
  <si>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</si>
  <si>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</si>
  <si>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</si>
  <si>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</si>
  <si>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</si>
  <si>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</si>
  <si>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</si>
  <si>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</si>
  <si>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</si>
  <si>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</si>
  <si>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</si>
  <si>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</si>
  <si>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</si>
  <si>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Załącznik nr 6 do uchwały </t>
  </si>
  <si>
    <r>
      <rPr>
        <sz val="16"/>
        <rFont val="Times New Roman CE"/>
        <charset val="238"/>
      </rPr>
      <t>W załączniku nr 6 pn</t>
    </r>
    <r>
      <rPr>
        <b/>
        <sz val="16"/>
        <rFont val="Times New Roman CE"/>
        <charset val="238"/>
      </rPr>
      <t xml:space="preserve">. "Projekty i działania realizowane w ramach Regionalnego Programu Operacyjnego Województwa Kujawsko-Pomorskiego 2014-2020.  Plan na 2021 rok" </t>
    </r>
    <r>
      <rPr>
        <sz val="16"/>
        <rFont val="Times New Roman CE"/>
        <charset val="238"/>
      </rPr>
      <t xml:space="preserve">do uchwały Nr XXVIII/395/20 Sejmiku Województwa Kujawsko-Pomorskiego z dnia 21 grudnia 2020 r. w sprawie budżetu województwa na rok 2021  (z późn. zm.) wprowadza się następujące zmiany: </t>
    </r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</si>
  <si>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</si>
  <si>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</si>
  <si>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</si>
  <si>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</si>
  <si>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</si>
  <si>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</si>
  <si>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</si>
  <si>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2020 r.</t>
  </si>
  <si>
    <t>Wydatki 2021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</si>
  <si>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</si>
  <si>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</si>
  <si>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</si>
  <si>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</si>
  <si>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</si>
  <si>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</si>
  <si>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</si>
  <si>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</si>
  <si>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</si>
  <si>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</si>
  <si>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</si>
  <si>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</si>
  <si>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</si>
  <si>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</si>
  <si>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</si>
  <si>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</si>
  <si>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</si>
  <si>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</si>
  <si>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</si>
  <si>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</si>
  <si>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</si>
  <si>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</si>
  <si>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</si>
  <si>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</si>
  <si>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</si>
  <si>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</si>
  <si>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</si>
  <si>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</si>
  <si>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</si>
  <si>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</si>
  <si>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Kujawy + Pomorze - promocja potencjału gospodarczego regionu - edycja II</t>
  </si>
  <si>
    <t>2021 - 2023</t>
  </si>
  <si>
    <t>Wsparcie umiędzynarodowienia kujawsko-pomorskich MŚP oraz promocja potencjału gospodarczego regionu</t>
  </si>
  <si>
    <t>2018 - 2022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</si>
  <si>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</si>
  <si>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</si>
  <si>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2019 - 2023</t>
  </si>
  <si>
    <t>1.6.2</t>
  </si>
  <si>
    <t>069</t>
  </si>
  <si>
    <t>Granty na kapitał obrotowy dla mikro i małych przedsiębiorstw w branży gastronomicznej oraz fitness w związku z wystąpieniem stanu epidemii COVID-19</t>
  </si>
  <si>
    <t>150
15011</t>
  </si>
  <si>
    <t>2020 - 2021</t>
  </si>
  <si>
    <t>078, 081, 101</t>
  </si>
  <si>
    <t>Infostrada Kujaw i Pomorza 2.0</t>
  </si>
  <si>
    <t>720
72095</t>
  </si>
  <si>
    <t>Budowa kujawsko-pomorskiego systemu udostępniania elektronicznej dokumentacji medycznej - I etap</t>
  </si>
  <si>
    <t>Budowa kujawsko-pomorskiego systemu udostępniania elektronicznej dokumentacji medycznej - II etap</t>
  </si>
  <si>
    <t>079, 101</t>
  </si>
  <si>
    <t>Kultura w zasięgu 2.0</t>
  </si>
  <si>
    <t>3.3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</si>
  <si>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</si>
  <si>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</si>
  <si>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</si>
  <si>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</si>
  <si>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2019 - 2021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</si>
  <si>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</si>
  <si>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</si>
  <si>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</si>
  <si>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 
w Bydgoszczy</t>
  </si>
  <si>
    <t>600                 60013</t>
  </si>
  <si>
    <t>2017 - 2021</t>
  </si>
  <si>
    <t>Ograniczenie emisji spalin poprzez budowę ścieżki rowerowo-pieszej przy drodze wojewódzkiej nr 269 od Powiatowego Centrum Kształcenia Zawodowego w Chodczu do istniejącego odcinka w granicach administracyjnych Miasta Chodecz</t>
  </si>
  <si>
    <t>600
60013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</si>
  <si>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</si>
  <si>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2016 - 2022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</si>
  <si>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</si>
  <si>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3.5.2</t>
  </si>
  <si>
    <t>Poprawa bezpieczeństwa i komfortu życia mieszkańców oraz wsparcie niskoemisyjnego transportu drogowego poprzez wybudowanie dróg rowerowych na terenie powiatu bydgoskiego (lider:  gmina Solec Kujawski, powiat bydgoski)</t>
  </si>
  <si>
    <t>2017 - 2023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</si>
  <si>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</si>
  <si>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017, 018</t>
  </si>
  <si>
    <t>Punkty selektywnego zbierania odpadów komunalnych w województwie kujawsko-pomorskim</t>
  </si>
  <si>
    <t>900
90026</t>
  </si>
  <si>
    <t>2018 - 2023</t>
  </si>
  <si>
    <t>4.4</t>
  </si>
  <si>
    <t>094, 095</t>
  </si>
  <si>
    <t>Kujawsko-Pomorskie - rozwój poprzez kulturę 2020</t>
  </si>
  <si>
    <t>921
92195</t>
  </si>
  <si>
    <t>Kujawsko-Pomorskie - rozwój poprzez kulturę 2019</t>
  </si>
  <si>
    <t>094</t>
  </si>
  <si>
    <t>Wsparcie opieki nad zabytkami Województwa Kujawsko-Pomorskiego w 2020 roku</t>
  </si>
  <si>
    <t>921
92120</t>
  </si>
  <si>
    <t>4.5</t>
  </si>
  <si>
    <t>085</t>
  </si>
  <si>
    <t xml:space="preserve">Poprawa różnorodności biologicznej poprzez zarybianie j. Gopło oraz rozbudowa obiektu o część ekspozycji przyrodniczo-historycznej </t>
  </si>
  <si>
    <t>NPT</t>
  </si>
  <si>
    <t>925
92502</t>
  </si>
  <si>
    <t>Budowa stacji terenowo-badawczej "Podmoście"</t>
  </si>
  <si>
    <t>ZPKnDW</t>
  </si>
  <si>
    <t>Modernizacja zagrody wiejskiej w Dusocinie na potrzeby ośrodka edukacji ekologicznej na terenie Parku Krajobrazowego "Góry Łosiowe" wraz z czynną ochroną przyrody na obszarze Natura 2000</t>
  </si>
  <si>
    <t>2018 - 2021</t>
  </si>
  <si>
    <t>034</t>
  </si>
  <si>
    <t>Rozbudowa drogi wojewódzkiej Nr 548 Stolno-Wąbrzeźno od km 0+005 do km 29+619 z wyłączeniem węzła autostradowego w m. Lisewo od km 14+144 do km 15+146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</si>
  <si>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</si>
  <si>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</si>
  <si>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2016 - 2021</t>
  </si>
  <si>
    <t>Przebudowa i rozbudowa drogi wojewódzkiej Nr 255 Pakość - Strzelno od km 0+005 do km 21+910, Etap I - Rozbudowa drogi wojewódzkiej Nr 255 na odc. od km 0+005 do km 2+220, dł. 2,215 km"</t>
  </si>
  <si>
    <t>Przebudowa wraz z rozbudową drogi wojewódzkiej Nr 254 Brzoza-Łabiszyn-Barcin-Mogilno-Wylatowo (odcinek Brzoza-Barcin). Odcinek I od km 0+069 do km 13+280</t>
  </si>
  <si>
    <t>Rozbudowa drogi wojewódzkiej Nr 270 Brześć Kujawski-Izbica Kujawska-Koło od km 0+000 do km 29+023 - Budowa obwodnicy m. Lubraniec</t>
  </si>
  <si>
    <t>2017 - 2022</t>
  </si>
  <si>
    <t>Przebudowa drogi wojewódzkiej Nr 249 wraz z uruchomieniem przeprawy promowej przez Wisłę na wysokości Solca Kujawskiego i Czarnowa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</si>
  <si>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</si>
  <si>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5.3</t>
  </si>
  <si>
    <t>026</t>
  </si>
  <si>
    <t>Opracowanie dokumentacji projektowej i przedprojektowej dla projektu pn. Budowa linii kolejowej na odcinku Trzciniec - Port Lotniczy Bydgoszcz - Solec Kujawski - etap I i II</t>
  </si>
  <si>
    <t>600                 60002</t>
  </si>
  <si>
    <t>6.1.1</t>
  </si>
  <si>
    <t>052, 053</t>
  </si>
  <si>
    <t>Doposażenie szpitali w województwie kujawsko-pomorskim związane z zapobieganiem, przeciwdzialaniem i zwalczaniem COVID-19</t>
  </si>
  <si>
    <t>851                 85195</t>
  </si>
  <si>
    <t>Doposażenie szpitali w województwie kujawsko-pomorskim w związku z zapobieganiem, przeciwdzialaniem i zwalczaniem COVID-19 - etap II</t>
  </si>
  <si>
    <t xml:space="preserve">ROPS                  w Toruniu </t>
  </si>
  <si>
    <t>6.3.1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</si>
  <si>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</si>
  <si>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</si>
  <si>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</si>
  <si>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</si>
  <si>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</si>
  <si>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</si>
  <si>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</si>
  <si>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</si>
  <si>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</si>
  <si>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6.5</t>
  </si>
  <si>
    <t>075, 093</t>
  </si>
  <si>
    <t>Utworzenie Centrum Czynnej Ochrony Przyrody Wdeckiego Parku Krajobrazowego</t>
  </si>
  <si>
    <t>WPK</t>
  </si>
  <si>
    <t>8.4.1</t>
  </si>
  <si>
    <t>105</t>
  </si>
  <si>
    <t>Aktywna Mama, aktywny Tata</t>
  </si>
  <si>
    <t>852                 85295</t>
  </si>
  <si>
    <t>8.6.1</t>
  </si>
  <si>
    <t>107</t>
  </si>
  <si>
    <t>Zdrowi i aktywni w pracy 2</t>
  </si>
  <si>
    <t>Zdrowiej w pracy i po pracy</t>
  </si>
  <si>
    <t>WUP 
w Toruniu</t>
  </si>
  <si>
    <t>853
85332</t>
  </si>
  <si>
    <t>2020 - 2022</t>
  </si>
  <si>
    <t>9.2.2</t>
  </si>
  <si>
    <t>109</t>
  </si>
  <si>
    <t>Wykluczenie - nie ma MOWy!</t>
  </si>
  <si>
    <t>852
85295</t>
  </si>
  <si>
    <t>Trampolina 2</t>
  </si>
  <si>
    <t>Trampolina 3</t>
  </si>
  <si>
    <t>9.3.1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</si>
  <si>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</si>
  <si>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</si>
  <si>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</si>
  <si>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Ograniczenie negatywnych skutków COVID-19  poprzez działania profilaktyczne i zabezpieczające skierowane do służb medycznych</t>
  </si>
  <si>
    <t>Organizacja ośrodków regeneracji w celu ograniczania negatywnych skutków Covid-19</t>
  </si>
  <si>
    <t>9.3.2</t>
  </si>
  <si>
    <t>Rodzina w Centrum 3</t>
  </si>
  <si>
    <t>855
85595</t>
  </si>
  <si>
    <t>2021 - 2022</t>
  </si>
  <si>
    <t>Pogodna jesień życia na Kujawach i Pomorzu - projekt rozwoju pomocy środowiskowej dla seniorów (Lider Kujawsko-Pomorski Oddział Okręgowy Polskiego Czerwonego Krzyża w Bydgoszczy)</t>
  </si>
  <si>
    <t>Kujawsko-Pomorska Teleopieka</t>
  </si>
  <si>
    <t>2020 - 2023</t>
  </si>
  <si>
    <t>Wsparcie osób starszych i kadry świadczącej usługi społeczne w zakresie przeciwdziałania rozprzestrzenianiu się COVID-19, łagodzenia jego skutków na terenie województwa kujawsko-pomorskiego</t>
  </si>
  <si>
    <t>853
85395</t>
  </si>
  <si>
    <t>Inicjatywy w zakresie usług społecznych realizowanych przez NGO</t>
  </si>
  <si>
    <t>9.4.2</t>
  </si>
  <si>
    <t>113</t>
  </si>
  <si>
    <t>Koordynacja rozwoju ekonomii społecznej w województwie kujawsko-pomorskim (II)</t>
  </si>
  <si>
    <t>10.2.1</t>
  </si>
  <si>
    <t>115</t>
  </si>
  <si>
    <t>Przedszkolaki - debeściaki - edukacja przedszkolna i terapia dla dzieci z niepełnosprawnościami</t>
  </si>
  <si>
    <t>801
80105</t>
  </si>
  <si>
    <t>10.2.2</t>
  </si>
  <si>
    <t>Region Nauk Ścisłych II - edukacja przyszłości</t>
  </si>
  <si>
    <t>801
80195</t>
  </si>
  <si>
    <t>Niebo nad Astrobazami - rozwijamy kompetencje kluczowe uczniów</t>
  </si>
  <si>
    <t>10.2.3</t>
  </si>
  <si>
    <t>118</t>
  </si>
  <si>
    <t>Mistrz zawodu - moja niepełnosprawność na rynku pracy</t>
  </si>
  <si>
    <t>801
80134</t>
  </si>
  <si>
    <t>Zdobądź z nami doświadczenie - to cos więcej niż uczenie</t>
  </si>
  <si>
    <t xml:space="preserve">Urząd Marszałkowski w Toruniu/ KPSOSW nr 2 w Bydgoszczy 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</si>
  <si>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</si>
  <si>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</si>
  <si>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</si>
  <si>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</si>
  <si>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</si>
  <si>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</si>
  <si>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</si>
  <si>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</si>
  <si>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</si>
  <si>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</si>
  <si>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</si>
  <si>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</si>
  <si>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</si>
  <si>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</si>
  <si>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</si>
  <si>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750
75018</t>
  </si>
  <si>
    <t>Opracowanie dokumentacji projektowej dla strategicznych zadań w szpitalach wojewódzkich dla nowego okresu programowania 2021-2027</t>
  </si>
  <si>
    <t>851
85111</t>
  </si>
  <si>
    <t>Wykonanie dokumentacji projektowej dla zadania inwestycyjnego pn. "Remont, przebudowa i rozbudowa Filharmonii Pomorskiej im. Ignacego Jana Paderewskiego w Bydgoszczy"</t>
  </si>
  <si>
    <t>921
92108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</si>
  <si>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</si>
  <si>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</si>
  <si>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</si>
  <si>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</si>
  <si>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</si>
  <si>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</si>
  <si>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 xml:space="preserve">Efektywność energetyczna w sektorze publicznym i mieszkaniowym </t>
  </si>
  <si>
    <t>900
90095</t>
  </si>
  <si>
    <t>X</t>
  </si>
  <si>
    <t>043, 044, 090</t>
  </si>
  <si>
    <t>Zrównoważona mobilność miejska i promowanie strategii niskoemisyjnych</t>
  </si>
  <si>
    <t>900
90015</t>
  </si>
  <si>
    <t>3.5.1</t>
  </si>
  <si>
    <t>Efektywność energetyczna w sektorze publicznym i mieszkaniowym w ramach ZIT</t>
  </si>
  <si>
    <t>088</t>
  </si>
  <si>
    <t>Wzmocnienie systemów ratownictwa chemiczno-ekologicznego i służb ratowniczych</t>
  </si>
  <si>
    <t>754
75412</t>
  </si>
  <si>
    <t>4.3</t>
  </si>
  <si>
    <t>020, 021, 022, 023</t>
  </si>
  <si>
    <t>Rozwój infrastruktury wodno-ściekowej</t>
  </si>
  <si>
    <t>900
90001</t>
  </si>
  <si>
    <t>053</t>
  </si>
  <si>
    <t>Inwestycje w infrastrukturę zdrowotną</t>
  </si>
  <si>
    <t>851
85111
85117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</si>
  <si>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</si>
  <si>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</si>
  <si>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</si>
  <si>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</si>
  <si>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</si>
  <si>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</si>
  <si>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052, 080, 101</t>
  </si>
  <si>
    <t>Inwestycje w infrastrukturę przedszkolną</t>
  </si>
  <si>
    <t>801
80104</t>
  </si>
  <si>
    <t>049, 050, 080, 101</t>
  </si>
  <si>
    <t>Inwestycje w infrastrukturę kształcenia zawodowego</t>
  </si>
  <si>
    <t>801
80115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</si>
  <si>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</si>
  <si>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</si>
  <si>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</si>
  <si>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</si>
  <si>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</si>
  <si>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8.2.1</t>
  </si>
  <si>
    <t>Wsparcie na rzecz podniesienia poziomu aktywności zawodowej osób pozostających bez zatrudnienia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</si>
  <si>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</si>
  <si>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</si>
  <si>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</si>
  <si>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</si>
  <si>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</si>
  <si>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</si>
  <si>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Wsparcie zatrudnienia osób pełniących funkcje opiekuńcze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</si>
  <si>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</si>
  <si>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</si>
  <si>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</si>
  <si>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</si>
  <si>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</si>
  <si>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</si>
  <si>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</si>
  <si>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</si>
  <si>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Rozwój usług opiekuńczych w ramach ZIT</t>
  </si>
  <si>
    <t>852            85228</t>
  </si>
  <si>
    <t>Aktywne włączenie społeczne młodzieży objętej sądowym środkiem wychowawczym lub poprawczym</t>
  </si>
  <si>
    <t>852            85295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</si>
  <si>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</si>
  <si>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</si>
  <si>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</si>
  <si>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</si>
  <si>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</si>
  <si>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</si>
  <si>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</si>
  <si>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</si>
  <si>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</si>
  <si>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</si>
  <si>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</si>
  <si>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Kształcenie zawodowe</t>
  </si>
  <si>
    <t>7+523:537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</si>
  <si>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</si>
  <si>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</si>
  <si>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</si>
  <si>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</si>
  <si>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</si>
  <si>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Plan przed zmianą</t>
  </si>
  <si>
    <t>Zmiana</t>
  </si>
  <si>
    <t>Plan po zmianie</t>
  </si>
  <si>
    <t>Nr     /     /21 Sejmiku Województwa</t>
  </si>
  <si>
    <t>Nr    /      /21 Sejmiku Województwa</t>
  </si>
  <si>
    <r>
      <t xml:space="preserve">W załączniku nr 7 pn. </t>
    </r>
    <r>
      <rPr>
        <b/>
        <sz val="16"/>
        <rFont val="Times New Roman CE"/>
        <charset val="238"/>
      </rPr>
      <t xml:space="preserve">"Pozostałe projekty i działania realizowane ze środków zagranicznych. Plan na 2021 rok" </t>
    </r>
    <r>
      <rPr>
        <sz val="16"/>
        <rFont val="Times New Roman CE"/>
        <charset val="238"/>
      </rPr>
      <t xml:space="preserve">do uchwały XXVIII/395/20 Sejmiku Województwa Kujawsko-Pomorskiego z dnia 21 grudnia 2020 r. w sprawie budżetu województwa na rok 2021  (z późn. zm.) wprowadza się następujące zmiany: </t>
    </r>
  </si>
  <si>
    <t xml:space="preserve">Program/ Działanie </t>
  </si>
  <si>
    <t>Nazwa Projektu</t>
  </si>
  <si>
    <t>Wydatki całkowite
 w tym:</t>
  </si>
  <si>
    <t>Przewidywane wykonanie do końca 2020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</si>
  <si>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</si>
  <si>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</si>
  <si>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</si>
  <si>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</si>
  <si>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</si>
  <si>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</si>
  <si>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2014 - 2021</t>
  </si>
  <si>
    <t>Wsparcie gmin w przygotowaniu i koordynacji programów rewitalizacji</t>
  </si>
  <si>
    <t>2019 - 2022</t>
  </si>
  <si>
    <t>PO WER
Działanie 1.2</t>
  </si>
  <si>
    <t>Wsparcie osób młodych na regionalnym rynku pracy - projekty konkursowe</t>
  </si>
  <si>
    <t>WUP
w Toruniu</t>
  </si>
  <si>
    <t>PO WER
Działanie 2.5</t>
  </si>
  <si>
    <t>Kooperacja - efektywna i skuteczna</t>
  </si>
  <si>
    <t>ROPS
w Toruniu</t>
  </si>
  <si>
    <t>PO WER
Działanie 2.14</t>
  </si>
  <si>
    <t>Lokalny Ośrodek Wiedzy i Edukacji w K-P SOSW Nr 1 w Bydgoszczy</t>
  </si>
  <si>
    <t>KPSOSW Nr 1 w Bydgoszczy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</si>
  <si>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</si>
  <si>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</si>
  <si>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</si>
  <si>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</si>
  <si>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2015 - 2022</t>
  </si>
  <si>
    <t>PO IŚ
Działanie 8.1</t>
  </si>
  <si>
    <t>Młyn Kultury - Przebudowa, rozbudowa i zmiana sposobu użytkowania budynku magazynowego przy ul. Kościuszki 77 w Toruniu - na budynek o funkcji użyteczności publicznej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</si>
  <si>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</si>
  <si>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</si>
  <si>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</si>
  <si>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</si>
  <si>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</si>
  <si>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</si>
  <si>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</si>
  <si>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</si>
  <si>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</si>
  <si>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ERASMUS+</t>
  </si>
  <si>
    <t>Podróż ku niezależności (A journey to independence)</t>
  </si>
  <si>
    <t>INTERREG (Europa)</t>
  </si>
  <si>
    <t>Digitourism</t>
  </si>
  <si>
    <t>150
15095</t>
  </si>
  <si>
    <t>INTERREG (Region Morza Bałtyckiego)</t>
  </si>
  <si>
    <t>EMMA Extension</t>
  </si>
  <si>
    <t>600
60095</t>
  </si>
  <si>
    <t>ECO-CICLE</t>
  </si>
  <si>
    <t>630
63095</t>
  </si>
  <si>
    <t>Cult-CreaTE</t>
  </si>
  <si>
    <t>ThreeT</t>
  </si>
  <si>
    <t>Combine</t>
  </si>
  <si>
    <t>Załącznik nr 7 do uchwały</t>
  </si>
  <si>
    <t>Załącznik nr 8 do uchwały</t>
  </si>
  <si>
    <t>Nr     /         /21  Sejmiku Województwa</t>
  </si>
  <si>
    <t xml:space="preserve">                                                                                                                             </t>
  </si>
  <si>
    <t xml:space="preserve">Sejmiku Województwa z dnia   .06.2021 r.     </t>
  </si>
  <si>
    <r>
      <t>W załączniku nr 9</t>
    </r>
    <r>
      <rPr>
        <b/>
        <sz val="12"/>
        <rFont val="Times New Roman CE"/>
        <charset val="238"/>
      </rPr>
      <t xml:space="preserve"> "Dotacje udzielane z budżetu Województwa Kujawsko - Pomorskiego. Plan na 2021 rok"</t>
    </r>
    <r>
      <rPr>
        <sz val="12"/>
        <rFont val="Times New Roman CE"/>
        <charset val="238"/>
      </rPr>
      <t xml:space="preserve"> do uchwały XXVIII/395/20 Sejmiku Województwa Kujawsko-Pomorskiego z dnia 21 grudnia 2020 r. w sprawie budżetu województwa na rok 2021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</si>
  <si>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</si>
  <si>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</si>
  <si>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</si>
  <si>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</si>
  <si>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</si>
  <si>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</si>
  <si>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</si>
  <si>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</si>
  <si>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Dotowanie kolejowych przewozów pasażerskich 2020-2035</t>
  </si>
  <si>
    <t>Dotowanie kolejowych przewozów pasażerskich 2020-2021</t>
  </si>
  <si>
    <t>Dotowanie kolejowych przewozów pasażerskich 2021-2030 (Pakiet A)</t>
  </si>
  <si>
    <t>Dotowanie kolejowych przewozów pasażerskich 2021-2030 (Pakiet B1)</t>
  </si>
  <si>
    <t>Dotowanie kolejowych przewozów pasażerskich 2021-2030 (Pakiet B2)</t>
  </si>
  <si>
    <t>Dotowanie kolejowych przewozów pasażerskich 2021-2030 (Pakiet C)</t>
  </si>
  <si>
    <t>Dotowanie kolejowych przewozów pasażerskich 2021-2030 (Pakiet D)</t>
  </si>
  <si>
    <t>Dotowanie kolejowych przewozów pasażerskich 2021-2030 (Pakiet E)</t>
  </si>
  <si>
    <t>Dotowanie kolejowych przewozów pasażerskich 2021-2030 (Pakiet F)</t>
  </si>
  <si>
    <t>Dotowanie kolejowych przewozów pasażerskich 2021-2030 (Pakiet G)</t>
  </si>
  <si>
    <t>Dotowanie kolejowych przewozów pasażerskich 2021-2030 (Pakiet H)</t>
  </si>
  <si>
    <t>Dotowanie kolejowych przewozów pasażerskich 2021-2030 (Pakiet I)</t>
  </si>
  <si>
    <t xml:space="preserve"> II DOTACJE PODMIOTOWE</t>
  </si>
  <si>
    <t>Dotacje dla instytucji kultury</t>
  </si>
  <si>
    <t>Teatr im. W. Horzycy w Toruniu</t>
  </si>
  <si>
    <t xml:space="preserve">Działalność statutowa  </t>
  </si>
  <si>
    <t>Filharmonia Pomorska w Bydgoszczy</t>
  </si>
  <si>
    <t>Zadanie remontowe - Remont dachu</t>
  </si>
  <si>
    <t>Wojewódzki Ośrodek Animacji Kultury w Toruniu</t>
  </si>
  <si>
    <t>Kujawsko-Pomorskie Centrum Dziedzictwa w Toruniu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</si>
  <si>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</si>
  <si>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</si>
  <si>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</si>
  <si>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Prace zabezpieczające budynek XIX - wiecznego pałacu</t>
  </si>
  <si>
    <t>Galeria Sztuki "Wozownia" w Toruniu</t>
  </si>
  <si>
    <t>Galeria i Ośrodek Plastycznej Twórczości Dziecka w Torunia</t>
  </si>
  <si>
    <t>Centrum Sztuki Współczesnej "Znaki Czasu"</t>
  </si>
  <si>
    <t>q</t>
  </si>
  <si>
    <t>92113</t>
  </si>
  <si>
    <t xml:space="preserve"> - ze środków Miasta Bydgoszczy</t>
  </si>
  <si>
    <t xml:space="preserve"> - ze środków Miasta Torunia</t>
  </si>
  <si>
    <t>Zadanie remontowe - Naprawa instalacji wodociągowej</t>
  </si>
  <si>
    <t>Zadanie remontowe - Renowacja elewacji budynku pofortecznego</t>
  </si>
  <si>
    <t>Zadanie remontowe - Remonty</t>
  </si>
  <si>
    <t>Zadanie remontowe - Wymiana pokrycia dachowego na zabytkowym spichrzu przy ul. Bulwary 9 we Włocławku</t>
  </si>
  <si>
    <t>Zadanie remontowe - Muzeum Ziemi Kujawskiej i Dobrzyńskiej we Włocławku - remonty</t>
  </si>
  <si>
    <t xml:space="preserve">Zadanie remontowe - Wymiana pokryć dachowych, podwalin i polep w skansenie w Kłóbce
</t>
  </si>
  <si>
    <t>Muzeum Archeologiczne w Biskupinie</t>
  </si>
  <si>
    <t xml:space="preserve"> III DOTACJE CELOWE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</si>
  <si>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</si>
  <si>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</si>
  <si>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dla rowerów na terenie powiatu bydgoskiego (lider: gmina Solec Kujawski, powiat bydgoski)</t>
  </si>
  <si>
    <t>75412</t>
  </si>
  <si>
    <t>80104</t>
  </si>
  <si>
    <t>80115</t>
  </si>
  <si>
    <t>85117</t>
  </si>
  <si>
    <t>85149</t>
  </si>
  <si>
    <t>Regionalne programy polityki zdrowotnej i profilaktyczne</t>
  </si>
  <si>
    <t>85195</t>
  </si>
  <si>
    <t>Doposażenie szpitali w województwie kujawsko-pomorskim związane z zapobieganiem, przeciwdziałaniem i zwalczaniem COVID-19</t>
  </si>
  <si>
    <t>Doposażenie szpitali w województwie kujawsko-pomorskim związane z zapobieganiem, przeciwdziałaniem i zwalczaniem COVID-19 - etap II</t>
  </si>
  <si>
    <t>Wsparcie na rzecz wydłużenia aktywności zawodowej mieszkańców</t>
  </si>
  <si>
    <t>Ograniczenie negatywnych skutków COVID-19 poprzez działania profilaktyczne i zabezpieczające skierowane do służb medycznych</t>
  </si>
  <si>
    <t>85203</t>
  </si>
  <si>
    <t>85228</t>
  </si>
  <si>
    <t>85295</t>
  </si>
  <si>
    <t>85395</t>
  </si>
  <si>
    <t>Inicjatywy w zakresie usług społecznych realizowane przez NGO</t>
  </si>
  <si>
    <t>85595</t>
  </si>
  <si>
    <t>90001</t>
  </si>
  <si>
    <t>90015</t>
  </si>
  <si>
    <t>90026</t>
  </si>
  <si>
    <t>Efektywność energetyczna w sektorze publicznym i mieszkaniowym</t>
  </si>
  <si>
    <t>92120</t>
  </si>
  <si>
    <t xml:space="preserve"> Na zadania realizowane w ramach Programu Operacyjnego Wiedza Edukacja i Rozwój</t>
  </si>
  <si>
    <t>2.5</t>
  </si>
  <si>
    <t>85332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</si>
  <si>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</si>
  <si>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</si>
  <si>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</si>
  <si>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</si>
  <si>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Times New Roman CE"/>
        <charset val="238"/>
      </rPr>
      <t>pomoc finansowa dla gmin</t>
    </r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</si>
  <si>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</si>
  <si>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</si>
  <si>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</si>
  <si>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</si>
  <si>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</si>
  <si>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</si>
  <si>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</si>
  <si>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Times New Roman CE"/>
        <charset val="238"/>
      </rPr>
      <t>(IW)</t>
    </r>
  </si>
  <si>
    <r>
      <rPr>
        <b/>
        <sz val="10"/>
        <color indexed="8"/>
        <rFont val="Times New Roman CE"/>
        <charset val="238"/>
      </rPr>
      <t>zmiana nazwy z:</t>
    </r>
    <r>
      <rPr>
        <sz val="10"/>
        <color indexed="8"/>
        <rFont val="Times New Roman CE"/>
        <charset val="238"/>
      </rPr>
      <t xml:space="preserve">
Budowa ciągu pieszo-rowerowego wzdłuż drogi wojewódzkiej Nr 534, tj. od skrzyżowania z drogą powiatową Nr 2205C Długie-Rakowo-Cetki do skrzyżowania z ul. Kościuszki w Rypinie - opracowanie dokumentacji technicznej</t>
    </r>
    <r>
      <rPr>
        <b/>
        <i/>
        <sz val="10"/>
        <color indexed="8"/>
        <rFont val="Times New Roman CE"/>
        <charset val="238"/>
      </rPr>
      <t xml:space="preserve"> (IW)
</t>
    </r>
    <r>
      <rPr>
        <b/>
        <sz val="10"/>
        <color indexed="8"/>
        <rFont val="Times New Roman CE"/>
        <charset val="238"/>
      </rPr>
      <t>na:</t>
    </r>
    <r>
      <rPr>
        <b/>
        <i/>
        <sz val="10"/>
        <color indexed="8"/>
        <rFont val="Times New Roman CE"/>
        <charset val="238"/>
      </rPr>
      <t xml:space="preserve">
</t>
    </r>
    <r>
      <rPr>
        <sz val="10"/>
        <color indexed="8"/>
        <rFont val="Times New Roman CE"/>
        <charset val="238"/>
      </rPr>
      <t>Budowa ciągu pieszo-rowerowego wzdłuż drogi wojewódzkiej Nr 534 od miejscowości Ostrowite do skrzyżowania z ul. Kościuszki w Rypinie - opracowanie dokumentacji technicznej</t>
    </r>
    <r>
      <rPr>
        <b/>
        <i/>
        <sz val="10"/>
        <color indexed="8"/>
        <rFont val="Times New Roman CE"/>
        <charset val="238"/>
      </rPr>
      <t xml:space="preserve"> (IW)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</si>
  <si>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charset val="238"/>
      </rPr>
      <t>wsparcie finansowe (IW)</t>
    </r>
  </si>
  <si>
    <r>
      <rPr>
        <sz val="10"/>
        <color indexed="8"/>
        <rFont val="Times New Roman CE"/>
        <charset val="238"/>
      </rPr>
      <t xml:space="preserve">Budowa parkingu przy Operze Nova w Bydgoszczy </t>
    </r>
    <r>
      <rPr>
        <b/>
        <i/>
        <sz val="10"/>
        <color indexed="8"/>
        <rFont val="Times New Roman CE"/>
        <charset val="238"/>
      </rPr>
      <t>(IW)</t>
    </r>
    <r>
      <rPr>
        <i/>
        <sz val="10"/>
        <color indexed="8"/>
        <rFont val="Times New Roman CE"/>
        <charset val="238"/>
      </rPr>
      <t xml:space="preserve">
Opera NOVA w Bydgoszczy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</si>
  <si>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</si>
  <si>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charset val="238"/>
      </rPr>
      <t xml:space="preserve"> (GRANTY)</t>
    </r>
  </si>
  <si>
    <t>Laboratorium myśli św. Jana Pawła II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</si>
  <si>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</si>
  <si>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</si>
  <si>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Rozbudowa instalacji tlenowej w Wojewódzkim Szpitalu Zespolonym im. L. Rydygiera w Toruniu
</t>
    </r>
    <r>
      <rPr>
        <i/>
        <sz val="10"/>
        <color indexed="8"/>
        <rFont val="Times New Roman CE"/>
        <charset val="238"/>
      </rPr>
      <t xml:space="preserve">Wojewódzki Szpital Zespolony im. L. Rydygiera w Toruniu
</t>
    </r>
  </si>
  <si>
    <r>
      <t xml:space="preserve">WOMP w Bydgoszczy - Remont holu głównego i rejestracji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</si>
  <si>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klatki schodowej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</si>
  <si>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WOMP w Bydgoszczy - Remont pomieszczeń i korytarzy
</t>
    </r>
    <r>
      <rPr>
        <i/>
        <sz val="10"/>
        <color indexed="8"/>
        <rFont val="Times New Roman CE"/>
        <charset val="238"/>
      </rPr>
      <t>Wojewódzki Ośrodek Medycyny Pracy w Bydgoszczy</t>
    </r>
  </si>
  <si>
    <r>
      <t xml:space="preserve">Wykonanie awaryjnego przyłącza wodociągowego do Przychodni Medycyny Pracy przy Szosie Bydgoskiej 46
</t>
    </r>
    <r>
      <rPr>
        <i/>
        <sz val="10"/>
        <color indexed="8"/>
        <rFont val="Times New Roman CE"/>
        <charset val="238"/>
      </rPr>
      <t>Wojewódzki Ośrodek Medycyny Pracy w Toruniu</t>
    </r>
  </si>
  <si>
    <r>
      <t>Ochrona i promocja zdrowia -</t>
    </r>
    <r>
      <rPr>
        <b/>
        <i/>
        <sz val="10"/>
        <color indexed="8"/>
        <rFont val="Times New Roman CE"/>
        <charset val="238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</si>
  <si>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</si>
  <si>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</si>
  <si>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</si>
  <si>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</si>
  <si>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</si>
  <si>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</si>
  <si>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Programy edukacyjno-profilaktyczne 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</si>
  <si>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Modernizacja sieci teleinformatycznej WOTUiW w Toruniu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</si>
  <si>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r>
      <t xml:space="preserve">Remont dachu w budynku górnym Oddziału Odwykowego Całodobowego przy ul. Włocławskiej 233
</t>
    </r>
    <r>
      <rPr>
        <i/>
        <sz val="10"/>
        <color indexed="8"/>
        <rFont val="Times New Roman CE"/>
        <charset val="238"/>
      </rPr>
      <t>Wojewódzki Ośrodek Terapii Uzależnień i Współuzależnienia w Toruniu</t>
    </r>
  </si>
  <si>
    <t>85205</t>
  </si>
  <si>
    <t xml:space="preserve">Wojewódzki Program przeciwdziałania przemocy w rodzinie dla województwa kujawsko-pomorskiego do roku 2026 </t>
  </si>
  <si>
    <t>85311</t>
  </si>
  <si>
    <t xml:space="preserve">Dofinansowanie kosztów działalności Zakładów Aktywności Zawodowej 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</si>
  <si>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charset val="238"/>
      </rPr>
      <t xml:space="preserve"> (GRANTY)</t>
    </r>
  </si>
  <si>
    <t>85415</t>
  </si>
  <si>
    <t xml:space="preserve">Stypendia dla uczniów </t>
  </si>
  <si>
    <t>85495</t>
  </si>
  <si>
    <t>Remont nowej siedziby ZHR w Toruniu</t>
  </si>
  <si>
    <t>85509</t>
  </si>
  <si>
    <r>
      <t>Wspieranie działań z zakresu opieki adopcyjno-wychowawczej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</si>
  <si>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</si>
  <si>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</si>
  <si>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</si>
  <si>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</si>
  <si>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</si>
  <si>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 xml:space="preserve">Pomoc finansowa dla Powiatu Mogileńskiego na usunięcie składowiska odpadów - </t>
    </r>
    <r>
      <rPr>
        <b/>
        <i/>
        <sz val="10"/>
        <color indexed="8"/>
        <rFont val="Times New Roman CE"/>
        <charset val="238"/>
      </rPr>
      <t>wsparcie finansowe</t>
    </r>
  </si>
  <si>
    <r>
      <t xml:space="preserve">Bydgoski Festiwal Operowy
</t>
    </r>
    <r>
      <rPr>
        <i/>
        <sz val="10"/>
        <color indexed="8"/>
        <rFont val="Times New Roman CE"/>
        <charset val="238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</si>
  <si>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</si>
  <si>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Wykonanie popiersia maestro Jerzego Maksymiuka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</si>
  <si>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</si>
  <si>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</si>
  <si>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rPr>
        <sz val="10"/>
        <color indexed="8"/>
        <rFont val="Times New Roman CE"/>
        <charset val="238"/>
      </rPr>
      <t>Zakup sprzętu komputerowego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</si>
  <si>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Przebudowa stropodachu nad salą Manru w budynku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</si>
  <si>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>Wymiana oświetlenia oraz wystroju foyer w gmachu Opery Nova w Bydgoszczy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</si>
  <si>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rPr>
        <sz val="10"/>
        <color indexed="8"/>
        <rFont val="Times New Roman CE"/>
        <charset val="238"/>
      </rPr>
      <t xml:space="preserve">Rozbudowa Opery Nova w Bydgoszczy o IV krąg </t>
    </r>
    <r>
      <rPr>
        <b/>
        <i/>
        <sz val="10"/>
        <color indexed="8"/>
        <rFont val="Times New Roman CE"/>
        <charset val="238"/>
      </rPr>
      <t>(IW)</t>
    </r>
    <r>
      <rPr>
        <i/>
        <sz val="10"/>
        <color indexed="8"/>
        <rFont val="Times New Roman CE"/>
        <charset val="238"/>
      </rPr>
      <t xml:space="preserve">
Opera NOVA w Bydgoszczy</t>
    </r>
  </si>
  <si>
    <r>
      <t xml:space="preserve">Edukacja kulturalna - Młody Teatr 
</t>
    </r>
    <r>
      <rPr>
        <i/>
        <sz val="10"/>
        <color indexed="8"/>
        <rFont val="Times New Roman CE"/>
        <charset val="238"/>
      </rPr>
      <t>Teatr im. W. Horzycy w Toruniu</t>
    </r>
  </si>
  <si>
    <r>
      <t>Przebudowa i remont konserwatorski budynku Pałacu Dąmbskich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</si>
  <si>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charset val="238"/>
      </rPr>
      <t xml:space="preserve"> 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</si>
  <si>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</si>
  <si>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Rozbudowa Kujawskiego Centrum Muzyki w miejscowości Wieniec koło Włocławka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</si>
  <si>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Rozszerzenie funkcjonalności teatralno-koncertowej poprzez rozbudowę i doposażenie dawnego budynku kinoteatru Grunwald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</si>
  <si>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Kujawsko-Pomorski Teatr Muzyczny w Toruniu - zakup wyposażenia
</t>
    </r>
    <r>
      <rPr>
        <i/>
        <sz val="10"/>
        <color indexed="8"/>
        <rFont val="Times New Roman CE"/>
        <charset val="238"/>
      </rPr>
      <t>Kujawsko-Pomorski Teatr Muzyczny w Toruniu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</si>
  <si>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Filharmonia Pomorska w Bydgoszczy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</si>
  <si>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</si>
  <si>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Ogólnopolski Konkurs Malarski im. Teofila Ociepki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</si>
  <si>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Kujawsko-Pomorskie Centrum Kultury w Bydgoszczy - Zakup wyposażenia
</t>
    </r>
    <r>
      <rPr>
        <i/>
        <sz val="10"/>
        <color indexed="8"/>
        <rFont val="Times New Roman CE"/>
        <charset val="238"/>
      </rPr>
      <t>Kujawsko-Pomorskie Centrum Kultury w Bydgoszczy</t>
    </r>
  </si>
  <si>
    <r>
      <t xml:space="preserve">Ośrodek Chopinowski w Szafarni - zakupy inwestycyjne
</t>
    </r>
    <r>
      <rPr>
        <i/>
        <sz val="10"/>
        <color indexed="8"/>
        <rFont val="Times New Roman CE"/>
        <charset val="238"/>
      </rPr>
      <t>Ośrodek Chopinowski w Szafarni</t>
    </r>
  </si>
  <si>
    <r>
      <t xml:space="preserve">Pałac Lubostroń w Lubostroniu - zakup wyposażenia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</si>
  <si>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Zakupy inwestycyjne dla Pałacu Lubostroń w Lubostroniu
</t>
    </r>
    <r>
      <rPr>
        <i/>
        <sz val="10"/>
        <color indexed="8"/>
        <rFont val="Times New Roman CE"/>
        <charset val="238"/>
      </rPr>
      <t>Pałac Lubostroń w Lubostroniu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</si>
  <si>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</si>
  <si>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Międzynarodowe Biennale Grafiki Dzieci i Młodzieży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</si>
  <si>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Edukacja kulturalna - oTWÓRZ DOM!
</t>
    </r>
    <r>
      <rPr>
        <i/>
        <sz val="10"/>
        <color indexed="8"/>
        <rFont val="Times New Roman CE"/>
        <charset val="238"/>
      </rPr>
      <t>Galeria i Ośrodek Plastycznej Twórczości Dziecka w Toruniu</t>
    </r>
  </si>
  <si>
    <r>
      <t xml:space="preserve">Wydanie tomów 20-22 punktowanego czasopisma naukowego "Folia Toruniensia"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  <r>
      <rPr>
        <sz val="10"/>
        <color indexed="8"/>
        <rFont val="Times New Roman CE"/>
        <family val="1"/>
        <charset val="238"/>
      </rPr>
      <t xml:space="preserve">
</t>
    </r>
  </si>
  <si>
    <r>
      <t xml:space="preserve">Wojewódzka Biblioteka Publiczna - Książnica Kopernikańska w Toruniu - zakupy inwestycyjne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</si>
  <si>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Wspieranie działań muzealnych - W trosce o dziedzictwo powierzone nam w opiekę. Doposażenie pracowni konserwatorskiej w Książnicy Kopernikańskiej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</si>
  <si>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Partnerstwo dla książki - Z klasyką do współczesności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</si>
  <si>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Dyskusyjne Kluby Książki na Kujawach i Pomorzu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</si>
  <si>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Narodowy Program Rozwoju Czytelnictwa - Zakup nowości wydawniczych dla bibliotek publicznych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</si>
  <si>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Zakup wyposażenia na potrzeby Mediateki przy ul. Fałata 35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</si>
  <si>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Infrastruktura kultury - Wzmocnienie i unowocześnienie infrastruktury Ośrodka Czytelnictwa Chorych i Niepełnosprawnych 
</t>
    </r>
    <r>
      <rPr>
        <i/>
        <sz val="10"/>
        <color indexed="8"/>
        <rFont val="Times New Roman CE"/>
        <charset val="238"/>
      </rPr>
      <t>Wojewódzka Biblioteka Publiczna - Książnica Kopernikańska w Toruniu</t>
    </r>
  </si>
  <si>
    <r>
      <t xml:space="preserve">Modernizacja systemu alarmowego w budynkach Biblioteki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</si>
  <si>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Dyskusyjne Kluby Książki podregionu bydgoskiego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</si>
  <si>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Gry planszowe i VR w Bibliotece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</si>
  <si>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Bydgoszcz czyta bez końca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</si>
  <si>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Biblioteka czynna całą dobę - książkomat na osiedlu Miedzyń - Prądy (Program BBO)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</si>
  <si>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r>
      <t xml:space="preserve">Narodowy Program Rozwoju Czytelnictwa - Zakup nowości wydawniczych dla bibliotek publicznych
</t>
    </r>
    <r>
      <rPr>
        <i/>
        <sz val="10"/>
        <color indexed="8"/>
        <rFont val="Times New Roman CE"/>
        <charset val="238"/>
      </rPr>
      <t>Wojewódzka i Miejska Biblioteka Publiczna w Bydgoszczy</t>
    </r>
  </si>
  <si>
    <t>Dofinansowanie Muzeum Ziemi Pałuckiej w Żninie - wsparcie finansowe</t>
  </si>
  <si>
    <r>
      <t xml:space="preserve">Wymiana pokryć dachowych, podwalin i polep w skansenie w Kłóbce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</si>
  <si>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Zabezpieczenie mechaniczne i monitoring wizyjny budynków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</si>
  <si>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Rewaloryzacja i adaptacja zabytkowego spichlerza dworskiego w Kłóbce </t>
    </r>
    <r>
      <rPr>
        <b/>
        <i/>
        <sz val="10"/>
        <color indexed="8"/>
        <rFont val="Times New Roman CE"/>
        <charset val="238"/>
      </rPr>
      <t>(IW)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</si>
  <si>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Wspieranie działań muzealnych - Konserwacja narzędzi i maszyn rolniczych do wystawy stałej w Kujawsko-Dobrzyńskim Parku Etnograficznym w Kłóbce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</si>
  <si>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Kultura ludowa i tradycyjna - Haft kujawski ginie. Nauczmy, ocalmy!
</t>
    </r>
    <r>
      <rPr>
        <i/>
        <sz val="10"/>
        <color indexed="8"/>
        <rFont val="Times New Roman CE"/>
        <charset val="238"/>
      </rPr>
      <t>Muzeum Ziemi Kujawskiej i Dobrzyńskiej we Włocławku</t>
    </r>
  </si>
  <si>
    <r>
      <t xml:space="preserve">Modernizacja sieci wodociągowej przeciwpożarowej na terenie Muzeum Etnograficznego w Toruniu </t>
    </r>
    <r>
      <rPr>
        <b/>
        <sz val="10"/>
        <color indexed="8"/>
        <rFont val="Times New Roman CE"/>
        <charset val="238"/>
      </rPr>
      <t xml:space="preserve">(IW)
</t>
    </r>
    <r>
      <rPr>
        <i/>
        <sz val="10"/>
        <color indexed="8"/>
        <rFont val="Times New Roman CE"/>
        <charset val="238"/>
      </rPr>
      <t>Muzeum Etnograficzne w Toruniu</t>
    </r>
  </si>
  <si>
    <r>
      <t>Modernizacja budynku do celów wystawienniczo-edukacyjnych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</si>
  <si>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Wspieranie działań muzealnych - Prace konserwatorskie w obiektach architektonicznych - muzealiach w Muzeum Etnograficznym w Toruniu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</si>
  <si>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Wspieranie działań muzealnych - Ratujemy kolekcję - konserwacja dwóch zabytkowych bryczek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</si>
  <si>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r>
      <t>Rozbudowa zbiorów muzealnych - "Zakup kolekcji rzeźby ludowej i nieprofesjonalnej Izabelli i Piotra Sałustowiczów"</t>
    </r>
    <r>
      <rPr>
        <b/>
        <sz val="10"/>
        <color indexed="8"/>
        <rFont val="Times New Roman CE"/>
        <charset val="238"/>
      </rPr>
      <t xml:space="preserve">
</t>
    </r>
    <r>
      <rPr>
        <i/>
        <sz val="10"/>
        <color indexed="8"/>
        <rFont val="Times New Roman CE"/>
        <charset val="238"/>
      </rPr>
      <t>Muzeum Etnograficzne w Toruniu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</si>
  <si>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</si>
  <si>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charset val="238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</si>
  <si>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</si>
  <si>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charset val="238"/>
      </rPr>
      <t>wsparcie finansowe</t>
    </r>
  </si>
  <si>
    <r>
      <t xml:space="preserve">Festiwale organizowane przez Teatr im. W. Horzycy w Toruniu
</t>
    </r>
    <r>
      <rPr>
        <i/>
        <sz val="10"/>
        <color indexed="8"/>
        <rFont val="Times New Roman CE"/>
        <charset val="238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</si>
  <si>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  <charset val="238"/>
      </rPr>
      <t xml:space="preserve">
</t>
    </r>
    <r>
      <rPr>
        <i/>
        <sz val="10"/>
        <color indexed="8"/>
        <rFont val="Times New Roman CE"/>
        <charset val="238"/>
      </rPr>
      <t>Ośrodek Chopinowski w Szafarni</t>
    </r>
  </si>
  <si>
    <r>
      <t xml:space="preserve">Międzynarodowy Festiwal Teatralny "Kontakt"
</t>
    </r>
    <r>
      <rPr>
        <i/>
        <sz val="10"/>
        <color indexed="8"/>
        <rFont val="Times New Roman CE"/>
        <charset val="238"/>
      </rPr>
      <t>Teatr im. W. Horzycy w Toruniu</t>
    </r>
  </si>
  <si>
    <r>
      <t>Zadania w zakresie upowszechniania kultury fizycznej i sportu -</t>
    </r>
    <r>
      <rPr>
        <b/>
        <i/>
        <sz val="10"/>
        <color indexed="8"/>
        <rFont val="Times New Roman CE"/>
        <charset val="238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</si>
  <si>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charset val="238"/>
      </rPr>
      <t xml:space="preserve"> (GRANTY)</t>
    </r>
  </si>
  <si>
    <t>Szkolenie dzieci i młodzieży w klubach sportowych</t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</si>
  <si>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charset val="238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</si>
  <si>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</si>
  <si>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</si>
  <si>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</si>
  <si>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</si>
  <si>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</si>
  <si>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</si>
  <si>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</si>
  <si>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    Sejmiku Województwa z dnia    .06.2021 r.          </t>
  </si>
  <si>
    <t xml:space="preserve">                                                                                                </t>
  </si>
  <si>
    <r>
      <t xml:space="preserve">W załączniku nr 11 </t>
    </r>
    <r>
      <rPr>
        <b/>
        <sz val="10"/>
        <rFont val="Times New Roman CE"/>
        <charset val="238"/>
      </rPr>
      <t>"Dochody i wydatki na zadania wykonywane na mocy porozumień z organami administracji rządowej. Plan na 2021 rok"</t>
    </r>
    <r>
      <rPr>
        <sz val="10"/>
        <rFont val="Times New Roman CE"/>
        <family val="1"/>
        <charset val="238"/>
      </rPr>
      <t>do uchwały XXVIII/395/20 Sejmiku Województwa Kujawsko-Pomorskiego z dnia 21 grudnia 2020 r. w sprawie budżetu województwa na rok 2021 (z późn. zm.), wprowadza się następujące zmiany:</t>
    </r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</si>
  <si>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</si>
  <si>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</si>
  <si>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</si>
  <si>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</si>
  <si>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</si>
  <si>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</si>
  <si>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</si>
  <si>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</si>
  <si>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</si>
  <si>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Funduszy i Polityki Regionalnej</t>
  </si>
  <si>
    <t>Punkty Informacyjne Funduszy Europejskich Województwa Kujawsko-Pomorskiego - Program Operacyjny Pomoc Techniczna</t>
  </si>
  <si>
    <t>Wsparcie gmin w przygotowaniu i koordynacji programów rewitalizacji  - Program Operacyjny Pomoc Techniczna</t>
  </si>
  <si>
    <t>Wspieranie doradztwa metodycznego</t>
  </si>
  <si>
    <t>a - plan przed zmianą</t>
  </si>
  <si>
    <t>b - zmiana</t>
  </si>
  <si>
    <t>c - plan po zmianie</t>
  </si>
  <si>
    <t xml:space="preserve">                                                                              </t>
  </si>
  <si>
    <t xml:space="preserve">                                                                                 </t>
  </si>
  <si>
    <t xml:space="preserve">Sejmiku Województwa z dnia    .06.2021 r.          </t>
  </si>
  <si>
    <r>
      <t xml:space="preserve">W załączniku nr 12 </t>
    </r>
    <r>
      <rPr>
        <b/>
        <sz val="10"/>
        <rFont val="Times New Roman CE"/>
        <charset val="238"/>
      </rPr>
      <t>"Dochody i wydatki na zadania realizowane w drodze umów i porozumień między jednostkami samorządu terytorialnego. Plan na 2021 rok"</t>
    </r>
    <r>
      <rPr>
        <sz val="10"/>
        <rFont val="Times New Roman CE"/>
        <family val="1"/>
        <charset val="238"/>
      </rPr>
      <t xml:space="preserve"> do uchwały XXVIII/395/20 Sejmiku Województwa Kujawsko-Pomorskiego z dnia 21 grudnia 2020 r. w sprawie budżetu województwa na rok 2021 (z późn. zm.), wprowadza się następujące zmiany:</t>
    </r>
  </si>
  <si>
    <t>Dochody od JST</t>
  </si>
  <si>
    <t>Jednostka Samorządu Terytorialnego</t>
  </si>
  <si>
    <t>Gmina Sępólno Krajeńskie</t>
  </si>
  <si>
    <t>Opracowanie dokumentacji projektowej dla rozbudowy skrzyżowania drogi woj. Nr 241 Tuchola-Sępólno Krajeńskie-Rogoźno (ul. Kościuszki) z ul. Odrodzenia i ul. Ks. Jerzego Popiełuszki w m. Sępólno Krajeńskie</t>
  </si>
  <si>
    <t>Gmina Osielsko</t>
  </si>
  <si>
    <t>Opracowanie dokumentacji projektowej dla rozbudowy drogi wojewódzkiej nr 244 Kamieniec-Strzelce Dolne m. Żołędowo ul. Jastrzębia od km 30+068 do km 33+342, dł. 3,274 km</t>
  </si>
  <si>
    <t>Rozbudowa drogi wojewódzkiej nr 244 Kamieniec-Strzelce Dolne, m. Żołędowo, ul. Jastrzębia od km 30+068 do km 33+342, dł. 3,274 km</t>
  </si>
  <si>
    <t>Gminy</t>
  </si>
  <si>
    <r>
      <t>Przebudowa wraz z rozbudową drogi wojewódzkiej nr 265 Brześć Kujawski-Gostynin od km 0+003 do km 19+117 w zakresie budowy ciągów pieszo-rowerowych -</t>
    </r>
    <r>
      <rPr>
        <b/>
        <i/>
        <sz val="10"/>
        <rFont val="Times New Roman CE"/>
        <charset val="238"/>
      </rPr>
      <t xml:space="preserve"> RPO, Dz.3.4</t>
    </r>
  </si>
  <si>
    <t>Gminy
Powiaty</t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</si>
  <si>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charset val="238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</si>
  <si>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charset val="238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</si>
  <si>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charset val="238"/>
      </rPr>
      <t>RPO, Dz.3.5.2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</si>
  <si>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charset val="238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</si>
  <si>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charset val="238"/>
      </rPr>
      <t xml:space="preserve"> 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</si>
  <si>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charset val="238"/>
      </rPr>
      <t>RPO, Dz.5.1</t>
    </r>
  </si>
  <si>
    <t>Program "Drogowa Inicjatywa Samorządowa"</t>
  </si>
  <si>
    <r>
      <t xml:space="preserve">Infostrada Kujaw i Pomorza 2.0 - </t>
    </r>
    <r>
      <rPr>
        <b/>
        <i/>
        <sz val="10"/>
        <rFont val="Times New Roman CE"/>
        <charset val="238"/>
      </rPr>
      <t>RPO, Dz.2.1</t>
    </r>
  </si>
  <si>
    <t>Gminy+43+D49:60
Powiaty</t>
  </si>
  <si>
    <r>
      <t xml:space="preserve">Expressway - promocja terenów inwestycyjnych - </t>
    </r>
    <r>
      <rPr>
        <b/>
        <i/>
        <sz val="10"/>
        <rFont val="Times New Roman CE"/>
        <charset val="238"/>
      </rPr>
      <t>RPO, Dz.1.5.2</t>
    </r>
  </si>
  <si>
    <r>
      <t xml:space="preserve">Dokształcanie uczniów
</t>
    </r>
    <r>
      <rPr>
        <i/>
        <sz val="10"/>
        <rFont val="Times New Roman CE"/>
        <charset val="238"/>
      </rPr>
      <t>Kujawsko-Pomorskie Centrum Kształcenia Zawodowego w Bydgoszczy</t>
    </r>
  </si>
  <si>
    <t>Miasto Toruń</t>
  </si>
  <si>
    <t>Finansowanie programów edukacyjno-profilaktycznych realizowanych przez Wojewódzki Ośrodek Terapii Uzależnień i Współuzależnienia w Toruniu</t>
  </si>
  <si>
    <t>Kujawsko-Pomorska Niebieska Linia - przeciwdziałanie przemocy w rodzinie</t>
  </si>
  <si>
    <t>92105
92195</t>
  </si>
  <si>
    <t>Miasto Bydgoszcz</t>
  </si>
  <si>
    <t>Bydgoski Festiwal Operowy
Opera NOVA w Bydgoszczy</t>
  </si>
  <si>
    <t>Bydgoski Festiwal Muzyczny
Filharmonia Pomorska w Bydgoszczy</t>
  </si>
  <si>
    <t>92105
92109</t>
  </si>
  <si>
    <t>Kwartalnik Artystyczny, Kujawy i Pomorze
Kujawsko-Pomorskie Centrum Kultury w Bydgoszczy</t>
  </si>
  <si>
    <t>92105
92116</t>
  </si>
  <si>
    <t>Festiwal Książki Obrazkowej dla Dzieci "LiterObrazki"
Wojewódzka i Miejska Biblioteka Publiczna w Bydgoszczy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</si>
  <si>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</si>
  <si>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</si>
  <si>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</si>
  <si>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Gry planszowe i VR w Bibliotece (Program BBO)</t>
  </si>
  <si>
    <t>Bydgoszcz czyta bez końca (Program BBO)</t>
  </si>
  <si>
    <t>Biblioteka czynna całą dobę - książkomat na osiedlu Miedzyń - Prądy (Program BBO)</t>
  </si>
  <si>
    <t>Dofinansowanie działalności statutowej Wojewódzkiej Biblioteki Publicznej - Książnicy Kopernikańskiej w Toruniu</t>
  </si>
  <si>
    <t>Międzynarodowy Festiwal Teatralny "KONTAKT"
Teatr im. W. Horzycy w Toruniu</t>
  </si>
  <si>
    <t>92502</t>
  </si>
  <si>
    <t>Gmina Grudziądz</t>
  </si>
  <si>
    <r>
      <t xml:space="preserve">Modernizacja zagrody wiejskiej w Dusocinie na potrzeby ośrodka edukacji ekologicznej na terenie Parku Krajobrazowego "Góry Łosiowe" wraz z czynną ochroną przyrody na obszarze Natura 2000 - </t>
    </r>
    <r>
      <rPr>
        <b/>
        <i/>
        <sz val="10"/>
        <rFont val="Times New Roman CE"/>
        <charset val="238"/>
      </rPr>
      <t>RPO, Dz.4.5</t>
    </r>
  </si>
  <si>
    <t>RPO - Regionalny Program Operacyjny Województwa Kujawsko-Pomorskiego</t>
  </si>
  <si>
    <t>Załącznik nr 9 do uchwały Nr   /     /21</t>
  </si>
  <si>
    <t xml:space="preserve">                                                                                  Załącznik nr 10 do uchwały Nr    /   /21</t>
  </si>
  <si>
    <t>Załącznik nr 11 do uchwały Nr     /    /21</t>
  </si>
  <si>
    <t xml:space="preserve">Nr  /     /21 Sejmiku Województwa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</si>
</sst>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charset val="238"/>
    </font>
    <font>
      <b/>
      <sz val="13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</font>
    <font>
      <sz val="8"/>
      <name val="Times New Roman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color indexed="8"/>
      <name val="Czcionka tekstu podstawowego"/>
      <family val="2"/>
      <charset val="238"/>
    </font>
    <font>
      <b/>
      <i/>
      <sz val="10"/>
      <name val="Times New Roman CE"/>
      <charset val="238"/>
    </font>
    <font>
      <i/>
      <sz val="11"/>
      <name val="Times New Roman CE"/>
      <charset val="238"/>
    </font>
    <font>
      <b/>
      <i/>
      <u/>
      <sz val="10"/>
      <name val="Times New Roman CE"/>
      <charset val="238"/>
    </font>
    <font>
      <sz val="12"/>
      <name val="Times New Roman"/>
      <family val="1"/>
      <charset val="238"/>
    </font>
    <font>
      <b/>
      <sz val="16"/>
      <name val="Times New Roman CE"/>
      <charset val="238"/>
    </font>
    <font>
      <sz val="16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8"/>
      <name val="Times New Roman CE"/>
      <family val="1"/>
      <charset val="238"/>
    </font>
    <font>
      <b/>
      <sz val="12"/>
      <name val="Arial CE"/>
      <charset val="238"/>
    </font>
    <font>
      <sz val="11"/>
      <name val="Times New Roman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i/>
      <sz val="10"/>
      <color indexed="8"/>
      <name val="Times New Roman CE"/>
      <charset val="238"/>
    </font>
    <font>
      <b/>
      <i/>
      <sz val="10"/>
      <color indexed="8"/>
      <name val="Times New Roman"/>
      <family val="1"/>
      <charset val="238"/>
    </font>
    <font>
      <b/>
      <i/>
      <sz val="10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b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i/>
      <sz val="10"/>
      <color indexed="8"/>
      <name val="Times New Roman CE"/>
      <charset val="238"/>
    </font>
    <font>
      <i/>
      <sz val="10"/>
      <color indexed="8"/>
      <name val="Times New Roman CE"/>
      <family val="1"/>
      <charset val="238"/>
    </font>
    <font>
      <b/>
      <i/>
      <sz val="11"/>
      <color indexed="8"/>
      <name val="Times New Roman CE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name val="Times New Roman C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3" fillId="0" borderId="0"/>
    <xf numFmtId="0" fontId="56" fillId="0" borderId="0"/>
    <xf numFmtId="0" fontId="56" fillId="0" borderId="0"/>
    <xf numFmtId="0" fontId="3" fillId="0" borderId="0"/>
    <xf numFmtId="0" fontId="6" fillId="0" borderId="0"/>
    <xf numFmtId="0" fontId="3" fillId="0" borderId="0"/>
    <xf numFmtId="0" fontId="24" fillId="0" borderId="0"/>
    <xf numFmtId="9" fontId="2" fillId="0" borderId="0" applyFont="0" applyFill="0" applyBorder="0" applyAlignment="0" applyProtection="0"/>
  </cellStyleXfs>
  <cellXfs count="126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3" fontId="7" fillId="0" borderId="0" xfId="0" applyNumberFormat="1" applyFont="1" applyFill="1"/>
    <xf numFmtId="3" fontId="5" fillId="0" borderId="0" xfId="0" applyNumberFormat="1" applyFont="1" applyFill="1"/>
    <xf numFmtId="3" fontId="7" fillId="0" borderId="0" xfId="0" applyNumberFormat="1" applyFont="1"/>
    <xf numFmtId="3" fontId="5" fillId="0" borderId="0" xfId="0" applyNumberFormat="1" applyFont="1"/>
    <xf numFmtId="0" fontId="7" fillId="0" borderId="0" xfId="0" applyFont="1" applyAlignment="1">
      <alignment horizontal="justify" wrapText="1"/>
    </xf>
    <xf numFmtId="0" fontId="7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11" fillId="0" borderId="0" xfId="0" applyFont="1"/>
    <xf numFmtId="4" fontId="5" fillId="0" borderId="0" xfId="0" applyNumberFormat="1" applyFont="1" applyAlignment="1">
      <alignment vertical="top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vertical="center"/>
    </xf>
    <xf numFmtId="4" fontId="11" fillId="0" borderId="0" xfId="0" applyNumberFormat="1" applyFont="1"/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2" fillId="2" borderId="1" xfId="0" applyNumberFormat="1" applyFont="1" applyFill="1" applyBorder="1" applyAlignment="1">
      <alignment vertical="top"/>
    </xf>
    <xf numFmtId="3" fontId="12" fillId="0" borderId="1" xfId="0" applyNumberFormat="1" applyFont="1" applyFill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12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top"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 wrapText="1"/>
    </xf>
    <xf numFmtId="4" fontId="12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4" fontId="11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/>
    <xf numFmtId="3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8" fillId="0" borderId="2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13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25" fillId="0" borderId="0" xfId="17" applyNumberFormat="1" applyFont="1" applyFill="1" applyAlignment="1">
      <alignment horizontal="center" vertical="center"/>
    </xf>
    <xf numFmtId="49" fontId="26" fillId="0" borderId="0" xfId="17" applyNumberFormat="1" applyFont="1" applyFill="1" applyAlignment="1">
      <alignment horizontal="center" vertical="center" wrapText="1"/>
    </xf>
    <xf numFmtId="0" fontId="8" fillId="0" borderId="0" xfId="17" applyFont="1" applyFill="1" applyAlignment="1">
      <alignment vertical="center"/>
    </xf>
    <xf numFmtId="0" fontId="26" fillId="0" borderId="0" xfId="17" applyFont="1" applyFill="1" applyAlignment="1">
      <alignment vertical="center"/>
    </xf>
    <xf numFmtId="0" fontId="26" fillId="0" borderId="0" xfId="17" applyFont="1" applyAlignment="1">
      <alignment vertical="center"/>
    </xf>
    <xf numFmtId="0" fontId="7" fillId="0" borderId="0" xfId="17" applyNumberFormat="1" applyFont="1" applyFill="1" applyAlignment="1">
      <alignment vertical="center"/>
    </xf>
    <xf numFmtId="0" fontId="7" fillId="0" borderId="0" xfId="17" applyFont="1" applyFill="1" applyBorder="1" applyAlignment="1">
      <alignment horizontal="center" vertical="center"/>
    </xf>
    <xf numFmtId="2" fontId="7" fillId="0" borderId="0" xfId="17" applyNumberFormat="1" applyFont="1" applyFill="1" applyBorder="1" applyAlignment="1">
      <alignment horizontal="center" vertical="center"/>
    </xf>
    <xf numFmtId="2" fontId="25" fillId="0" borderId="0" xfId="17" applyNumberFormat="1" applyFont="1" applyFill="1" applyAlignment="1">
      <alignment horizontal="center" vertical="center" wrapText="1"/>
    </xf>
    <xf numFmtId="2" fontId="7" fillId="0" borderId="1" xfId="17" applyNumberFormat="1" applyFont="1" applyFill="1" applyBorder="1" applyAlignment="1">
      <alignment horizontal="center" vertical="center" wrapText="1"/>
    </xf>
    <xf numFmtId="2" fontId="7" fillId="0" borderId="8" xfId="17" applyNumberFormat="1" applyFont="1" applyFill="1" applyBorder="1" applyAlignment="1">
      <alignment horizontal="center" vertical="center" wrapText="1"/>
    </xf>
    <xf numFmtId="49" fontId="28" fillId="0" borderId="1" xfId="17" applyNumberFormat="1" applyFont="1" applyFill="1" applyBorder="1" applyAlignment="1">
      <alignment horizontal="center" vertical="center" wrapText="1"/>
    </xf>
    <xf numFmtId="49" fontId="29" fillId="0" borderId="6" xfId="17" applyNumberFormat="1" applyFont="1" applyFill="1" applyBorder="1" applyAlignment="1">
      <alignment horizontal="center" vertical="center" wrapText="1"/>
    </xf>
    <xf numFmtId="49" fontId="28" fillId="0" borderId="6" xfId="17" applyNumberFormat="1" applyFont="1" applyFill="1" applyBorder="1" applyAlignment="1">
      <alignment horizontal="center" vertical="center" wrapText="1"/>
    </xf>
    <xf numFmtId="49" fontId="28" fillId="0" borderId="8" xfId="17" applyNumberFormat="1" applyFont="1" applyFill="1" applyBorder="1" applyAlignment="1">
      <alignment horizontal="center" vertical="center" wrapText="1"/>
    </xf>
    <xf numFmtId="49" fontId="28" fillId="0" borderId="0" xfId="17" applyNumberFormat="1" applyFont="1" applyFill="1" applyAlignment="1">
      <alignment horizontal="center" vertical="center" wrapText="1"/>
    </xf>
    <xf numFmtId="49" fontId="28" fillId="0" borderId="9" xfId="17" applyNumberFormat="1" applyFont="1" applyFill="1" applyBorder="1" applyAlignment="1">
      <alignment horizontal="center" vertical="center" wrapText="1"/>
    </xf>
    <xf numFmtId="49" fontId="30" fillId="0" borderId="10" xfId="17" applyNumberFormat="1" applyFont="1" applyFill="1" applyBorder="1" applyAlignment="1">
      <alignment horizontal="center" vertical="center" wrapText="1"/>
    </xf>
    <xf numFmtId="49" fontId="31" fillId="0" borderId="10" xfId="17" applyNumberFormat="1" applyFont="1" applyFill="1" applyBorder="1" applyAlignment="1">
      <alignment horizontal="center" vertical="center" wrapText="1"/>
    </xf>
    <xf numFmtId="49" fontId="28" fillId="0" borderId="10" xfId="17" applyNumberFormat="1" applyFont="1" applyFill="1" applyBorder="1" applyAlignment="1">
      <alignment horizontal="center" vertical="center" wrapText="1"/>
    </xf>
    <xf numFmtId="49" fontId="28" fillId="0" borderId="2" xfId="17" applyNumberFormat="1" applyFont="1" applyFill="1" applyBorder="1" applyAlignment="1">
      <alignment horizontal="center" vertical="center" wrapText="1"/>
    </xf>
    <xf numFmtId="49" fontId="28" fillId="0" borderId="0" xfId="17" applyNumberFormat="1" applyFont="1" applyAlignment="1">
      <alignment horizontal="center" vertical="center" wrapText="1"/>
    </xf>
    <xf numFmtId="3" fontId="32" fillId="4" borderId="1" xfId="17" applyNumberFormat="1" applyFont="1" applyFill="1" applyBorder="1" applyAlignment="1">
      <alignment horizontal="center" vertical="center" wrapText="1"/>
    </xf>
    <xf numFmtId="3" fontId="8" fillId="4" borderId="11" xfId="17" applyNumberFormat="1" applyFont="1" applyFill="1" applyBorder="1" applyAlignment="1">
      <alignment horizontal="right" vertical="center" wrapText="1"/>
    </xf>
    <xf numFmtId="3" fontId="8" fillId="4" borderId="1" xfId="17" applyNumberFormat="1" applyFont="1" applyFill="1" applyBorder="1" applyAlignment="1">
      <alignment horizontal="right" vertical="center" wrapText="1"/>
    </xf>
    <xf numFmtId="3" fontId="8" fillId="4" borderId="6" xfId="17" applyNumberFormat="1" applyFont="1" applyFill="1" applyBorder="1" applyAlignment="1">
      <alignment horizontal="right" vertical="center" wrapText="1"/>
    </xf>
    <xf numFmtId="3" fontId="26" fillId="0" borderId="0" xfId="17" applyNumberFormat="1" applyFont="1" applyFill="1" applyAlignment="1">
      <alignment vertical="center" wrapText="1"/>
    </xf>
    <xf numFmtId="4" fontId="26" fillId="0" borderId="0" xfId="17" applyNumberFormat="1" applyFont="1" applyFill="1" applyAlignment="1">
      <alignment vertical="center" wrapText="1"/>
    </xf>
    <xf numFmtId="3" fontId="26" fillId="0" borderId="0" xfId="17" applyNumberFormat="1" applyFont="1" applyAlignment="1">
      <alignment vertical="center" wrapText="1"/>
    </xf>
    <xf numFmtId="49" fontId="25" fillId="0" borderId="12" xfId="17" applyNumberFormat="1" applyFont="1" applyBorder="1" applyAlignment="1">
      <alignment horizontal="center" vertical="center" wrapText="1"/>
    </xf>
    <xf numFmtId="3" fontId="33" fillId="0" borderId="0" xfId="17" applyNumberFormat="1" applyFont="1" applyBorder="1" applyAlignment="1">
      <alignment horizontal="center" vertical="center" wrapText="1"/>
    </xf>
    <xf numFmtId="3" fontId="8" fillId="0" borderId="0" xfId="17" applyNumberFormat="1" applyFont="1" applyFill="1" applyBorder="1" applyAlignment="1">
      <alignment vertical="center" wrapText="1"/>
    </xf>
    <xf numFmtId="3" fontId="34" fillId="0" borderId="0" xfId="17" applyNumberFormat="1" applyFont="1" applyBorder="1" applyAlignment="1">
      <alignment vertical="center" wrapText="1"/>
    </xf>
    <xf numFmtId="3" fontId="8" fillId="0" borderId="0" xfId="17" applyNumberFormat="1" applyFont="1" applyBorder="1" applyAlignment="1">
      <alignment horizontal="right" vertical="center" wrapText="1"/>
    </xf>
    <xf numFmtId="3" fontId="8" fillId="0" borderId="3" xfId="17" applyNumberFormat="1" applyFont="1" applyBorder="1" applyAlignment="1">
      <alignment horizontal="right" vertical="center" wrapText="1"/>
    </xf>
    <xf numFmtId="3" fontId="8" fillId="0" borderId="13" xfId="17" applyNumberFormat="1" applyFont="1" applyBorder="1" applyAlignment="1">
      <alignment horizontal="right" vertical="center" wrapText="1"/>
    </xf>
    <xf numFmtId="3" fontId="7" fillId="0" borderId="0" xfId="17" applyNumberFormat="1" applyFont="1" applyFill="1" applyAlignment="1">
      <alignment horizontal="center" vertical="center" wrapText="1"/>
    </xf>
    <xf numFmtId="4" fontId="7" fillId="0" borderId="0" xfId="17" applyNumberFormat="1" applyFont="1" applyFill="1" applyAlignment="1">
      <alignment horizontal="center" vertical="center" wrapText="1"/>
    </xf>
    <xf numFmtId="3" fontId="7" fillId="0" borderId="0" xfId="17" applyNumberFormat="1" applyFont="1" applyAlignment="1">
      <alignment horizontal="center" vertical="center" wrapText="1"/>
    </xf>
    <xf numFmtId="3" fontId="7" fillId="0" borderId="1" xfId="17" applyNumberFormat="1" applyFont="1" applyFill="1" applyBorder="1" applyAlignment="1">
      <alignment horizontal="center" vertical="center" wrapText="1"/>
    </xf>
    <xf numFmtId="3" fontId="8" fillId="0" borderId="1" xfId="17" applyNumberFormat="1" applyFont="1" applyFill="1" applyBorder="1" applyAlignment="1">
      <alignment horizontal="right" vertical="center" wrapText="1"/>
    </xf>
    <xf numFmtId="3" fontId="7" fillId="0" borderId="1" xfId="17" applyNumberFormat="1" applyFont="1" applyFill="1" applyBorder="1" applyAlignment="1">
      <alignment horizontal="right" vertical="center" wrapText="1"/>
    </xf>
    <xf numFmtId="3" fontId="7" fillId="0" borderId="6" xfId="17" applyNumberFormat="1" applyFont="1" applyFill="1" applyBorder="1" applyAlignment="1">
      <alignment horizontal="right" vertical="center" wrapText="1"/>
    </xf>
    <xf numFmtId="3" fontId="7" fillId="0" borderId="7" xfId="17" applyNumberFormat="1" applyFont="1" applyFill="1" applyBorder="1" applyAlignment="1">
      <alignment horizontal="right" vertical="center" wrapText="1"/>
    </xf>
    <xf numFmtId="3" fontId="7" fillId="0" borderId="8" xfId="17" applyNumberFormat="1" applyFont="1" applyFill="1" applyBorder="1" applyAlignment="1">
      <alignment horizontal="right" vertical="center" wrapText="1"/>
    </xf>
    <xf numFmtId="3" fontId="7" fillId="0" borderId="4" xfId="17" applyNumberFormat="1" applyFont="1" applyFill="1" applyBorder="1" applyAlignment="1">
      <alignment horizontal="right" vertical="center" wrapText="1"/>
    </xf>
    <xf numFmtId="3" fontId="7" fillId="0" borderId="5" xfId="17" applyNumberFormat="1" applyFont="1" applyFill="1" applyBorder="1" applyAlignment="1">
      <alignment horizontal="right" vertical="center" wrapText="1"/>
    </xf>
    <xf numFmtId="3" fontId="7" fillId="0" borderId="15" xfId="17" applyNumberFormat="1" applyFont="1" applyFill="1" applyBorder="1" applyAlignment="1">
      <alignment horizontal="right" vertical="center" wrapText="1"/>
    </xf>
    <xf numFmtId="3" fontId="7" fillId="0" borderId="14" xfId="17" applyNumberFormat="1" applyFont="1" applyFill="1" applyBorder="1" applyAlignment="1">
      <alignment horizontal="right" vertical="center" wrapText="1"/>
    </xf>
    <xf numFmtId="49" fontId="7" fillId="0" borderId="6" xfId="17" applyNumberFormat="1" applyFont="1" applyFill="1" applyBorder="1" applyAlignment="1">
      <alignment horizontal="center" vertical="center" wrapText="1"/>
    </xf>
    <xf numFmtId="3" fontId="7" fillId="0" borderId="7" xfId="17" applyNumberFormat="1" applyFont="1" applyFill="1" applyBorder="1" applyAlignment="1">
      <alignment horizontal="left" vertical="center" wrapText="1"/>
    </xf>
    <xf numFmtId="3" fontId="7" fillId="0" borderId="10" xfId="17" applyNumberFormat="1" applyFont="1" applyFill="1" applyBorder="1" applyAlignment="1">
      <alignment horizontal="left" vertical="center" wrapText="1"/>
    </xf>
    <xf numFmtId="3" fontId="8" fillId="0" borderId="7" xfId="17" applyNumberFormat="1" applyFont="1" applyFill="1" applyBorder="1" applyAlignment="1">
      <alignment horizontal="right" vertical="center" wrapText="1"/>
    </xf>
    <xf numFmtId="49" fontId="7" fillId="0" borderId="9" xfId="17" applyNumberFormat="1" applyFont="1" applyFill="1" applyBorder="1" applyAlignment="1">
      <alignment horizontal="center" vertical="center" wrapText="1"/>
    </xf>
    <xf numFmtId="3" fontId="7" fillId="0" borderId="1" xfId="17" applyNumberFormat="1" applyFont="1" applyFill="1" applyBorder="1" applyAlignment="1">
      <alignment vertical="center"/>
    </xf>
    <xf numFmtId="3" fontId="7" fillId="0" borderId="7" xfId="17" applyNumberFormat="1" applyFont="1" applyFill="1" applyBorder="1" applyAlignment="1">
      <alignment vertical="center"/>
    </xf>
    <xf numFmtId="3" fontId="7" fillId="0" borderId="8" xfId="17" applyNumberFormat="1" applyFont="1" applyFill="1" applyBorder="1" applyAlignment="1">
      <alignment vertical="center"/>
    </xf>
    <xf numFmtId="0" fontId="25" fillId="0" borderId="0" xfId="17" applyFont="1" applyFill="1" applyAlignment="1">
      <alignment vertical="center"/>
    </xf>
    <xf numFmtId="4" fontId="25" fillId="0" borderId="0" xfId="17" applyNumberFormat="1" applyFont="1" applyFill="1" applyAlignment="1">
      <alignment vertical="center"/>
    </xf>
    <xf numFmtId="49" fontId="7" fillId="0" borderId="6" xfId="17" applyNumberFormat="1" applyFont="1" applyFill="1" applyBorder="1" applyAlignment="1">
      <alignment horizontal="center" vertical="center"/>
    </xf>
    <xf numFmtId="49" fontId="7" fillId="0" borderId="7" xfId="17" applyNumberFormat="1" applyFont="1" applyFill="1" applyBorder="1" applyAlignment="1">
      <alignment horizontal="left" vertical="center" wrapText="1"/>
    </xf>
    <xf numFmtId="49" fontId="7" fillId="0" borderId="6" xfId="17" applyNumberFormat="1" applyFont="1" applyFill="1" applyBorder="1" applyAlignment="1">
      <alignment vertical="center"/>
    </xf>
    <xf numFmtId="49" fontId="7" fillId="0" borderId="7" xfId="17" applyNumberFormat="1" applyFont="1" applyFill="1" applyBorder="1" applyAlignment="1">
      <alignment vertical="center"/>
    </xf>
    <xf numFmtId="49" fontId="7" fillId="0" borderId="8" xfId="17" applyNumberFormat="1" applyFont="1" applyFill="1" applyBorder="1" applyAlignment="1">
      <alignment vertical="center"/>
    </xf>
    <xf numFmtId="0" fontId="25" fillId="0" borderId="3" xfId="17" applyFont="1" applyFill="1" applyBorder="1" applyAlignment="1">
      <alignment vertical="center"/>
    </xf>
    <xf numFmtId="4" fontId="8" fillId="0" borderId="0" xfId="17" applyNumberFormat="1" applyFont="1" applyFill="1" applyAlignment="1">
      <alignment vertical="center"/>
    </xf>
    <xf numFmtId="49" fontId="7" fillId="0" borderId="9" xfId="17" applyNumberFormat="1" applyFont="1" applyFill="1" applyBorder="1" applyAlignment="1">
      <alignment horizontal="center" vertical="center"/>
    </xf>
    <xf numFmtId="49" fontId="7" fillId="0" borderId="10" xfId="17" applyNumberFormat="1" applyFont="1" applyFill="1" applyBorder="1" applyAlignment="1">
      <alignment horizontal="center" vertical="center"/>
    </xf>
    <xf numFmtId="49" fontId="7" fillId="0" borderId="7" xfId="17" applyNumberFormat="1" applyFont="1" applyFill="1" applyBorder="1" applyAlignment="1">
      <alignment horizontal="center" vertical="center"/>
    </xf>
    <xf numFmtId="49" fontId="7" fillId="0" borderId="1" xfId="17" applyNumberFormat="1" applyFont="1" applyFill="1" applyBorder="1" applyAlignment="1">
      <alignment horizontal="center" vertical="center"/>
    </xf>
    <xf numFmtId="49" fontId="7" fillId="0" borderId="1" xfId="17" applyNumberFormat="1" applyFont="1" applyFill="1" applyBorder="1" applyAlignment="1">
      <alignment vertical="center"/>
    </xf>
    <xf numFmtId="3" fontId="7" fillId="0" borderId="6" xfId="17" applyNumberFormat="1" applyFont="1" applyFill="1" applyBorder="1" applyAlignment="1">
      <alignment vertical="center"/>
    </xf>
    <xf numFmtId="49" fontId="7" fillId="0" borderId="10" xfId="17" applyNumberFormat="1" applyFont="1" applyFill="1" applyBorder="1" applyAlignment="1">
      <alignment horizontal="left" vertical="center" wrapText="1"/>
    </xf>
    <xf numFmtId="3" fontId="32" fillId="4" borderId="8" xfId="17" applyNumberFormat="1" applyFont="1" applyFill="1" applyBorder="1" applyAlignment="1">
      <alignment horizontal="center" vertical="center" wrapText="1"/>
    </xf>
    <xf numFmtId="3" fontId="8" fillId="4" borderId="2" xfId="17" applyNumberFormat="1" applyFont="1" applyFill="1" applyBorder="1" applyAlignment="1">
      <alignment horizontal="right" vertical="center" wrapText="1"/>
    </xf>
    <xf numFmtId="49" fontId="7" fillId="0" borderId="10" xfId="17" applyNumberFormat="1" applyFont="1" applyFill="1" applyBorder="1" applyAlignment="1">
      <alignment horizontal="center" vertical="center" wrapText="1"/>
    </xf>
    <xf numFmtId="49" fontId="7" fillId="0" borderId="7" xfId="17" applyNumberFormat="1" applyFont="1" applyFill="1" applyBorder="1" applyAlignment="1">
      <alignment horizontal="center" vertical="center" wrapText="1"/>
    </xf>
    <xf numFmtId="49" fontId="7" fillId="0" borderId="8" xfId="17" applyNumberFormat="1" applyFont="1" applyFill="1" applyBorder="1" applyAlignment="1">
      <alignment horizontal="center" vertical="center" wrapText="1"/>
    </xf>
    <xf numFmtId="3" fontId="7" fillId="0" borderId="0" xfId="17" applyNumberFormat="1" applyFont="1" applyFill="1" applyBorder="1" applyAlignment="1">
      <alignment vertical="center"/>
    </xf>
    <xf numFmtId="3" fontId="7" fillId="0" borderId="3" xfId="17" applyNumberFormat="1" applyFont="1" applyFill="1" applyBorder="1" applyAlignment="1">
      <alignment vertical="center"/>
    </xf>
    <xf numFmtId="3" fontId="7" fillId="0" borderId="2" xfId="17" applyNumberFormat="1" applyFont="1" applyFill="1" applyBorder="1" applyAlignment="1">
      <alignment vertical="center"/>
    </xf>
    <xf numFmtId="3" fontId="7" fillId="0" borderId="9" xfId="17" applyNumberFormat="1" applyFont="1" applyFill="1" applyBorder="1" applyAlignment="1">
      <alignment vertical="center"/>
    </xf>
    <xf numFmtId="3" fontId="7" fillId="0" borderId="10" xfId="17" applyNumberFormat="1" applyFont="1" applyFill="1" applyBorder="1" applyAlignment="1">
      <alignment vertical="center"/>
    </xf>
    <xf numFmtId="3" fontId="7" fillId="0" borderId="11" xfId="17" applyNumberFormat="1" applyFont="1" applyFill="1" applyBorder="1" applyAlignment="1">
      <alignment vertical="center"/>
    </xf>
    <xf numFmtId="3" fontId="8" fillId="0" borderId="10" xfId="17" applyNumberFormat="1" applyFont="1" applyFill="1" applyBorder="1" applyAlignment="1">
      <alignment horizontal="right" vertical="center" wrapText="1"/>
    </xf>
    <xf numFmtId="49" fontId="35" fillId="4" borderId="1" xfId="17" applyNumberFormat="1" applyFont="1" applyFill="1" applyBorder="1" applyAlignment="1">
      <alignment horizontal="center" vertical="center"/>
    </xf>
    <xf numFmtId="3" fontId="36" fillId="4" borderId="1" xfId="17" applyNumberFormat="1" applyFont="1" applyFill="1" applyBorder="1" applyAlignment="1">
      <alignment vertical="center"/>
    </xf>
    <xf numFmtId="3" fontId="36" fillId="4" borderId="6" xfId="17" applyNumberFormat="1" applyFont="1" applyFill="1" applyBorder="1" applyAlignment="1">
      <alignment vertical="center"/>
    </xf>
    <xf numFmtId="0" fontId="35" fillId="0" borderId="0" xfId="17" applyFont="1" applyFill="1" applyAlignment="1">
      <alignment vertical="center"/>
    </xf>
    <xf numFmtId="4" fontId="35" fillId="0" borderId="0" xfId="17" applyNumberFormat="1" applyFont="1" applyFill="1" applyAlignment="1">
      <alignment vertical="center"/>
    </xf>
    <xf numFmtId="0" fontId="35" fillId="5" borderId="0" xfId="17" applyFont="1" applyFill="1" applyAlignment="1">
      <alignment vertical="center"/>
    </xf>
    <xf numFmtId="49" fontId="35" fillId="0" borderId="0" xfId="17" applyNumberFormat="1" applyFont="1" applyFill="1" applyBorder="1" applyAlignment="1">
      <alignment horizontal="center" vertical="center"/>
    </xf>
    <xf numFmtId="3" fontId="36" fillId="0" borderId="0" xfId="17" applyNumberFormat="1" applyFont="1" applyFill="1" applyBorder="1" applyAlignment="1">
      <alignment vertical="center"/>
    </xf>
    <xf numFmtId="49" fontId="7" fillId="0" borderId="0" xfId="17" applyNumberFormat="1" applyFont="1" applyFill="1" applyBorder="1" applyAlignment="1">
      <alignment horizontal="right" vertical="center"/>
    </xf>
    <xf numFmtId="49" fontId="7" fillId="0" borderId="0" xfId="17" applyNumberFormat="1" applyFont="1" applyFill="1" applyBorder="1" applyAlignment="1">
      <alignment horizontal="center" vertical="center"/>
    </xf>
    <xf numFmtId="0" fontId="7" fillId="0" borderId="0" xfId="17" applyFont="1" applyFill="1" applyAlignment="1">
      <alignment vertical="center"/>
    </xf>
    <xf numFmtId="49" fontId="7" fillId="0" borderId="0" xfId="17" applyNumberFormat="1" applyFont="1" applyFill="1" applyBorder="1" applyAlignment="1">
      <alignment horizontal="left" vertical="center"/>
    </xf>
    <xf numFmtId="49" fontId="25" fillId="0" borderId="0" xfId="17" applyNumberFormat="1" applyFont="1" applyAlignment="1">
      <alignment horizontal="center" vertical="center"/>
    </xf>
    <xf numFmtId="49" fontId="26" fillId="0" borderId="0" xfId="17" applyNumberFormat="1" applyFont="1" applyAlignment="1">
      <alignment horizontal="center" vertical="center" wrapText="1"/>
    </xf>
    <xf numFmtId="0" fontId="8" fillId="6" borderId="0" xfId="17" applyFont="1" applyFill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right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7" fillId="0" borderId="1" xfId="18" applyFont="1" applyBorder="1" applyAlignment="1">
      <alignment horizontal="center" vertical="top" wrapText="1"/>
    </xf>
    <xf numFmtId="49" fontId="37" fillId="0" borderId="1" xfId="18" applyNumberFormat="1" applyFont="1" applyBorder="1" applyAlignment="1">
      <alignment horizontal="center" vertical="top" wrapText="1"/>
    </xf>
    <xf numFmtId="0" fontId="37" fillId="0" borderId="1" xfId="19" applyFont="1" applyBorder="1" applyAlignment="1">
      <alignment vertical="top" wrapText="1"/>
    </xf>
    <xf numFmtId="3" fontId="37" fillId="0" borderId="1" xfId="18" applyNumberFormat="1" applyFont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37" fillId="0" borderId="3" xfId="18" applyFont="1" applyBorder="1" applyAlignment="1">
      <alignment horizontal="center" vertical="top" wrapText="1"/>
    </xf>
    <xf numFmtId="49" fontId="37" fillId="0" borderId="3" xfId="18" applyNumberFormat="1" applyFont="1" applyBorder="1" applyAlignment="1">
      <alignment horizontal="center" vertical="top" wrapText="1"/>
    </xf>
    <xf numFmtId="0" fontId="37" fillId="0" borderId="3" xfId="18" applyFont="1" applyBorder="1" applyAlignment="1">
      <alignment vertical="top" wrapText="1"/>
    </xf>
    <xf numFmtId="3" fontId="37" fillId="0" borderId="3" xfId="18" applyNumberFormat="1" applyFont="1" applyBorder="1" applyAlignment="1">
      <alignment vertical="top" wrapText="1"/>
    </xf>
    <xf numFmtId="0" fontId="38" fillId="0" borderId="3" xfId="18" applyFont="1" applyBorder="1" applyAlignment="1">
      <alignment horizontal="center" vertical="top" wrapText="1"/>
    </xf>
    <xf numFmtId="49" fontId="38" fillId="0" borderId="3" xfId="18" applyNumberFormat="1" applyFont="1" applyBorder="1" applyAlignment="1">
      <alignment horizontal="center" vertical="top" wrapText="1"/>
    </xf>
    <xf numFmtId="0" fontId="38" fillId="0" borderId="3" xfId="18" applyFont="1" applyBorder="1" applyAlignment="1">
      <alignment vertical="top" wrapText="1"/>
    </xf>
    <xf numFmtId="3" fontId="38" fillId="0" borderId="3" xfId="18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7" fillId="0" borderId="2" xfId="18" applyFont="1" applyBorder="1" applyAlignment="1">
      <alignment horizontal="center" vertical="top" wrapText="1"/>
    </xf>
    <xf numFmtId="49" fontId="37" fillId="0" borderId="2" xfId="18" applyNumberFormat="1" applyFont="1" applyBorder="1" applyAlignment="1">
      <alignment horizontal="center" vertical="top" wrapText="1"/>
    </xf>
    <xf numFmtId="0" fontId="37" fillId="0" borderId="2" xfId="18" applyFont="1" applyBorder="1" applyAlignment="1">
      <alignment vertical="top" wrapText="1"/>
    </xf>
    <xf numFmtId="3" fontId="37" fillId="0" borderId="2" xfId="18" applyNumberFormat="1" applyFont="1" applyBorder="1" applyAlignment="1">
      <alignment vertical="top" wrapText="1"/>
    </xf>
    <xf numFmtId="0" fontId="38" fillId="0" borderId="4" xfId="18" applyFont="1" applyBorder="1" applyAlignment="1">
      <alignment horizontal="center" vertical="top" wrapText="1"/>
    </xf>
    <xf numFmtId="49" fontId="38" fillId="0" borderId="4" xfId="18" applyNumberFormat="1" applyFont="1" applyBorder="1" applyAlignment="1">
      <alignment horizontal="center" vertical="top" wrapText="1"/>
    </xf>
    <xf numFmtId="0" fontId="38" fillId="0" borderId="4" xfId="18" applyFont="1" applyBorder="1" applyAlignment="1">
      <alignment vertical="top" wrapText="1"/>
    </xf>
    <xf numFmtId="3" fontId="38" fillId="0" borderId="4" xfId="18" applyNumberFormat="1" applyFont="1" applyBorder="1" applyAlignment="1">
      <alignment vertical="top" wrapText="1"/>
    </xf>
    <xf numFmtId="0" fontId="38" fillId="0" borderId="2" xfId="18" applyFont="1" applyBorder="1" applyAlignment="1">
      <alignment horizontal="center" vertical="top" wrapText="1"/>
    </xf>
    <xf numFmtId="49" fontId="38" fillId="0" borderId="2" xfId="18" applyNumberFormat="1" applyFont="1" applyBorder="1" applyAlignment="1">
      <alignment horizontal="center" vertical="top" wrapText="1"/>
    </xf>
    <xf numFmtId="0" fontId="38" fillId="0" borderId="2" xfId="18" applyFont="1" applyBorder="1" applyAlignment="1">
      <alignment vertical="top" wrapText="1"/>
    </xf>
    <xf numFmtId="3" fontId="38" fillId="0" borderId="2" xfId="18" applyNumberFormat="1" applyFont="1" applyBorder="1" applyAlignment="1">
      <alignment vertical="top" wrapText="1"/>
    </xf>
    <xf numFmtId="0" fontId="37" fillId="0" borderId="1" xfId="18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25" fillId="0" borderId="6" xfId="17" applyNumberFormat="1" applyFont="1" applyBorder="1" applyAlignment="1">
      <alignment horizontal="center" vertical="center" wrapText="1"/>
    </xf>
    <xf numFmtId="3" fontId="33" fillId="0" borderId="7" xfId="17" applyNumberFormat="1" applyFont="1" applyBorder="1" applyAlignment="1">
      <alignment horizontal="center" vertical="center" wrapText="1"/>
    </xf>
    <xf numFmtId="3" fontId="8" fillId="0" borderId="7" xfId="17" applyNumberFormat="1" applyFont="1" applyFill="1" applyBorder="1" applyAlignment="1">
      <alignment vertical="center" wrapText="1"/>
    </xf>
    <xf numFmtId="3" fontId="34" fillId="0" borderId="7" xfId="17" applyNumberFormat="1" applyFont="1" applyBorder="1" applyAlignment="1">
      <alignment vertical="center" wrapText="1"/>
    </xf>
    <xf numFmtId="3" fontId="8" fillId="0" borderId="7" xfId="17" applyNumberFormat="1" applyFont="1" applyBorder="1" applyAlignment="1">
      <alignment horizontal="right" vertical="center" wrapText="1"/>
    </xf>
    <xf numFmtId="3" fontId="8" fillId="0" borderId="1" xfId="17" applyNumberFormat="1" applyFont="1" applyBorder="1" applyAlignment="1">
      <alignment horizontal="right" vertical="center" wrapText="1"/>
    </xf>
    <xf numFmtId="3" fontId="8" fillId="0" borderId="8" xfId="17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7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37" fillId="0" borderId="1" xfId="20" applyFont="1" applyBorder="1" applyAlignment="1">
      <alignment horizontal="center" vertical="top"/>
    </xf>
    <xf numFmtId="0" fontId="37" fillId="0" borderId="1" xfId="20" applyFont="1" applyBorder="1" applyAlignment="1">
      <alignment vertical="top" wrapText="1"/>
    </xf>
    <xf numFmtId="3" fontId="37" fillId="0" borderId="1" xfId="20" applyNumberFormat="1" applyFont="1" applyBorder="1" applyAlignment="1">
      <alignment vertical="top"/>
    </xf>
    <xf numFmtId="0" fontId="37" fillId="0" borderId="0" xfId="0" applyFont="1"/>
    <xf numFmtId="0" fontId="37" fillId="0" borderId="3" xfId="20" applyFont="1" applyBorder="1" applyAlignment="1">
      <alignment horizontal="center" vertical="top"/>
    </xf>
    <xf numFmtId="0" fontId="37" fillId="0" borderId="3" xfId="20" applyFont="1" applyBorder="1" applyAlignment="1">
      <alignment vertical="top" wrapText="1"/>
    </xf>
    <xf numFmtId="3" fontId="37" fillId="0" borderId="3" xfId="20" applyNumberFormat="1" applyFont="1" applyBorder="1" applyAlignment="1">
      <alignment vertical="top"/>
    </xf>
    <xf numFmtId="3" fontId="37" fillId="0" borderId="0" xfId="0" applyNumberFormat="1" applyFont="1"/>
    <xf numFmtId="0" fontId="38" fillId="0" borderId="3" xfId="20" applyFont="1" applyBorder="1" applyAlignment="1">
      <alignment horizontal="center" vertical="top"/>
    </xf>
    <xf numFmtId="0" fontId="38" fillId="0" borderId="3" xfId="20" applyFont="1" applyBorder="1" applyAlignment="1">
      <alignment vertical="top" wrapText="1"/>
    </xf>
    <xf numFmtId="3" fontId="38" fillId="0" borderId="3" xfId="20" applyNumberFormat="1" applyFont="1" applyBorder="1" applyAlignment="1">
      <alignment vertical="top"/>
    </xf>
    <xf numFmtId="0" fontId="38" fillId="0" borderId="0" xfId="0" applyFont="1"/>
    <xf numFmtId="0" fontId="38" fillId="0" borderId="4" xfId="20" applyFont="1" applyBorder="1" applyAlignment="1">
      <alignment horizontal="center" vertical="top"/>
    </xf>
    <xf numFmtId="0" fontId="38" fillId="0" borderId="4" xfId="20" applyFont="1" applyBorder="1" applyAlignment="1">
      <alignment vertical="top" wrapText="1"/>
    </xf>
    <xf numFmtId="3" fontId="38" fillId="0" borderId="4" xfId="20" applyNumberFormat="1" applyFont="1" applyBorder="1" applyAlignment="1">
      <alignment vertical="top"/>
    </xf>
    <xf numFmtId="0" fontId="38" fillId="0" borderId="2" xfId="20" applyFont="1" applyBorder="1" applyAlignment="1">
      <alignment horizontal="center" vertical="top"/>
    </xf>
    <xf numFmtId="0" fontId="38" fillId="0" borderId="2" xfId="20" applyFont="1" applyBorder="1" applyAlignment="1">
      <alignment vertical="top" wrapText="1"/>
    </xf>
    <xf numFmtId="3" fontId="38" fillId="0" borderId="2" xfId="20" applyNumberFormat="1" applyFont="1" applyBorder="1" applyAlignment="1">
      <alignment vertical="top"/>
    </xf>
    <xf numFmtId="0" fontId="37" fillId="0" borderId="2" xfId="20" applyFont="1" applyBorder="1" applyAlignment="1">
      <alignment horizontal="center" vertical="top"/>
    </xf>
    <xf numFmtId="0" fontId="37" fillId="0" borderId="2" xfId="20" applyFont="1" applyBorder="1" applyAlignment="1">
      <alignment vertical="top" wrapText="1"/>
    </xf>
    <xf numFmtId="3" fontId="37" fillId="0" borderId="2" xfId="20" applyNumberFormat="1" applyFont="1" applyBorder="1" applyAlignment="1">
      <alignment vertical="top"/>
    </xf>
    <xf numFmtId="3" fontId="38" fillId="0" borderId="0" xfId="0" applyNumberFormat="1" applyFont="1"/>
    <xf numFmtId="0" fontId="13" fillId="0" borderId="0" xfId="21" applyFont="1" applyAlignment="1">
      <alignment wrapText="1"/>
    </xf>
    <xf numFmtId="0" fontId="13" fillId="0" borderId="0" xfId="21" applyFont="1" applyAlignment="1">
      <alignment horizontal="left" wrapText="1"/>
    </xf>
    <xf numFmtId="0" fontId="2" fillId="0" borderId="0" xfId="7"/>
    <xf numFmtId="0" fontId="13" fillId="0" borderId="0" xfId="22" applyFont="1" applyAlignment="1">
      <alignment horizontal="left" vertical="center" wrapText="1"/>
    </xf>
    <xf numFmtId="0" fontId="14" fillId="0" borderId="0" xfId="21" applyFont="1" applyAlignment="1">
      <alignment horizontal="center" wrapText="1"/>
    </xf>
    <xf numFmtId="3" fontId="5" fillId="0" borderId="0" xfId="23" applyNumberFormat="1" applyFont="1" applyAlignment="1"/>
    <xf numFmtId="0" fontId="13" fillId="0" borderId="0" xfId="22" applyFont="1" applyFill="1" applyAlignment="1">
      <alignment horizontal="center" wrapText="1"/>
    </xf>
    <xf numFmtId="0" fontId="40" fillId="0" borderId="1" xfId="21" applyFont="1" applyFill="1" applyBorder="1" applyAlignment="1">
      <alignment horizontal="center" vertical="center" wrapText="1"/>
    </xf>
    <xf numFmtId="0" fontId="40" fillId="0" borderId="6" xfId="21" applyFont="1" applyFill="1" applyBorder="1" applyAlignment="1">
      <alignment horizontal="center" vertical="center" wrapText="1"/>
    </xf>
    <xf numFmtId="0" fontId="40" fillId="0" borderId="1" xfId="21" applyFont="1" applyBorder="1" applyAlignment="1">
      <alignment horizontal="center" vertical="center" wrapText="1"/>
    </xf>
    <xf numFmtId="0" fontId="40" fillId="0" borderId="8" xfId="21" applyFont="1" applyBorder="1" applyAlignment="1">
      <alignment horizontal="center" vertical="center" wrapText="1"/>
    </xf>
    <xf numFmtId="0" fontId="40" fillId="0" borderId="12" xfId="21" applyFont="1" applyFill="1" applyBorder="1" applyAlignment="1">
      <alignment wrapText="1"/>
    </xf>
    <xf numFmtId="0" fontId="40" fillId="0" borderId="0" xfId="21" applyFont="1" applyFill="1" applyBorder="1" applyAlignment="1">
      <alignment wrapText="1"/>
    </xf>
    <xf numFmtId="0" fontId="40" fillId="0" borderId="3" xfId="21" applyFont="1" applyFill="1" applyBorder="1" applyAlignment="1">
      <alignment wrapText="1"/>
    </xf>
    <xf numFmtId="0" fontId="41" fillId="0" borderId="1" xfId="21" applyFont="1" applyFill="1" applyBorder="1" applyAlignment="1">
      <alignment horizontal="center" vertical="center" wrapText="1"/>
    </xf>
    <xf numFmtId="0" fontId="41" fillId="0" borderId="1" xfId="21" applyFont="1" applyFill="1" applyBorder="1" applyAlignment="1">
      <alignment vertical="center" wrapText="1"/>
    </xf>
    <xf numFmtId="3" fontId="42" fillId="0" borderId="1" xfId="21" applyNumberFormat="1" applyFont="1" applyFill="1" applyBorder="1" applyAlignment="1">
      <alignment vertical="center" wrapText="1"/>
    </xf>
    <xf numFmtId="0" fontId="43" fillId="0" borderId="1" xfId="21" applyFont="1" applyFill="1" applyBorder="1" applyAlignment="1">
      <alignment horizontal="center" vertical="center" wrapText="1"/>
    </xf>
    <xf numFmtId="0" fontId="43" fillId="0" borderId="1" xfId="21" applyFont="1" applyFill="1" applyBorder="1" applyAlignment="1">
      <alignment vertical="center" wrapText="1"/>
    </xf>
    <xf numFmtId="3" fontId="43" fillId="0" borderId="1" xfId="21" applyNumberFormat="1" applyFont="1" applyFill="1" applyBorder="1" applyAlignment="1">
      <alignment vertical="center" wrapText="1"/>
    </xf>
    <xf numFmtId="49" fontId="22" fillId="0" borderId="2" xfId="21" applyNumberFormat="1" applyFont="1" applyBorder="1" applyAlignment="1">
      <alignment horizontal="center" vertical="center" wrapText="1"/>
    </xf>
    <xf numFmtId="0" fontId="22" fillId="0" borderId="11" xfId="21" applyFont="1" applyBorder="1" applyAlignment="1">
      <alignment horizontal="center" vertical="center" wrapText="1"/>
    </xf>
    <xf numFmtId="0" fontId="22" fillId="0" borderId="9" xfId="21" applyFont="1" applyBorder="1" applyAlignment="1">
      <alignment vertical="center" wrapText="1"/>
    </xf>
    <xf numFmtId="3" fontId="22" fillId="0" borderId="1" xfId="21" applyNumberFormat="1" applyFont="1" applyFill="1" applyBorder="1" applyAlignment="1">
      <alignment vertical="center" wrapText="1"/>
    </xf>
    <xf numFmtId="49" fontId="40" fillId="0" borderId="2" xfId="21" applyNumberFormat="1" applyFont="1" applyFill="1" applyBorder="1" applyAlignment="1">
      <alignment horizontal="center" vertical="center" wrapText="1"/>
    </xf>
    <xf numFmtId="0" fontId="40" fillId="0" borderId="11" xfId="21" applyFont="1" applyFill="1" applyBorder="1" applyAlignment="1">
      <alignment horizontal="center" vertical="center" wrapText="1"/>
    </xf>
    <xf numFmtId="0" fontId="40" fillId="0" borderId="9" xfId="21" applyFont="1" applyFill="1" applyBorder="1" applyAlignment="1">
      <alignment vertical="center" wrapText="1"/>
    </xf>
    <xf numFmtId="3" fontId="40" fillId="0" borderId="1" xfId="21" applyNumberFormat="1" applyFont="1" applyFill="1" applyBorder="1" applyAlignment="1">
      <alignment vertical="center" wrapText="1"/>
    </xf>
    <xf numFmtId="0" fontId="44" fillId="0" borderId="0" xfId="7" applyFont="1"/>
    <xf numFmtId="49" fontId="40" fillId="0" borderId="1" xfId="21" applyNumberFormat="1" applyFont="1" applyFill="1" applyBorder="1" applyAlignment="1">
      <alignment horizontal="center" vertical="center" wrapText="1"/>
    </xf>
    <xf numFmtId="49" fontId="22" fillId="0" borderId="1" xfId="21" applyNumberFormat="1" applyFont="1" applyFill="1" applyBorder="1" applyAlignment="1">
      <alignment horizontal="center" vertical="center" wrapText="1"/>
    </xf>
    <xf numFmtId="0" fontId="22" fillId="0" borderId="1" xfId="21" applyFont="1" applyFill="1" applyBorder="1" applyAlignment="1">
      <alignment horizontal="center" vertical="center" wrapText="1"/>
    </xf>
    <xf numFmtId="0" fontId="22" fillId="0" borderId="1" xfId="21" applyFont="1" applyFill="1" applyBorder="1" applyAlignment="1">
      <alignment vertical="center" wrapText="1"/>
    </xf>
    <xf numFmtId="0" fontId="40" fillId="0" borderId="1" xfId="21" applyFont="1" applyFill="1" applyBorder="1" applyAlignment="1">
      <alignment vertical="center" wrapText="1"/>
    </xf>
    <xf numFmtId="0" fontId="45" fillId="0" borderId="1" xfId="21" applyFont="1" applyFill="1" applyBorder="1" applyAlignment="1">
      <alignment horizontal="center" vertical="center" wrapText="1"/>
    </xf>
    <xf numFmtId="0" fontId="45" fillId="0" borderId="1" xfId="21" applyFont="1" applyFill="1" applyBorder="1" applyAlignment="1">
      <alignment vertical="center" wrapText="1"/>
    </xf>
    <xf numFmtId="3" fontId="41" fillId="0" borderId="1" xfId="21" applyNumberFormat="1" applyFont="1" applyFill="1" applyBorder="1" applyAlignment="1">
      <alignment vertical="center" wrapText="1"/>
    </xf>
    <xf numFmtId="0" fontId="13" fillId="0" borderId="12" xfId="21" applyFont="1" applyFill="1" applyBorder="1" applyAlignment="1">
      <alignment horizontal="center" vertical="center" wrapText="1"/>
    </xf>
    <xf numFmtId="0" fontId="13" fillId="0" borderId="0" xfId="21" applyFont="1" applyFill="1" applyBorder="1" applyAlignment="1">
      <alignment horizontal="center" vertical="center" wrapText="1"/>
    </xf>
    <xf numFmtId="0" fontId="13" fillId="0" borderId="0" xfId="21" applyFont="1" applyFill="1" applyBorder="1" applyAlignment="1">
      <alignment vertical="center" wrapText="1"/>
    </xf>
    <xf numFmtId="3" fontId="17" fillId="0" borderId="3" xfId="21" applyNumberFormat="1" applyFont="1" applyFill="1" applyBorder="1" applyAlignment="1">
      <alignment vertical="center" wrapText="1"/>
    </xf>
    <xf numFmtId="0" fontId="42" fillId="0" borderId="1" xfId="21" applyFont="1" applyFill="1" applyBorder="1" applyAlignment="1">
      <alignment horizontal="center" vertical="center" wrapText="1"/>
    </xf>
    <xf numFmtId="0" fontId="42" fillId="0" borderId="1" xfId="21" applyFont="1" applyFill="1" applyBorder="1" applyAlignment="1">
      <alignment vertical="center" wrapText="1"/>
    </xf>
    <xf numFmtId="0" fontId="46" fillId="0" borderId="1" xfId="21" applyFont="1" applyFill="1" applyBorder="1" applyAlignment="1">
      <alignment horizontal="center" vertical="center" wrapText="1"/>
    </xf>
    <xf numFmtId="0" fontId="46" fillId="0" borderId="1" xfId="21" applyFont="1" applyFill="1" applyBorder="1" applyAlignment="1">
      <alignment vertical="center" wrapText="1"/>
    </xf>
    <xf numFmtId="3" fontId="46" fillId="0" borderId="1" xfId="21" applyNumberFormat="1" applyFont="1" applyFill="1" applyBorder="1" applyAlignment="1">
      <alignment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vertical="center" wrapText="1"/>
    </xf>
    <xf numFmtId="0" fontId="45" fillId="0" borderId="12" xfId="21" applyFont="1" applyFill="1" applyBorder="1" applyAlignment="1">
      <alignment horizontal="center" vertical="center" wrapText="1"/>
    </xf>
    <xf numFmtId="0" fontId="45" fillId="0" borderId="0" xfId="21" applyFont="1" applyFill="1" applyBorder="1" applyAlignment="1">
      <alignment horizontal="center" vertical="center" wrapText="1"/>
    </xf>
    <xf numFmtId="0" fontId="45" fillId="0" borderId="0" xfId="21" applyFont="1" applyFill="1" applyBorder="1" applyAlignment="1">
      <alignment vertical="center" wrapText="1"/>
    </xf>
    <xf numFmtId="3" fontId="41" fillId="0" borderId="3" xfId="21" applyNumberFormat="1" applyFont="1" applyFill="1" applyBorder="1" applyAlignment="1">
      <alignment vertical="center" wrapText="1"/>
    </xf>
    <xf numFmtId="0" fontId="41" fillId="0" borderId="12" xfId="21" applyFont="1" applyFill="1" applyBorder="1" applyAlignment="1">
      <alignment horizontal="center" vertical="center" wrapText="1"/>
    </xf>
    <xf numFmtId="0" fontId="41" fillId="0" borderId="0" xfId="21" applyFont="1" applyFill="1" applyBorder="1" applyAlignment="1">
      <alignment horizontal="center" vertical="center" wrapText="1"/>
    </xf>
    <xf numFmtId="0" fontId="41" fillId="0" borderId="0" xfId="21" applyFont="1" applyFill="1" applyBorder="1" applyAlignment="1">
      <alignment vertical="center" wrapText="1"/>
    </xf>
    <xf numFmtId="0" fontId="41" fillId="0" borderId="2" xfId="21" applyFont="1" applyFill="1" applyBorder="1" applyAlignment="1">
      <alignment horizontal="center" vertical="center" wrapText="1"/>
    </xf>
    <xf numFmtId="0" fontId="41" fillId="0" borderId="2" xfId="21" applyFont="1" applyFill="1" applyBorder="1" applyAlignment="1">
      <alignment vertical="center" wrapText="1"/>
    </xf>
    <xf numFmtId="3" fontId="41" fillId="0" borderId="2" xfId="21" applyNumberFormat="1" applyFont="1" applyFill="1" applyBorder="1" applyAlignment="1">
      <alignment vertical="center" wrapText="1"/>
    </xf>
    <xf numFmtId="0" fontId="2" fillId="0" borderId="0" xfId="7" applyFont="1"/>
    <xf numFmtId="0" fontId="40" fillId="0" borderId="9" xfId="21" applyFont="1" applyBorder="1" applyAlignment="1">
      <alignment vertical="center" wrapText="1"/>
    </xf>
    <xf numFmtId="0" fontId="40" fillId="0" borderId="1" xfId="21" applyFont="1" applyBorder="1" applyAlignment="1">
      <alignment vertical="center" wrapText="1"/>
    </xf>
    <xf numFmtId="49" fontId="13" fillId="0" borderId="1" xfId="21" applyNumberFormat="1" applyFont="1" applyFill="1" applyBorder="1" applyAlignment="1">
      <alignment horizontal="center" vertical="center" wrapText="1"/>
    </xf>
    <xf numFmtId="49" fontId="13" fillId="0" borderId="3" xfId="21" applyNumberFormat="1" applyFont="1" applyFill="1" applyBorder="1" applyAlignment="1">
      <alignment horizontal="center" vertical="center" wrapText="1"/>
    </xf>
    <xf numFmtId="0" fontId="13" fillId="0" borderId="3" xfId="21" applyFont="1" applyFill="1" applyBorder="1" applyAlignment="1">
      <alignment horizontal="center" vertical="center" wrapText="1"/>
    </xf>
    <xf numFmtId="3" fontId="22" fillId="0" borderId="3" xfId="21" applyNumberFormat="1" applyFont="1" applyFill="1" applyBorder="1" applyAlignment="1">
      <alignment vertical="center" wrapText="1"/>
    </xf>
    <xf numFmtId="0" fontId="13" fillId="0" borderId="9" xfId="21" applyFont="1" applyFill="1" applyBorder="1" applyAlignment="1">
      <alignment wrapText="1"/>
    </xf>
    <xf numFmtId="0" fontId="13" fillId="0" borderId="10" xfId="21" applyFont="1" applyFill="1" applyBorder="1" applyAlignment="1">
      <alignment wrapText="1"/>
    </xf>
    <xf numFmtId="0" fontId="13" fillId="0" borderId="11" xfId="21" applyFont="1" applyFill="1" applyBorder="1" applyAlignment="1">
      <alignment wrapText="1"/>
    </xf>
    <xf numFmtId="0" fontId="13" fillId="0" borderId="2" xfId="21" applyFont="1" applyFill="1" applyBorder="1" applyAlignment="1">
      <alignment wrapText="1"/>
    </xf>
    <xf numFmtId="0" fontId="45" fillId="0" borderId="3" xfId="21" applyFont="1" applyFill="1" applyBorder="1" applyAlignment="1">
      <alignment wrapText="1"/>
    </xf>
    <xf numFmtId="3" fontId="13" fillId="0" borderId="3" xfId="21" applyNumberFormat="1" applyFont="1" applyFill="1" applyBorder="1" applyAlignment="1">
      <alignment wrapText="1"/>
    </xf>
    <xf numFmtId="3" fontId="45" fillId="0" borderId="3" xfId="21" applyNumberFormat="1" applyFont="1" applyFill="1" applyBorder="1" applyAlignment="1">
      <alignment wrapText="1"/>
    </xf>
    <xf numFmtId="0" fontId="45" fillId="0" borderId="12" xfId="21" applyFont="1" applyFill="1" applyBorder="1" applyAlignment="1">
      <alignment wrapText="1"/>
    </xf>
    <xf numFmtId="0" fontId="45" fillId="0" borderId="0" xfId="21" applyFont="1" applyFill="1" applyBorder="1" applyAlignment="1">
      <alignment wrapText="1"/>
    </xf>
    <xf numFmtId="0" fontId="45" fillId="0" borderId="13" xfId="21" applyFont="1" applyFill="1" applyBorder="1" applyAlignment="1">
      <alignment wrapText="1"/>
    </xf>
    <xf numFmtId="0" fontId="21" fillId="0" borderId="9" xfId="21" applyFont="1" applyFill="1" applyBorder="1" applyAlignment="1">
      <alignment wrapText="1"/>
    </xf>
    <xf numFmtId="0" fontId="21" fillId="0" borderId="10" xfId="21" applyFont="1" applyFill="1" applyBorder="1" applyAlignment="1">
      <alignment wrapText="1"/>
    </xf>
    <xf numFmtId="0" fontId="21" fillId="0" borderId="11" xfId="21" applyFont="1" applyFill="1" applyBorder="1" applyAlignment="1">
      <alignment wrapText="1"/>
    </xf>
    <xf numFmtId="3" fontId="21" fillId="0" borderId="2" xfId="21" applyNumberFormat="1" applyFont="1" applyFill="1" applyBorder="1" applyAlignment="1">
      <alignment wrapText="1"/>
    </xf>
    <xf numFmtId="3" fontId="21" fillId="0" borderId="3" xfId="21" applyNumberFormat="1" applyFont="1" applyFill="1" applyBorder="1" applyAlignment="1">
      <alignment wrapText="1"/>
    </xf>
    <xf numFmtId="3" fontId="13" fillId="0" borderId="4" xfId="21" applyNumberFormat="1" applyFont="1" applyFill="1" applyBorder="1" applyAlignment="1">
      <alignment wrapText="1"/>
    </xf>
    <xf numFmtId="0" fontId="3" fillId="0" borderId="0" xfId="25" applyAlignment="1">
      <alignment horizontal="center"/>
    </xf>
    <xf numFmtId="0" fontId="3" fillId="0" borderId="0" xfId="25"/>
    <xf numFmtId="0" fontId="48" fillId="0" borderId="0" xfId="25" applyFont="1"/>
    <xf numFmtId="0" fontId="14" fillId="0" borderId="0" xfId="25" applyFont="1" applyFill="1" applyAlignment="1">
      <alignment horizontal="center"/>
    </xf>
    <xf numFmtId="0" fontId="3" fillId="0" borderId="0" xfId="25" applyFill="1"/>
    <xf numFmtId="0" fontId="7" fillId="0" borderId="0" xfId="25" applyFont="1" applyFill="1" applyAlignment="1">
      <alignment horizontal="center"/>
    </xf>
    <xf numFmtId="0" fontId="13" fillId="0" borderId="0" xfId="25" applyFont="1" applyFill="1"/>
    <xf numFmtId="0" fontId="16" fillId="0" borderId="1" xfId="25" applyFont="1" applyFill="1" applyBorder="1" applyAlignment="1">
      <alignment horizontal="center" vertical="center" wrapText="1"/>
    </xf>
    <xf numFmtId="0" fontId="54" fillId="0" borderId="1" xfId="25" applyFont="1" applyFill="1" applyBorder="1" applyAlignment="1">
      <alignment horizontal="center"/>
    </xf>
    <xf numFmtId="0" fontId="54" fillId="0" borderId="0" xfId="25" applyFont="1" applyFill="1" applyAlignment="1">
      <alignment horizontal="center"/>
    </xf>
    <xf numFmtId="0" fontId="55" fillId="0" borderId="0" xfId="25" applyFont="1" applyFill="1" applyBorder="1" applyAlignment="1"/>
    <xf numFmtId="0" fontId="55" fillId="0" borderId="0" xfId="25" applyFont="1" applyFill="1" applyBorder="1" applyAlignment="1">
      <alignment horizontal="center"/>
    </xf>
    <xf numFmtId="3" fontId="13" fillId="0" borderId="1" xfId="25" applyNumberFormat="1" applyFont="1" applyFill="1" applyBorder="1" applyAlignment="1">
      <alignment horizontal="center" vertical="center" wrapText="1"/>
    </xf>
    <xf numFmtId="0" fontId="56" fillId="0" borderId="0" xfId="27" applyAlignment="1">
      <alignment vertical="center"/>
    </xf>
    <xf numFmtId="3" fontId="57" fillId="7" borderId="1" xfId="26" applyNumberFormat="1" applyFont="1" applyFill="1" applyBorder="1" applyAlignment="1">
      <alignment vertical="center"/>
    </xf>
    <xf numFmtId="3" fontId="58" fillId="0" borderId="1" xfId="26" applyNumberFormat="1" applyFont="1" applyBorder="1" applyAlignment="1">
      <alignment vertical="center"/>
    </xf>
    <xf numFmtId="3" fontId="13" fillId="0" borderId="1" xfId="25" applyNumberFormat="1" applyFont="1" applyBorder="1" applyAlignment="1">
      <alignment horizontal="center" vertical="center" wrapText="1"/>
    </xf>
    <xf numFmtId="3" fontId="16" fillId="0" borderId="1" xfId="25" applyNumberFormat="1" applyFont="1" applyFill="1" applyBorder="1" applyAlignment="1">
      <alignment horizontal="center" vertical="center"/>
    </xf>
    <xf numFmtId="0" fontId="60" fillId="0" borderId="0" xfId="27" applyFont="1" applyAlignment="1">
      <alignment vertical="center"/>
    </xf>
    <xf numFmtId="3" fontId="16" fillId="0" borderId="1" xfId="25" applyNumberFormat="1" applyFont="1" applyFill="1" applyBorder="1" applyAlignment="1">
      <alignment horizontal="center" vertical="center" wrapText="1"/>
    </xf>
    <xf numFmtId="3" fontId="12" fillId="7" borderId="1" xfId="26" applyNumberFormat="1" applyFont="1" applyFill="1" applyBorder="1" applyAlignment="1">
      <alignment vertical="center"/>
    </xf>
    <xf numFmtId="0" fontId="56" fillId="0" borderId="6" xfId="27" applyBorder="1" applyAlignment="1">
      <alignment horizontal="center"/>
    </xf>
    <xf numFmtId="0" fontId="56" fillId="0" borderId="7" xfId="27" applyBorder="1" applyAlignment="1">
      <alignment horizontal="center"/>
    </xf>
    <xf numFmtId="0" fontId="56" fillId="0" borderId="8" xfId="27" applyBorder="1" applyAlignment="1">
      <alignment horizontal="center"/>
    </xf>
    <xf numFmtId="0" fontId="56" fillId="0" borderId="0" xfId="27"/>
    <xf numFmtId="3" fontId="12" fillId="0" borderId="1" xfId="27" applyNumberFormat="1" applyFont="1" applyBorder="1" applyAlignment="1">
      <alignment horizontal="right" vertical="center"/>
    </xf>
    <xf numFmtId="0" fontId="13" fillId="0" borderId="0" xfId="25" applyFont="1" applyFill="1" applyBorder="1" applyAlignment="1">
      <alignment vertical="center"/>
    </xf>
    <xf numFmtId="0" fontId="13" fillId="0" borderId="0" xfId="25" applyFont="1" applyFill="1" applyAlignment="1">
      <alignment vertical="center"/>
    </xf>
    <xf numFmtId="0" fontId="16" fillId="0" borderId="0" xfId="25" applyFont="1" applyFill="1" applyAlignment="1">
      <alignment horizontal="right" vertical="center"/>
    </xf>
    <xf numFmtId="0" fontId="3" fillId="0" borderId="0" xfId="25" applyFill="1" applyAlignment="1">
      <alignment horizontal="right"/>
    </xf>
    <xf numFmtId="3" fontId="15" fillId="0" borderId="1" xfId="25" applyNumberFormat="1" applyFont="1" applyFill="1" applyBorder="1" applyAlignment="1">
      <alignment horizontal="center" vertical="center" wrapText="1"/>
    </xf>
    <xf numFmtId="0" fontId="15" fillId="0" borderId="0" xfId="25" applyFont="1" applyFill="1" applyAlignment="1">
      <alignment horizontal="right" vertical="center"/>
    </xf>
    <xf numFmtId="0" fontId="63" fillId="0" borderId="0" xfId="25" applyFont="1" applyFill="1" applyAlignment="1">
      <alignment horizontal="right"/>
    </xf>
    <xf numFmtId="0" fontId="56" fillId="0" borderId="0" xfId="27" applyAlignment="1">
      <alignment horizontal="center" vertical="center"/>
    </xf>
    <xf numFmtId="3" fontId="64" fillId="0" borderId="0" xfId="25" applyNumberFormat="1" applyFont="1" applyFill="1" applyBorder="1" applyAlignment="1">
      <alignment horizontal="center" vertical="center" wrapText="1"/>
    </xf>
    <xf numFmtId="0" fontId="57" fillId="0" borderId="0" xfId="27" applyFont="1"/>
    <xf numFmtId="0" fontId="50" fillId="0" borderId="0" xfId="25" applyFont="1" applyAlignment="1">
      <alignment wrapText="1"/>
    </xf>
    <xf numFmtId="0" fontId="14" fillId="0" borderId="0" xfId="25" applyFont="1" applyAlignment="1">
      <alignment horizontal="center"/>
    </xf>
    <xf numFmtId="0" fontId="64" fillId="0" borderId="0" xfId="25" applyFont="1" applyAlignment="1">
      <alignment horizontal="center"/>
    </xf>
    <xf numFmtId="0" fontId="56" fillId="0" borderId="0" xfId="26" applyAlignment="1">
      <alignment vertical="center"/>
    </xf>
    <xf numFmtId="3" fontId="13" fillId="0" borderId="1" xfId="25" applyNumberFormat="1" applyFont="1" applyFill="1" applyBorder="1" applyAlignment="1">
      <alignment horizontal="right" vertical="center" wrapText="1"/>
    </xf>
    <xf numFmtId="3" fontId="57" fillId="12" borderId="1" xfId="26" applyNumberFormat="1" applyFont="1" applyFill="1" applyBorder="1" applyAlignment="1">
      <alignment vertical="center"/>
    </xf>
    <xf numFmtId="0" fontId="60" fillId="0" borderId="0" xfId="26" applyFont="1" applyAlignment="1">
      <alignment vertical="center"/>
    </xf>
    <xf numFmtId="0" fontId="56" fillId="0" borderId="0" xfId="26"/>
    <xf numFmtId="3" fontId="16" fillId="0" borderId="1" xfId="25" applyNumberFormat="1" applyFont="1" applyFill="1" applyBorder="1" applyAlignment="1">
      <alignment horizontal="right" vertical="center"/>
    </xf>
    <xf numFmtId="3" fontId="12" fillId="12" borderId="1" xfId="26" applyNumberFormat="1" applyFont="1" applyFill="1" applyBorder="1" applyAlignment="1">
      <alignment vertical="center"/>
    </xf>
    <xf numFmtId="0" fontId="56" fillId="0" borderId="0" xfId="26" applyAlignment="1">
      <alignment horizontal="center"/>
    </xf>
    <xf numFmtId="0" fontId="56" fillId="0" borderId="0" xfId="26" applyFont="1" applyAlignment="1">
      <alignment horizontal="center"/>
    </xf>
    <xf numFmtId="0" fontId="56" fillId="0" borderId="0" xfId="26" applyFont="1"/>
    <xf numFmtId="0" fontId="13" fillId="0" borderId="0" xfId="29" applyFont="1" applyFill="1" applyAlignment="1">
      <alignment vertical="center"/>
    </xf>
    <xf numFmtId="3" fontId="13" fillId="0" borderId="0" xfId="29" applyNumberFormat="1" applyFont="1" applyFill="1" applyAlignment="1">
      <alignment horizontal="center" vertical="center" wrapText="1"/>
    </xf>
    <xf numFmtId="3" fontId="13" fillId="0" borderId="0" xfId="29" applyNumberFormat="1" applyFont="1" applyFill="1" applyAlignment="1">
      <alignment horizontal="center" vertical="center"/>
    </xf>
    <xf numFmtId="3" fontId="13" fillId="0" borderId="0" xfId="29" applyNumberFormat="1" applyFont="1" applyFill="1" applyAlignment="1">
      <alignment horizontal="left" vertical="center"/>
    </xf>
    <xf numFmtId="3" fontId="64" fillId="0" borderId="0" xfId="29" applyNumberFormat="1" applyFont="1" applyFill="1" applyAlignment="1">
      <alignment horizontal="left" vertical="center"/>
    </xf>
    <xf numFmtId="3" fontId="13" fillId="0" borderId="0" xfId="29" applyNumberFormat="1" applyFont="1" applyFill="1" applyAlignment="1">
      <alignment horizontal="left" vertical="center" wrapText="1"/>
    </xf>
    <xf numFmtId="0" fontId="13" fillId="0" borderId="0" xfId="29" applyFont="1" applyFill="1" applyAlignment="1">
      <alignment vertical="center" wrapText="1"/>
    </xf>
    <xf numFmtId="0" fontId="13" fillId="0" borderId="0" xfId="29" applyFont="1" applyFill="1" applyAlignment="1">
      <alignment horizontal="center" vertical="center"/>
    </xf>
    <xf numFmtId="0" fontId="13" fillId="0" borderId="0" xfId="29" applyFont="1" applyFill="1" applyAlignment="1">
      <alignment horizontal="center" vertical="center" wrapText="1"/>
    </xf>
    <xf numFmtId="0" fontId="64" fillId="0" borderId="0" xfId="29" applyFont="1" applyFill="1" applyAlignment="1">
      <alignment vertical="center" wrapText="1"/>
    </xf>
    <xf numFmtId="0" fontId="16" fillId="0" borderId="0" xfId="29" applyFont="1" applyFill="1" applyAlignment="1">
      <alignment vertical="center"/>
    </xf>
    <xf numFmtId="3" fontId="41" fillId="0" borderId="7" xfId="29" applyNumberFormat="1" applyFont="1" applyFill="1" applyBorder="1" applyAlignment="1">
      <alignment horizontal="center" vertical="top" wrapText="1"/>
    </xf>
    <xf numFmtId="3" fontId="41" fillId="0" borderId="8" xfId="29" applyNumberFormat="1" applyFont="1" applyFill="1" applyBorder="1" applyAlignment="1">
      <alignment horizontal="center" vertical="top" wrapText="1"/>
    </xf>
    <xf numFmtId="0" fontId="41" fillId="0" borderId="2" xfId="29" applyFont="1" applyFill="1" applyBorder="1" applyAlignment="1">
      <alignment horizontal="center" vertical="top" wrapText="1"/>
    </xf>
    <xf numFmtId="0" fontId="41" fillId="0" borderId="4" xfId="29" applyFont="1" applyFill="1" applyBorder="1" applyAlignment="1">
      <alignment horizontal="center" vertical="top" wrapText="1"/>
    </xf>
    <xf numFmtId="3" fontId="41" fillId="0" borderId="1" xfId="29" applyNumberFormat="1" applyFont="1" applyFill="1" applyBorder="1" applyAlignment="1">
      <alignment horizontal="center" vertical="top" wrapText="1"/>
    </xf>
    <xf numFmtId="0" fontId="28" fillId="0" borderId="1" xfId="29" applyFont="1" applyFill="1" applyBorder="1" applyAlignment="1">
      <alignment horizontal="center" vertical="center" wrapText="1"/>
    </xf>
    <xf numFmtId="3" fontId="28" fillId="0" borderId="1" xfId="29" applyNumberFormat="1" applyFont="1" applyFill="1" applyBorder="1" applyAlignment="1">
      <alignment horizontal="center" vertical="center" wrapText="1"/>
    </xf>
    <xf numFmtId="0" fontId="28" fillId="0" borderId="0" xfId="29" applyFont="1" applyFill="1" applyAlignment="1">
      <alignment horizontal="center" vertical="center"/>
    </xf>
    <xf numFmtId="0" fontId="65" fillId="0" borderId="12" xfId="29" applyFont="1" applyFill="1" applyBorder="1" applyAlignment="1">
      <alignment horizontal="center" vertical="center"/>
    </xf>
    <xf numFmtId="0" fontId="65" fillId="0" borderId="10" xfId="29" applyFont="1" applyFill="1" applyBorder="1" applyAlignment="1">
      <alignment horizontal="center" vertical="center"/>
    </xf>
    <xf numFmtId="0" fontId="65" fillId="0" borderId="10" xfId="29" applyFont="1" applyFill="1" applyBorder="1" applyAlignment="1">
      <alignment horizontal="center" vertical="center" wrapText="1"/>
    </xf>
    <xf numFmtId="0" fontId="66" fillId="0" borderId="10" xfId="29" applyFont="1" applyFill="1" applyBorder="1" applyAlignment="1">
      <alignment horizontal="center" vertical="center" wrapText="1"/>
    </xf>
    <xf numFmtId="3" fontId="65" fillId="0" borderId="10" xfId="29" applyNumberFormat="1" applyFont="1" applyFill="1" applyBorder="1" applyAlignment="1">
      <alignment horizontal="center" vertical="center" wrapText="1"/>
    </xf>
    <xf numFmtId="3" fontId="65" fillId="0" borderId="11" xfId="29" applyNumberFormat="1" applyFont="1" applyFill="1" applyBorder="1" applyAlignment="1">
      <alignment horizontal="center" vertical="center" wrapText="1"/>
    </xf>
    <xf numFmtId="0" fontId="65" fillId="0" borderId="0" xfId="29" applyFont="1" applyFill="1" applyAlignment="1">
      <alignment horizontal="center" vertical="center"/>
    </xf>
    <xf numFmtId="0" fontId="67" fillId="0" borderId="1" xfId="29" applyFont="1" applyFill="1" applyBorder="1" applyAlignment="1">
      <alignment horizontal="center" vertical="center" wrapText="1"/>
    </xf>
    <xf numFmtId="3" fontId="67" fillId="0" borderId="1" xfId="29" applyNumberFormat="1" applyFont="1" applyFill="1" applyBorder="1" applyAlignment="1">
      <alignment horizontal="right" vertical="center" wrapText="1"/>
    </xf>
    <xf numFmtId="0" fontId="67" fillId="0" borderId="0" xfId="29" applyFont="1" applyFill="1" applyAlignment="1">
      <alignment horizontal="center" vertical="center"/>
    </xf>
    <xf numFmtId="0" fontId="65" fillId="0" borderId="12" xfId="29" applyFont="1" applyFill="1" applyBorder="1" applyAlignment="1">
      <alignment horizontal="center"/>
    </xf>
    <xf numFmtId="0" fontId="65" fillId="0" borderId="0" xfId="29" applyFont="1" applyFill="1" applyBorder="1" applyAlignment="1">
      <alignment horizontal="center"/>
    </xf>
    <xf numFmtId="0" fontId="65" fillId="0" borderId="0" xfId="29" applyFont="1" applyFill="1" applyBorder="1" applyAlignment="1">
      <alignment horizontal="center" wrapText="1"/>
    </xf>
    <xf numFmtId="0" fontId="65" fillId="0" borderId="0" xfId="29" applyFont="1" applyFill="1" applyBorder="1" applyAlignment="1">
      <alignment horizontal="left" wrapText="1"/>
    </xf>
    <xf numFmtId="0" fontId="66" fillId="0" borderId="0" xfId="29" applyFont="1" applyFill="1" applyBorder="1" applyAlignment="1">
      <alignment horizontal="center" wrapText="1"/>
    </xf>
    <xf numFmtId="3" fontId="65" fillId="0" borderId="0" xfId="29" applyNumberFormat="1" applyFont="1" applyFill="1" applyBorder="1" applyAlignment="1">
      <alignment horizontal="center" wrapText="1"/>
    </xf>
    <xf numFmtId="3" fontId="65" fillId="0" borderId="13" xfId="29" applyNumberFormat="1" applyFont="1" applyFill="1" applyBorder="1" applyAlignment="1">
      <alignment horizontal="center" wrapText="1"/>
    </xf>
    <xf numFmtId="0" fontId="65" fillId="0" borderId="0" xfId="29" applyFont="1" applyFill="1" applyAlignment="1">
      <alignment horizontal="center"/>
    </xf>
    <xf numFmtId="0" fontId="68" fillId="0" borderId="1" xfId="29" applyFont="1" applyFill="1" applyBorder="1" applyAlignment="1">
      <alignment horizontal="center" vertical="center"/>
    </xf>
    <xf numFmtId="3" fontId="68" fillId="0" borderId="1" xfId="29" applyNumberFormat="1" applyFont="1" applyFill="1" applyBorder="1" applyAlignment="1">
      <alignment horizontal="right" vertical="center"/>
    </xf>
    <xf numFmtId="0" fontId="68" fillId="0" borderId="1" xfId="29" applyFont="1" applyFill="1" applyBorder="1" applyAlignment="1">
      <alignment horizontal="right" vertical="center"/>
    </xf>
    <xf numFmtId="0" fontId="68" fillId="0" borderId="0" xfId="29" applyFont="1" applyFill="1" applyAlignment="1">
      <alignment vertical="center"/>
    </xf>
    <xf numFmtId="0" fontId="65" fillId="0" borderId="14" xfId="29" applyFont="1" applyFill="1" applyBorder="1" applyAlignment="1">
      <alignment horizontal="center"/>
    </xf>
    <xf numFmtId="0" fontId="65" fillId="0" borderId="5" xfId="29" applyFont="1" applyFill="1" applyBorder="1" applyAlignment="1">
      <alignment horizontal="center"/>
    </xf>
    <xf numFmtId="0" fontId="65" fillId="0" borderId="5" xfId="29" applyFont="1" applyFill="1" applyBorder="1" applyAlignment="1">
      <alignment horizontal="center" wrapText="1"/>
    </xf>
    <xf numFmtId="0" fontId="66" fillId="0" borderId="5" xfId="29" applyFont="1" applyFill="1" applyBorder="1" applyAlignment="1">
      <alignment horizontal="center" wrapText="1"/>
    </xf>
    <xf numFmtId="3" fontId="65" fillId="0" borderId="5" xfId="29" applyNumberFormat="1" applyFont="1" applyFill="1" applyBorder="1" applyAlignment="1">
      <alignment horizontal="center" wrapText="1"/>
    </xf>
    <xf numFmtId="3" fontId="65" fillId="0" borderId="15" xfId="29" applyNumberFormat="1" applyFont="1" applyFill="1" applyBorder="1" applyAlignment="1">
      <alignment horizontal="center" wrapText="1"/>
    </xf>
    <xf numFmtId="0" fontId="69" fillId="0" borderId="1" xfId="29" applyFont="1" applyFill="1" applyBorder="1" applyAlignment="1">
      <alignment horizontal="center" vertical="center" wrapText="1"/>
    </xf>
    <xf numFmtId="3" fontId="5" fillId="0" borderId="1" xfId="29" applyNumberFormat="1" applyFont="1" applyFill="1" applyBorder="1" applyAlignment="1">
      <alignment vertical="center" wrapText="1"/>
    </xf>
    <xf numFmtId="3" fontId="69" fillId="0" borderId="1" xfId="29" applyNumberFormat="1" applyFont="1" applyFill="1" applyBorder="1" applyAlignment="1">
      <alignment vertical="center" wrapText="1"/>
    </xf>
    <xf numFmtId="0" fontId="41" fillId="0" borderId="0" xfId="29" applyFont="1" applyFill="1" applyAlignment="1">
      <alignment vertical="top"/>
    </xf>
    <xf numFmtId="0" fontId="65" fillId="0" borderId="9" xfId="29" applyFont="1" applyFill="1" applyBorder="1" applyAlignment="1">
      <alignment horizontal="center"/>
    </xf>
    <xf numFmtId="0" fontId="65" fillId="0" borderId="10" xfId="29" applyFont="1" applyFill="1" applyBorder="1" applyAlignment="1">
      <alignment horizontal="center"/>
    </xf>
    <xf numFmtId="0" fontId="65" fillId="0" borderId="10" xfId="29" applyFont="1" applyFill="1" applyBorder="1" applyAlignment="1">
      <alignment horizontal="center" wrapText="1"/>
    </xf>
    <xf numFmtId="0" fontId="65" fillId="0" borderId="10" xfId="29" applyFont="1" applyFill="1" applyBorder="1" applyAlignment="1">
      <alignment horizontal="left" wrapText="1"/>
    </xf>
    <xf numFmtId="0" fontId="66" fillId="0" borderId="10" xfId="29" applyFont="1" applyFill="1" applyBorder="1" applyAlignment="1">
      <alignment horizontal="center" wrapText="1"/>
    </xf>
    <xf numFmtId="3" fontId="65" fillId="0" borderId="10" xfId="29" applyNumberFormat="1" applyFont="1" applyFill="1" applyBorder="1" applyAlignment="1">
      <alignment horizontal="center" wrapText="1"/>
    </xf>
    <xf numFmtId="3" fontId="65" fillId="0" borderId="11" xfId="29" applyNumberFormat="1" applyFont="1" applyFill="1" applyBorder="1" applyAlignment="1">
      <alignment horizontal="center" wrapText="1"/>
    </xf>
    <xf numFmtId="3" fontId="67" fillId="0" borderId="1" xfId="29" applyNumberFormat="1" applyFont="1" applyFill="1" applyBorder="1" applyAlignment="1">
      <alignment vertical="center"/>
    </xf>
    <xf numFmtId="3" fontId="68" fillId="0" borderId="1" xfId="29" applyNumberFormat="1" applyFont="1" applyFill="1" applyBorder="1" applyAlignment="1">
      <alignment vertical="center"/>
    </xf>
    <xf numFmtId="49" fontId="70" fillId="0" borderId="1" xfId="29" applyNumberFormat="1" applyFont="1" applyFill="1" applyBorder="1" applyAlignment="1">
      <alignment horizontal="center" vertical="center"/>
    </xf>
    <xf numFmtId="3" fontId="71" fillId="0" borderId="1" xfId="29" applyNumberFormat="1" applyFont="1" applyFill="1" applyBorder="1" applyAlignment="1">
      <alignment vertical="center" wrapText="1"/>
    </xf>
    <xf numFmtId="3" fontId="72" fillId="0" borderId="1" xfId="29" applyNumberFormat="1" applyFont="1" applyFill="1" applyBorder="1" applyAlignment="1">
      <alignment vertical="center" wrapText="1"/>
    </xf>
    <xf numFmtId="0" fontId="73" fillId="0" borderId="0" xfId="29" applyFont="1" applyFill="1" applyAlignment="1">
      <alignment vertical="center"/>
    </xf>
    <xf numFmtId="0" fontId="74" fillId="0" borderId="9" xfId="29" applyFont="1" applyFill="1" applyBorder="1" applyAlignment="1">
      <alignment horizontal="left" vertical="center" wrapText="1"/>
    </xf>
    <xf numFmtId="0" fontId="74" fillId="0" borderId="10" xfId="29" applyFont="1" applyFill="1" applyBorder="1" applyAlignment="1">
      <alignment horizontal="left" vertical="center" wrapText="1"/>
    </xf>
    <xf numFmtId="49" fontId="75" fillId="0" borderId="7" xfId="29" applyNumberFormat="1" applyFont="1" applyFill="1" applyBorder="1" applyAlignment="1">
      <alignment horizontal="center" vertical="center"/>
    </xf>
    <xf numFmtId="0" fontId="57" fillId="0" borderId="7" xfId="29" applyFont="1" applyFill="1" applyBorder="1" applyAlignment="1">
      <alignment vertical="center" wrapText="1"/>
    </xf>
    <xf numFmtId="3" fontId="69" fillId="0" borderId="7" xfId="29" applyNumberFormat="1" applyFont="1" applyFill="1" applyBorder="1" applyAlignment="1">
      <alignment vertical="center" wrapText="1"/>
    </xf>
    <xf numFmtId="3" fontId="69" fillId="0" borderId="8" xfId="29" applyNumberFormat="1" applyFont="1" applyFill="1" applyBorder="1" applyAlignment="1">
      <alignment vertical="center" wrapText="1"/>
    </xf>
    <xf numFmtId="0" fontId="41" fillId="0" borderId="0" xfId="29" applyFont="1" applyFill="1" applyAlignment="1">
      <alignment vertical="center"/>
    </xf>
    <xf numFmtId="0" fontId="74" fillId="0" borderId="1" xfId="29" applyFont="1" applyFill="1" applyBorder="1" applyAlignment="1">
      <alignment horizontal="center" vertical="center" wrapText="1"/>
    </xf>
    <xf numFmtId="3" fontId="9" fillId="0" borderId="1" xfId="29" applyNumberFormat="1" applyFont="1" applyFill="1" applyBorder="1" applyAlignment="1">
      <alignment vertical="center" wrapText="1"/>
    </xf>
    <xf numFmtId="3" fontId="74" fillId="0" borderId="1" xfId="29" applyNumberFormat="1" applyFont="1" applyFill="1" applyBorder="1" applyAlignment="1">
      <alignment vertical="center" wrapText="1"/>
    </xf>
    <xf numFmtId="0" fontId="78" fillId="0" borderId="1" xfId="29" applyFont="1" applyFill="1" applyBorder="1" applyAlignment="1">
      <alignment horizontal="center" vertical="center" wrapText="1"/>
    </xf>
    <xf numFmtId="3" fontId="10" fillId="0" borderId="1" xfId="29" applyNumberFormat="1" applyFont="1" applyFill="1" applyBorder="1" applyAlignment="1">
      <alignment vertical="center" wrapText="1"/>
    </xf>
    <xf numFmtId="3" fontId="78" fillId="0" borderId="1" xfId="29" applyNumberFormat="1" applyFont="1" applyFill="1" applyBorder="1" applyAlignment="1">
      <alignment vertical="center" wrapText="1"/>
    </xf>
    <xf numFmtId="0" fontId="17" fillId="0" borderId="0" xfId="29" applyFont="1" applyFill="1" applyAlignment="1">
      <alignment vertical="center"/>
    </xf>
    <xf numFmtId="0" fontId="5" fillId="0" borderId="1" xfId="29" applyFont="1" applyFill="1" applyBorder="1" applyAlignment="1">
      <alignment horizontal="center" vertical="center" wrapText="1"/>
    </xf>
    <xf numFmtId="0" fontId="38" fillId="0" borderId="13" xfId="31" applyFont="1" applyFill="1" applyBorder="1" applyAlignment="1">
      <alignment horizontal="center" vertical="center" wrapText="1"/>
    </xf>
    <xf numFmtId="3" fontId="5" fillId="0" borderId="2" xfId="29" applyNumberFormat="1" applyFont="1" applyFill="1" applyBorder="1" applyAlignment="1">
      <alignment vertical="center" wrapText="1"/>
    </xf>
    <xf numFmtId="3" fontId="69" fillId="0" borderId="2" xfId="29" applyNumberFormat="1" applyFont="1" applyFill="1" applyBorder="1" applyAlignment="1">
      <alignment vertical="center" wrapText="1"/>
    </xf>
    <xf numFmtId="0" fontId="13" fillId="0" borderId="0" xfId="29" applyFont="1" applyFill="1" applyAlignment="1">
      <alignment vertical="top"/>
    </xf>
    <xf numFmtId="0" fontId="38" fillId="0" borderId="15" xfId="31" applyFont="1" applyFill="1" applyBorder="1" applyAlignment="1">
      <alignment horizontal="center" vertical="center" wrapText="1"/>
    </xf>
    <xf numFmtId="0" fontId="65" fillId="0" borderId="6" xfId="29" applyFont="1" applyFill="1" applyBorder="1" applyAlignment="1">
      <alignment horizontal="center"/>
    </xf>
    <xf numFmtId="0" fontId="65" fillId="0" borderId="7" xfId="29" applyFont="1" applyFill="1" applyBorder="1" applyAlignment="1">
      <alignment horizontal="center"/>
    </xf>
    <xf numFmtId="0" fontId="65" fillId="0" borderId="7" xfId="29" applyFont="1" applyFill="1" applyBorder="1" applyAlignment="1">
      <alignment horizontal="center" wrapText="1"/>
    </xf>
    <xf numFmtId="0" fontId="66" fillId="0" borderId="7" xfId="29" applyFont="1" applyFill="1" applyBorder="1" applyAlignment="1">
      <alignment horizontal="center" wrapText="1"/>
    </xf>
    <xf numFmtId="3" fontId="65" fillId="0" borderId="7" xfId="29" applyNumberFormat="1" applyFont="1" applyFill="1" applyBorder="1" applyAlignment="1">
      <alignment horizontal="center" wrapText="1"/>
    </xf>
    <xf numFmtId="3" fontId="65" fillId="0" borderId="8" xfId="29" applyNumberFormat="1" applyFont="1" applyFill="1" applyBorder="1" applyAlignment="1">
      <alignment horizontal="center" wrapText="1"/>
    </xf>
    <xf numFmtId="49" fontId="79" fillId="0" borderId="1" xfId="29" applyNumberFormat="1" applyFont="1" applyFill="1" applyBorder="1" applyAlignment="1">
      <alignment horizontal="center" vertical="center"/>
    </xf>
    <xf numFmtId="3" fontId="80" fillId="0" borderId="1" xfId="29" applyNumberFormat="1" applyFont="1" applyFill="1" applyBorder="1" applyAlignment="1">
      <alignment vertical="center" wrapText="1"/>
    </xf>
    <xf numFmtId="3" fontId="81" fillId="0" borderId="1" xfId="29" applyNumberFormat="1" applyFont="1" applyFill="1" applyBorder="1" applyAlignment="1">
      <alignment vertical="center" wrapText="1"/>
    </xf>
    <xf numFmtId="0" fontId="82" fillId="0" borderId="0" xfId="29" applyFont="1" applyFill="1" applyAlignment="1">
      <alignment vertical="center"/>
    </xf>
    <xf numFmtId="49" fontId="75" fillId="0" borderId="9" xfId="29" applyNumberFormat="1" applyFont="1" applyFill="1" applyBorder="1" applyAlignment="1">
      <alignment horizontal="left" vertical="center"/>
    </xf>
    <xf numFmtId="49" fontId="75" fillId="0" borderId="10" xfId="29" applyNumberFormat="1" applyFont="1" applyFill="1" applyBorder="1" applyAlignment="1">
      <alignment horizontal="left" vertical="center"/>
    </xf>
    <xf numFmtId="49" fontId="75" fillId="0" borderId="7" xfId="29" applyNumberFormat="1" applyFont="1" applyFill="1" applyBorder="1" applyAlignment="1">
      <alignment horizontal="left" vertical="center"/>
    </xf>
    <xf numFmtId="0" fontId="69" fillId="0" borderId="2" xfId="29" applyFont="1" applyFill="1" applyBorder="1" applyAlignment="1">
      <alignment horizontal="center" vertical="center" wrapText="1"/>
    </xf>
    <xf numFmtId="0" fontId="5" fillId="0" borderId="2" xfId="29" applyFont="1" applyFill="1" applyBorder="1" applyAlignment="1">
      <alignment horizontal="center" vertical="center" wrapText="1"/>
    </xf>
    <xf numFmtId="0" fontId="69" fillId="0" borderId="3" xfId="29" applyFont="1" applyFill="1" applyBorder="1" applyAlignment="1">
      <alignment horizontal="center" vertical="center" wrapText="1"/>
    </xf>
    <xf numFmtId="0" fontId="69" fillId="0" borderId="4" xfId="29" applyFont="1" applyFill="1" applyBorder="1" applyAlignment="1">
      <alignment horizontal="center" vertical="center" wrapText="1"/>
    </xf>
    <xf numFmtId="3" fontId="5" fillId="0" borderId="4" xfId="29" applyNumberFormat="1" applyFont="1" applyFill="1" applyBorder="1" applyAlignment="1">
      <alignment vertical="center" wrapText="1"/>
    </xf>
    <xf numFmtId="3" fontId="69" fillId="0" borderId="4" xfId="29" applyNumberFormat="1" applyFont="1" applyFill="1" applyBorder="1" applyAlignment="1">
      <alignment vertical="center" wrapText="1"/>
    </xf>
    <xf numFmtId="0" fontId="69" fillId="0" borderId="2" xfId="29" applyFont="1" applyFill="1" applyBorder="1" applyAlignment="1">
      <alignment horizontal="center" vertical="top" wrapText="1"/>
    </xf>
    <xf numFmtId="0" fontId="69" fillId="0" borderId="3" xfId="29" applyFont="1" applyFill="1" applyBorder="1" applyAlignment="1">
      <alignment horizontal="center" vertical="top" wrapText="1"/>
    </xf>
    <xf numFmtId="0" fontId="69" fillId="0" borderId="4" xfId="29" applyFont="1" applyFill="1" applyBorder="1" applyAlignment="1">
      <alignment horizontal="center" vertical="top" wrapText="1"/>
    </xf>
    <xf numFmtId="0" fontId="69" fillId="0" borderId="13" xfId="29" applyFont="1" applyFill="1" applyBorder="1" applyAlignment="1">
      <alignment horizontal="center" vertical="center" wrapText="1"/>
    </xf>
    <xf numFmtId="0" fontId="69" fillId="0" borderId="5" xfId="29" applyFont="1" applyFill="1" applyBorder="1" applyAlignment="1">
      <alignment horizontal="center" vertical="center" wrapText="1"/>
    </xf>
    <xf numFmtId="49" fontId="75" fillId="0" borderId="6" xfId="29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5" fillId="0" borderId="8" xfId="29" applyFont="1" applyFill="1" applyBorder="1" applyAlignment="1">
      <alignment horizontal="center" vertical="center" wrapText="1"/>
    </xf>
    <xf numFmtId="0" fontId="76" fillId="0" borderId="8" xfId="29" applyFont="1" applyFill="1" applyBorder="1" applyAlignment="1">
      <alignment horizontal="center" vertical="center" wrapText="1"/>
    </xf>
    <xf numFmtId="3" fontId="5" fillId="0" borderId="1" xfId="29" applyNumberFormat="1" applyFont="1" applyFill="1" applyBorder="1" applyAlignment="1">
      <alignment horizontal="center" vertical="center" wrapText="1"/>
    </xf>
    <xf numFmtId="0" fontId="69" fillId="0" borderId="8" xfId="29" applyFont="1" applyFill="1" applyBorder="1" applyAlignment="1">
      <alignment horizontal="center" vertical="center" wrapText="1"/>
    </xf>
    <xf numFmtId="3" fontId="5" fillId="0" borderId="2" xfId="29" applyNumberFormat="1" applyFont="1" applyFill="1" applyBorder="1" applyAlignment="1">
      <alignment horizontal="center" vertical="center" wrapText="1"/>
    </xf>
    <xf numFmtId="0" fontId="5" fillId="0" borderId="15" xfId="29" applyFont="1" applyFill="1" applyBorder="1" applyAlignment="1">
      <alignment horizontal="center" vertical="center" wrapText="1"/>
    </xf>
    <xf numFmtId="0" fontId="38" fillId="0" borderId="4" xfId="31" applyFont="1" applyFill="1" applyBorder="1" applyAlignment="1">
      <alignment horizontal="center" vertical="center" wrapText="1"/>
    </xf>
    <xf numFmtId="0" fontId="76" fillId="0" borderId="1" xfId="29" applyFont="1" applyFill="1" applyBorder="1" applyAlignment="1">
      <alignment horizontal="center" vertical="center" wrapText="1"/>
    </xf>
    <xf numFmtId="0" fontId="5" fillId="0" borderId="1" xfId="29" applyFont="1" applyFill="1" applyBorder="1" applyAlignment="1" applyProtection="1">
      <alignment horizontal="center" vertical="center" wrapText="1"/>
    </xf>
    <xf numFmtId="3" fontId="5" fillId="0" borderId="1" xfId="29" applyNumberFormat="1" applyFont="1" applyFill="1" applyBorder="1" applyAlignment="1" applyProtection="1">
      <alignment vertical="center" wrapText="1"/>
    </xf>
    <xf numFmtId="3" fontId="69" fillId="0" borderId="1" xfId="29" applyNumberFormat="1" applyFont="1" applyFill="1" applyBorder="1" applyAlignment="1" applyProtection="1">
      <alignment vertical="center" wrapText="1"/>
    </xf>
    <xf numFmtId="0" fontId="13" fillId="0" borderId="0" xfId="29" applyFont="1" applyFill="1" applyAlignment="1" applyProtection="1">
      <alignment vertical="top"/>
    </xf>
    <xf numFmtId="0" fontId="38" fillId="0" borderId="1" xfId="0" applyFont="1" applyFill="1" applyBorder="1" applyAlignment="1" applyProtection="1">
      <alignment horizontal="center" vertical="center" wrapText="1"/>
    </xf>
    <xf numFmtId="0" fontId="13" fillId="0" borderId="0" xfId="29" applyFont="1" applyFill="1" applyAlignment="1" applyProtection="1">
      <alignment vertical="center"/>
    </xf>
    <xf numFmtId="49" fontId="75" fillId="0" borderId="10" xfId="29" applyNumberFormat="1" applyFont="1" applyFill="1" applyBorder="1" applyAlignment="1">
      <alignment horizontal="center" vertical="center"/>
    </xf>
    <xf numFmtId="0" fontId="57" fillId="0" borderId="10" xfId="29" applyFont="1" applyFill="1" applyBorder="1" applyAlignment="1">
      <alignment vertical="center" wrapText="1"/>
    </xf>
    <xf numFmtId="3" fontId="69" fillId="0" borderId="10" xfId="29" applyNumberFormat="1" applyFont="1" applyFill="1" applyBorder="1" applyAlignment="1">
      <alignment vertical="center" wrapText="1"/>
    </xf>
    <xf numFmtId="3" fontId="69" fillId="0" borderId="11" xfId="29" applyNumberFormat="1" applyFont="1" applyFill="1" applyBorder="1" applyAlignment="1">
      <alignment vertical="center" wrapText="1"/>
    </xf>
    <xf numFmtId="0" fontId="68" fillId="0" borderId="1" xfId="29" applyFont="1" applyFill="1" applyBorder="1" applyAlignment="1">
      <alignment horizontal="center" vertical="center" wrapText="1"/>
    </xf>
    <xf numFmtId="0" fontId="68" fillId="0" borderId="0" xfId="29" applyFont="1" applyFill="1" applyAlignment="1">
      <alignment horizontal="center" vertical="center"/>
    </xf>
    <xf numFmtId="0" fontId="13" fillId="0" borderId="0" xfId="29" applyFont="1" applyFill="1" applyBorder="1" applyAlignment="1">
      <alignment horizontal="center" vertical="center"/>
    </xf>
    <xf numFmtId="0" fontId="13" fillId="0" borderId="0" xfId="29" applyFont="1" applyFill="1" applyBorder="1" applyAlignment="1">
      <alignment horizontal="center" vertical="center" wrapText="1"/>
    </xf>
    <xf numFmtId="0" fontId="13" fillId="0" borderId="0" xfId="29" applyFont="1" applyFill="1" applyBorder="1" applyAlignment="1">
      <alignment vertical="center" wrapText="1"/>
    </xf>
    <xf numFmtId="0" fontId="64" fillId="0" borderId="0" xfId="29" applyFont="1" applyFill="1" applyBorder="1" applyAlignment="1">
      <alignment vertical="center" wrapText="1"/>
    </xf>
    <xf numFmtId="3" fontId="13" fillId="0" borderId="0" xfId="29" applyNumberFormat="1" applyFont="1" applyFill="1" applyBorder="1" applyAlignment="1">
      <alignment vertical="center" wrapText="1"/>
    </xf>
    <xf numFmtId="0" fontId="83" fillId="0" borderId="0" xfId="29" applyFont="1" applyFill="1" applyAlignment="1">
      <alignment horizontal="left"/>
    </xf>
    <xf numFmtId="0" fontId="83" fillId="0" borderId="0" xfId="29" applyFont="1" applyFill="1" applyAlignment="1">
      <alignment horizontal="center"/>
    </xf>
    <xf numFmtId="0" fontId="84" fillId="0" borderId="0" xfId="29" applyFont="1" applyFill="1" applyAlignment="1">
      <alignment wrapText="1"/>
    </xf>
    <xf numFmtId="0" fontId="13" fillId="0" borderId="0" xfId="29" applyFont="1" applyFill="1" applyAlignment="1">
      <alignment wrapText="1"/>
    </xf>
    <xf numFmtId="0" fontId="13" fillId="0" borderId="0" xfId="29" applyFont="1" applyFill="1" applyAlignment="1">
      <alignment horizontal="center" wrapText="1"/>
    </xf>
    <xf numFmtId="0" fontId="64" fillId="0" borderId="0" xfId="29" applyFont="1" applyFill="1" applyAlignment="1">
      <alignment wrapText="1"/>
    </xf>
    <xf numFmtId="3" fontId="13" fillId="0" borderId="0" xfId="29" applyNumberFormat="1" applyFont="1" applyFill="1" applyAlignment="1">
      <alignment wrapText="1"/>
    </xf>
    <xf numFmtId="0" fontId="13" fillId="0" borderId="0" xfId="29" applyFont="1" applyFill="1"/>
    <xf numFmtId="0" fontId="84" fillId="0" borderId="0" xfId="29" applyFont="1" applyFill="1" applyAlignment="1">
      <alignment horizontal="left" vertical="center"/>
    </xf>
    <xf numFmtId="0" fontId="84" fillId="0" borderId="0" xfId="29" applyFont="1" applyFill="1" applyAlignment="1">
      <alignment horizontal="center" vertical="center"/>
    </xf>
    <xf numFmtId="0" fontId="84" fillId="0" borderId="0" xfId="29" applyFont="1" applyFill="1" applyAlignment="1">
      <alignment vertical="center" wrapText="1"/>
    </xf>
    <xf numFmtId="0" fontId="13" fillId="0" borderId="0" xfId="29" applyFont="1" applyFill="1" applyAlignment="1">
      <alignment horizontal="center"/>
    </xf>
    <xf numFmtId="0" fontId="13" fillId="0" borderId="0" xfId="29" applyFont="1" applyFill="1" applyAlignment="1">
      <alignment horizontal="left"/>
    </xf>
    <xf numFmtId="0" fontId="7" fillId="0" borderId="0" xfId="29" applyFont="1" applyFill="1" applyAlignment="1">
      <alignment horizontal="center" wrapText="1"/>
    </xf>
    <xf numFmtId="0" fontId="13" fillId="0" borderId="0" xfId="29" applyFont="1" applyFill="1" applyAlignment="1" applyProtection="1">
      <alignment horizontal="center"/>
    </xf>
    <xf numFmtId="3" fontId="13" fillId="0" borderId="0" xfId="29" applyNumberFormat="1" applyFont="1" applyFill="1" applyAlignment="1" applyProtection="1">
      <alignment horizontal="left" wrapText="1"/>
    </xf>
    <xf numFmtId="0" fontId="13" fillId="0" borderId="0" xfId="29" applyFont="1" applyFill="1" applyAlignment="1" applyProtection="1">
      <alignment wrapText="1"/>
    </xf>
    <xf numFmtId="0" fontId="13" fillId="0" borderId="0" xfId="29" applyFont="1" applyFill="1" applyProtection="1"/>
    <xf numFmtId="0" fontId="13" fillId="0" borderId="0" xfId="29" applyFont="1" applyAlignment="1">
      <alignment horizontal="center"/>
    </xf>
    <xf numFmtId="0" fontId="13" fillId="0" borderId="0" xfId="29" applyFont="1" applyAlignment="1">
      <alignment wrapText="1"/>
    </xf>
    <xf numFmtId="0" fontId="13" fillId="0" borderId="0" xfId="29" applyFont="1" applyAlignment="1">
      <alignment horizontal="center" wrapText="1"/>
    </xf>
    <xf numFmtId="3" fontId="13" fillId="0" borderId="0" xfId="29" applyNumberFormat="1" applyFont="1" applyAlignment="1">
      <alignment horizontal="left" wrapText="1"/>
    </xf>
    <xf numFmtId="3" fontId="13" fillId="0" borderId="0" xfId="29" applyNumberFormat="1" applyFont="1" applyAlignment="1">
      <alignment horizontal="center" wrapText="1"/>
    </xf>
    <xf numFmtId="0" fontId="13" fillId="0" borderId="0" xfId="29" applyFont="1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vertical="center"/>
    </xf>
    <xf numFmtId="0" fontId="16" fillId="0" borderId="2" xfId="29" applyFont="1" applyBorder="1" applyAlignment="1">
      <alignment horizontal="center" vertical="top" wrapText="1"/>
    </xf>
    <xf numFmtId="0" fontId="65" fillId="0" borderId="1" xfId="29" applyFont="1" applyBorder="1" applyAlignment="1">
      <alignment horizontal="center"/>
    </xf>
    <xf numFmtId="0" fontId="65" fillId="0" borderId="1" xfId="29" applyFont="1" applyBorder="1" applyAlignment="1">
      <alignment horizontal="center" wrapText="1"/>
    </xf>
    <xf numFmtId="3" fontId="65" fillId="0" borderId="1" xfId="29" applyNumberFormat="1" applyFont="1" applyBorder="1" applyAlignment="1">
      <alignment horizontal="center" wrapText="1"/>
    </xf>
    <xf numFmtId="0" fontId="65" fillId="0" borderId="0" xfId="29" applyFont="1" applyAlignment="1">
      <alignment horizontal="center" wrapText="1"/>
    </xf>
    <xf numFmtId="0" fontId="65" fillId="0" borderId="0" xfId="29" applyFont="1" applyAlignment="1">
      <alignment horizontal="center"/>
    </xf>
    <xf numFmtId="0" fontId="15" fillId="0" borderId="8" xfId="29" applyFont="1" applyBorder="1" applyAlignment="1">
      <alignment horizontal="center" vertical="center" wrapText="1"/>
    </xf>
    <xf numFmtId="3" fontId="15" fillId="0" borderId="1" xfId="29" applyNumberFormat="1" applyFont="1" applyBorder="1" applyAlignment="1">
      <alignment horizontal="right" vertical="center" wrapText="1"/>
    </xf>
    <xf numFmtId="0" fontId="15" fillId="0" borderId="0" xfId="29" applyFont="1" applyAlignment="1">
      <alignment horizontal="center" vertical="center"/>
    </xf>
    <xf numFmtId="49" fontId="13" fillId="0" borderId="2" xfId="29" applyNumberFormat="1" applyFont="1" applyFill="1" applyBorder="1" applyAlignment="1">
      <alignment horizontal="center" vertical="top"/>
    </xf>
    <xf numFmtId="0" fontId="13" fillId="0" borderId="1" xfId="29" applyFont="1" applyFill="1" applyBorder="1" applyAlignment="1">
      <alignment horizontal="center" vertical="center" wrapText="1"/>
    </xf>
    <xf numFmtId="3" fontId="13" fillId="0" borderId="1" xfId="29" applyNumberFormat="1" applyFont="1" applyFill="1" applyBorder="1" applyAlignment="1">
      <alignment horizontal="right" vertical="center"/>
    </xf>
    <xf numFmtId="3" fontId="22" fillId="0" borderId="1" xfId="29" applyNumberFormat="1" applyFont="1" applyFill="1" applyBorder="1" applyAlignment="1">
      <alignment vertical="center" wrapText="1"/>
    </xf>
    <xf numFmtId="0" fontId="13" fillId="0" borderId="0" xfId="29" applyFont="1" applyFill="1" applyAlignment="1">
      <alignment vertical="top" wrapText="1"/>
    </xf>
    <xf numFmtId="49" fontId="13" fillId="0" borderId="3" xfId="29" applyNumberFormat="1" applyFont="1" applyFill="1" applyBorder="1" applyAlignment="1">
      <alignment horizontal="center" vertical="top"/>
    </xf>
    <xf numFmtId="49" fontId="13" fillId="0" borderId="4" xfId="29" applyNumberFormat="1" applyFont="1" applyFill="1" applyBorder="1" applyAlignment="1">
      <alignment horizontal="center" vertical="top"/>
    </xf>
    <xf numFmtId="0" fontId="84" fillId="0" borderId="0" xfId="29" applyFont="1" applyFill="1" applyAlignment="1">
      <alignment vertical="center"/>
    </xf>
    <xf numFmtId="0" fontId="13" fillId="0" borderId="0" xfId="29" applyFont="1" applyFill="1" applyAlignment="1">
      <alignment horizontal="left" wrapText="1"/>
    </xf>
    <xf numFmtId="0" fontId="13" fillId="0" borderId="0" xfId="29" applyFont="1" applyFill="1" applyAlignment="1">
      <alignment horizontal="left" vertical="center" wrapText="1"/>
    </xf>
    <xf numFmtId="3" fontId="13" fillId="0" borderId="0" xfId="29" applyNumberFormat="1" applyFont="1" applyFill="1" applyAlignment="1">
      <alignment horizontal="left" wrapText="1"/>
    </xf>
    <xf numFmtId="0" fontId="84" fillId="0" borderId="0" xfId="29" applyFont="1" applyFill="1" applyAlignment="1">
      <alignment horizontal="left" wrapText="1"/>
    </xf>
    <xf numFmtId="0" fontId="84" fillId="0" borderId="0" xfId="29" applyFont="1" applyFill="1" applyAlignment="1">
      <alignment horizontal="left"/>
    </xf>
    <xf numFmtId="3" fontId="13" fillId="0" borderId="0" xfId="29" applyNumberFormat="1" applyFont="1" applyAlignment="1">
      <alignment wrapText="1"/>
    </xf>
    <xf numFmtId="0" fontId="84" fillId="0" borderId="0" xfId="29" applyFont="1" applyAlignment="1">
      <alignment vertical="center" wrapText="1"/>
    </xf>
    <xf numFmtId="0" fontId="84" fillId="0" borderId="0" xfId="29" applyFont="1" applyAlignment="1">
      <alignment vertical="center"/>
    </xf>
    <xf numFmtId="0" fontId="84" fillId="0" borderId="0" xfId="29" applyFont="1" applyAlignment="1">
      <alignment wrapText="1"/>
    </xf>
    <xf numFmtId="0" fontId="84" fillId="0" borderId="0" xfId="29" applyFont="1"/>
    <xf numFmtId="0" fontId="84" fillId="0" borderId="0" xfId="29" applyFont="1" applyAlignment="1">
      <alignment horizontal="center" vertical="center" wrapText="1"/>
    </xf>
    <xf numFmtId="0" fontId="84" fillId="0" borderId="0" xfId="29" applyFont="1" applyAlignment="1">
      <alignment horizontal="center" vertical="center"/>
    </xf>
    <xf numFmtId="0" fontId="41" fillId="0" borderId="0" xfId="29" applyFont="1" applyAlignment="1">
      <alignment vertical="center"/>
    </xf>
    <xf numFmtId="0" fontId="41" fillId="0" borderId="0" xfId="29" applyFont="1"/>
    <xf numFmtId="0" fontId="16" fillId="0" borderId="0" xfId="29" applyFont="1"/>
    <xf numFmtId="0" fontId="13" fillId="0" borderId="0" xfId="29" applyFont="1" applyAlignment="1">
      <alignment vertical="center" wrapText="1"/>
    </xf>
    <xf numFmtId="0" fontId="13" fillId="0" borderId="0" xfId="29" applyFont="1" applyAlignment="1">
      <alignment vertical="center"/>
    </xf>
    <xf numFmtId="3" fontId="13" fillId="0" borderId="0" xfId="29" applyNumberFormat="1" applyFont="1" applyFill="1" applyAlignment="1" applyProtection="1"/>
    <xf numFmtId="3" fontId="13" fillId="0" borderId="0" xfId="29" applyNumberFormat="1" applyFont="1" applyFill="1" applyAlignment="1">
      <alignment horizontal="center" wrapText="1"/>
    </xf>
    <xf numFmtId="0" fontId="16" fillId="0" borderId="0" xfId="29" applyFont="1" applyFill="1" applyAlignment="1">
      <alignment vertical="center" wrapText="1"/>
    </xf>
    <xf numFmtId="0" fontId="16" fillId="0" borderId="2" xfId="29" applyFont="1" applyFill="1" applyBorder="1" applyAlignment="1">
      <alignment horizontal="center" vertical="top" wrapText="1"/>
    </xf>
    <xf numFmtId="0" fontId="65" fillId="0" borderId="1" xfId="29" applyFont="1" applyFill="1" applyBorder="1" applyAlignment="1">
      <alignment horizontal="center"/>
    </xf>
    <xf numFmtId="0" fontId="65" fillId="0" borderId="1" xfId="29" applyFont="1" applyFill="1" applyBorder="1" applyAlignment="1">
      <alignment horizontal="center" wrapText="1"/>
    </xf>
    <xf numFmtId="3" fontId="65" fillId="0" borderId="1" xfId="29" applyNumberFormat="1" applyFont="1" applyFill="1" applyBorder="1" applyAlignment="1">
      <alignment horizontal="center" wrapText="1"/>
    </xf>
    <xf numFmtId="0" fontId="65" fillId="0" borderId="0" xfId="29" applyFont="1" applyFill="1" applyAlignment="1">
      <alignment horizontal="center" wrapText="1"/>
    </xf>
    <xf numFmtId="0" fontId="15" fillId="0" borderId="8" xfId="29" applyFont="1" applyFill="1" applyBorder="1" applyAlignment="1">
      <alignment horizontal="center" vertical="center" wrapText="1"/>
    </xf>
    <xf numFmtId="3" fontId="15" fillId="0" borderId="1" xfId="29" applyNumberFormat="1" applyFont="1" applyFill="1" applyBorder="1" applyAlignment="1">
      <alignment horizontal="right" vertical="center" wrapText="1"/>
    </xf>
    <xf numFmtId="0" fontId="15" fillId="0" borderId="0" xfId="29" applyFont="1" applyFill="1" applyAlignment="1">
      <alignment horizontal="center" vertical="center"/>
    </xf>
    <xf numFmtId="0" fontId="22" fillId="0" borderId="3" xfId="32" applyNumberFormat="1" applyFont="1" applyFill="1" applyBorder="1" applyAlignment="1">
      <alignment horizontal="center" vertical="top"/>
    </xf>
    <xf numFmtId="1" fontId="22" fillId="0" borderId="3" xfId="32" applyNumberFormat="1" applyFont="1" applyFill="1" applyBorder="1" applyAlignment="1">
      <alignment horizontal="center" vertical="top"/>
    </xf>
    <xf numFmtId="9" fontId="22" fillId="0" borderId="1" xfId="32" applyFont="1" applyFill="1" applyBorder="1" applyAlignment="1">
      <alignment horizontal="center" vertical="center" wrapText="1"/>
    </xf>
    <xf numFmtId="3" fontId="22" fillId="0" borderId="1" xfId="32" applyNumberFormat="1" applyFont="1" applyFill="1" applyBorder="1" applyAlignment="1">
      <alignment horizontal="right" vertical="center"/>
    </xf>
    <xf numFmtId="3" fontId="22" fillId="0" borderId="1" xfId="32" applyNumberFormat="1" applyFont="1" applyFill="1" applyBorder="1" applyAlignment="1">
      <alignment vertical="center" wrapText="1"/>
    </xf>
    <xf numFmtId="9" fontId="13" fillId="0" borderId="0" xfId="32" applyFont="1" applyFill="1" applyAlignment="1">
      <alignment vertical="top" wrapText="1"/>
    </xf>
    <xf numFmtId="9" fontId="13" fillId="0" borderId="0" xfId="32" applyFont="1" applyFill="1" applyAlignment="1">
      <alignment vertical="top"/>
    </xf>
    <xf numFmtId="9" fontId="22" fillId="0" borderId="3" xfId="32" applyFont="1" applyFill="1" applyBorder="1" applyAlignment="1">
      <alignment horizontal="center" vertical="top"/>
    </xf>
    <xf numFmtId="49" fontId="22" fillId="0" borderId="3" xfId="29" applyNumberFormat="1" applyFont="1" applyFill="1" applyBorder="1" applyAlignment="1" applyProtection="1">
      <alignment horizontal="center" vertical="top"/>
    </xf>
    <xf numFmtId="0" fontId="7" fillId="0" borderId="1" xfId="29" applyFont="1" applyFill="1" applyBorder="1" applyAlignment="1" applyProtection="1">
      <alignment horizontal="center" vertical="center" wrapText="1"/>
    </xf>
    <xf numFmtId="3" fontId="22" fillId="0" borderId="1" xfId="29" applyNumberFormat="1" applyFont="1" applyFill="1" applyBorder="1" applyAlignment="1" applyProtection="1">
      <alignment horizontal="right" vertical="center"/>
    </xf>
    <xf numFmtId="3" fontId="22" fillId="0" borderId="1" xfId="29" applyNumberFormat="1" applyFont="1" applyFill="1" applyBorder="1" applyAlignment="1" applyProtection="1">
      <alignment vertical="center" wrapText="1"/>
    </xf>
    <xf numFmtId="0" fontId="13" fillId="0" borderId="0" xfId="29" applyFont="1" applyFill="1" applyAlignment="1" applyProtection="1">
      <alignment vertical="center" wrapText="1"/>
    </xf>
    <xf numFmtId="0" fontId="24" fillId="0" borderId="3" xfId="31" applyFill="1" applyBorder="1" applyAlignment="1" applyProtection="1">
      <alignment horizontal="center" vertical="top"/>
    </xf>
    <xf numFmtId="0" fontId="24" fillId="0" borderId="4" xfId="31" applyFill="1" applyBorder="1" applyAlignment="1" applyProtection="1">
      <alignment horizontal="center" vertical="top"/>
    </xf>
    <xf numFmtId="49" fontId="22" fillId="0" borderId="2" xfId="29" applyNumberFormat="1" applyFont="1" applyFill="1" applyBorder="1" applyAlignment="1">
      <alignment horizontal="center" vertical="top"/>
    </xf>
    <xf numFmtId="0" fontId="22" fillId="0" borderId="1" xfId="29" applyFont="1" applyFill="1" applyBorder="1" applyAlignment="1">
      <alignment horizontal="center" vertical="center" wrapText="1"/>
    </xf>
    <xf numFmtId="3" fontId="22" fillId="0" borderId="1" xfId="29" applyNumberFormat="1" applyFont="1" applyFill="1" applyBorder="1" applyAlignment="1">
      <alignment horizontal="right" vertical="center"/>
    </xf>
    <xf numFmtId="49" fontId="22" fillId="0" borderId="3" xfId="29" applyNumberFormat="1" applyFont="1" applyFill="1" applyBorder="1" applyAlignment="1">
      <alignment horizontal="center" vertical="top"/>
    </xf>
    <xf numFmtId="49" fontId="22" fillId="0" borderId="4" xfId="29" applyNumberFormat="1" applyFont="1" applyFill="1" applyBorder="1" applyAlignment="1">
      <alignment horizontal="center" vertical="top"/>
    </xf>
    <xf numFmtId="49" fontId="22" fillId="0" borderId="2" xfId="29" applyNumberFormat="1" applyFont="1" applyFill="1" applyBorder="1" applyAlignment="1" applyProtection="1">
      <alignment horizontal="center" vertical="top"/>
    </xf>
    <xf numFmtId="0" fontId="22" fillId="0" borderId="1" xfId="29" applyFont="1" applyFill="1" applyBorder="1" applyAlignment="1" applyProtection="1">
      <alignment horizontal="center" vertical="top" wrapText="1"/>
    </xf>
    <xf numFmtId="0" fontId="13" fillId="0" borderId="0" xfId="29" applyFont="1" applyFill="1" applyAlignment="1" applyProtection="1">
      <alignment vertical="top" wrapText="1"/>
    </xf>
    <xf numFmtId="49" fontId="22" fillId="0" borderId="4" xfId="29" applyNumberFormat="1" applyFont="1" applyFill="1" applyBorder="1" applyAlignment="1" applyProtection="1">
      <alignment horizontal="center" vertical="top"/>
    </xf>
    <xf numFmtId="49" fontId="22" fillId="0" borderId="2" xfId="29" applyNumberFormat="1" applyFont="1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 vertical="top"/>
    </xf>
    <xf numFmtId="3" fontId="7" fillId="0" borderId="1" xfId="29" applyNumberFormat="1" applyFont="1" applyFill="1" applyBorder="1" applyAlignment="1" applyProtection="1">
      <alignment horizontal="right" vertical="center"/>
    </xf>
    <xf numFmtId="3" fontId="7" fillId="0" borderId="1" xfId="29" applyNumberFormat="1" applyFont="1" applyFill="1" applyBorder="1" applyAlignment="1" applyProtection="1">
      <alignment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38" fillId="0" borderId="1" xfId="31" applyFont="1" applyFill="1" applyBorder="1" applyAlignment="1">
      <alignment horizontal="center" vertical="center" wrapText="1"/>
    </xf>
    <xf numFmtId="3" fontId="13" fillId="0" borderId="0" xfId="29" applyNumberFormat="1" applyFont="1" applyFill="1" applyAlignment="1">
      <alignment vertical="center" wrapText="1"/>
    </xf>
    <xf numFmtId="0" fontId="84" fillId="0" borderId="0" xfId="29" applyFont="1" applyFill="1"/>
    <xf numFmtId="0" fontId="41" fillId="0" borderId="0" xfId="29" applyFont="1" applyFill="1"/>
    <xf numFmtId="0" fontId="16" fillId="0" borderId="0" xfId="29" applyFont="1" applyFill="1"/>
    <xf numFmtId="49" fontId="35" fillId="4" borderId="9" xfId="17" applyNumberFormat="1" applyFont="1" applyFill="1" applyBorder="1" applyAlignment="1">
      <alignment horizontal="center" vertical="center"/>
    </xf>
    <xf numFmtId="49" fontId="35" fillId="4" borderId="11" xfId="17" applyNumberFormat="1" applyFont="1" applyFill="1" applyBorder="1" applyAlignment="1">
      <alignment horizontal="center" vertical="center"/>
    </xf>
    <xf numFmtId="49" fontId="35" fillId="4" borderId="12" xfId="17" applyNumberFormat="1" applyFont="1" applyFill="1" applyBorder="1" applyAlignment="1">
      <alignment horizontal="center" vertical="center"/>
    </xf>
    <xf numFmtId="49" fontId="35" fillId="4" borderId="13" xfId="17" applyNumberFormat="1" applyFont="1" applyFill="1" applyBorder="1" applyAlignment="1">
      <alignment horizontal="center" vertical="center"/>
    </xf>
    <xf numFmtId="49" fontId="35" fillId="4" borderId="14" xfId="17" applyNumberFormat="1" applyFont="1" applyFill="1" applyBorder="1" applyAlignment="1">
      <alignment horizontal="center" vertical="center"/>
    </xf>
    <xf numFmtId="49" fontId="35" fillId="4" borderId="15" xfId="17" applyNumberFormat="1" applyFont="1" applyFill="1" applyBorder="1" applyAlignment="1">
      <alignment horizontal="center" vertical="center"/>
    </xf>
    <xf numFmtId="49" fontId="7" fillId="0" borderId="2" xfId="17" applyNumberFormat="1" applyFont="1" applyFill="1" applyBorder="1" applyAlignment="1">
      <alignment horizontal="center" vertical="center"/>
    </xf>
    <xf numFmtId="49" fontId="7" fillId="0" borderId="3" xfId="17" applyNumberFormat="1" applyFont="1" applyFill="1" applyBorder="1" applyAlignment="1">
      <alignment horizontal="center" vertical="center"/>
    </xf>
    <xf numFmtId="49" fontId="7" fillId="0" borderId="2" xfId="17" applyNumberFormat="1" applyFont="1" applyFill="1" applyBorder="1" applyAlignment="1">
      <alignment horizontal="left" vertical="center" wrapText="1"/>
    </xf>
    <xf numFmtId="49" fontId="7" fillId="0" borderId="3" xfId="17" applyNumberFormat="1" applyFont="1" applyFill="1" applyBorder="1" applyAlignment="1">
      <alignment horizontal="left" vertical="center" wrapText="1"/>
    </xf>
    <xf numFmtId="49" fontId="7" fillId="0" borderId="4" xfId="17" applyNumberFormat="1" applyFont="1" applyFill="1" applyBorder="1" applyAlignment="1">
      <alignment horizontal="center" vertical="center"/>
    </xf>
    <xf numFmtId="49" fontId="7" fillId="0" borderId="4" xfId="17" applyNumberFormat="1" applyFont="1" applyFill="1" applyBorder="1" applyAlignment="1">
      <alignment horizontal="left" vertical="center" wrapText="1"/>
    </xf>
    <xf numFmtId="49" fontId="25" fillId="4" borderId="9" xfId="17" applyNumberFormat="1" applyFont="1" applyFill="1" applyBorder="1" applyAlignment="1">
      <alignment horizontal="center" vertical="center" wrapText="1"/>
    </xf>
    <xf numFmtId="49" fontId="25" fillId="4" borderId="12" xfId="17" applyNumberFormat="1" applyFont="1" applyFill="1" applyBorder="1" applyAlignment="1">
      <alignment horizontal="center" vertical="center" wrapText="1"/>
    </xf>
    <xf numFmtId="49" fontId="25" fillId="4" borderId="14" xfId="17" applyNumberFormat="1" applyFont="1" applyFill="1" applyBorder="1" applyAlignment="1">
      <alignment horizontal="center" vertical="center" wrapText="1"/>
    </xf>
    <xf numFmtId="3" fontId="32" fillId="4" borderId="11" xfId="17" applyNumberFormat="1" applyFont="1" applyFill="1" applyBorder="1" applyAlignment="1">
      <alignment horizontal="left" vertical="center" wrapText="1"/>
    </xf>
    <xf numFmtId="3" fontId="32" fillId="4" borderId="13" xfId="17" applyNumberFormat="1" applyFont="1" applyFill="1" applyBorder="1" applyAlignment="1">
      <alignment horizontal="left" vertical="center" wrapText="1"/>
    </xf>
    <xf numFmtId="3" fontId="32" fillId="4" borderId="15" xfId="17" applyNumberFormat="1" applyFont="1" applyFill="1" applyBorder="1" applyAlignment="1">
      <alignment horizontal="left" vertical="center" wrapText="1"/>
    </xf>
    <xf numFmtId="49" fontId="7" fillId="0" borderId="1" xfId="17" applyNumberFormat="1" applyFont="1" applyFill="1" applyBorder="1" applyAlignment="1">
      <alignment horizontal="center" vertical="center" wrapText="1"/>
    </xf>
    <xf numFmtId="3" fontId="7" fillId="0" borderId="1" xfId="17" applyNumberFormat="1" applyFont="1" applyFill="1" applyBorder="1" applyAlignment="1">
      <alignment horizontal="left" vertical="center" wrapText="1"/>
    </xf>
    <xf numFmtId="49" fontId="7" fillId="0" borderId="6" xfId="17" applyNumberFormat="1" applyFont="1" applyFill="1" applyBorder="1" applyAlignment="1">
      <alignment horizontal="center" vertical="center" wrapText="1"/>
    </xf>
    <xf numFmtId="49" fontId="7" fillId="0" borderId="7" xfId="17" applyNumberFormat="1" applyFont="1" applyFill="1" applyBorder="1" applyAlignment="1">
      <alignment horizontal="center" vertical="center" wrapText="1"/>
    </xf>
    <xf numFmtId="49" fontId="7" fillId="0" borderId="8" xfId="17" applyNumberFormat="1" applyFont="1" applyFill="1" applyBorder="1" applyAlignment="1">
      <alignment horizontal="center" vertical="center" wrapText="1"/>
    </xf>
    <xf numFmtId="49" fontId="7" fillId="0" borderId="2" xfId="17" applyNumberFormat="1" applyFont="1" applyFill="1" applyBorder="1" applyAlignment="1">
      <alignment horizontal="center" vertical="center" wrapText="1"/>
    </xf>
    <xf numFmtId="49" fontId="7" fillId="0" borderId="3" xfId="17" applyNumberFormat="1" applyFont="1" applyFill="1" applyBorder="1" applyAlignment="1">
      <alignment horizontal="center" vertical="center" wrapText="1"/>
    </xf>
    <xf numFmtId="49" fontId="7" fillId="0" borderId="4" xfId="17" applyNumberFormat="1" applyFont="1" applyFill="1" applyBorder="1" applyAlignment="1">
      <alignment horizontal="center" vertical="center" wrapText="1"/>
    </xf>
    <xf numFmtId="3" fontId="7" fillId="0" borderId="2" xfId="17" applyNumberFormat="1" applyFont="1" applyFill="1" applyBorder="1" applyAlignment="1">
      <alignment horizontal="left" vertical="center" wrapText="1"/>
    </xf>
    <xf numFmtId="3" fontId="7" fillId="0" borderId="3" xfId="17" applyNumberFormat="1" applyFont="1" applyFill="1" applyBorder="1" applyAlignment="1">
      <alignment horizontal="left" vertical="center" wrapText="1"/>
    </xf>
    <xf numFmtId="3" fontId="7" fillId="0" borderId="4" xfId="17" applyNumberFormat="1" applyFont="1" applyFill="1" applyBorder="1" applyAlignment="1">
      <alignment horizontal="left" vertical="center" wrapText="1"/>
    </xf>
    <xf numFmtId="3" fontId="32" fillId="4" borderId="9" xfId="17" applyNumberFormat="1" applyFont="1" applyFill="1" applyBorder="1" applyAlignment="1">
      <alignment horizontal="center" vertical="center" wrapText="1"/>
    </xf>
    <xf numFmtId="3" fontId="32" fillId="4" borderId="11" xfId="17" applyNumberFormat="1" applyFont="1" applyFill="1" applyBorder="1" applyAlignment="1">
      <alignment horizontal="center" vertical="center" wrapText="1"/>
    </xf>
    <xf numFmtId="3" fontId="32" fillId="4" borderId="12" xfId="17" applyNumberFormat="1" applyFont="1" applyFill="1" applyBorder="1" applyAlignment="1">
      <alignment horizontal="center" vertical="center" wrapText="1"/>
    </xf>
    <xf numFmtId="3" fontId="32" fillId="4" borderId="13" xfId="17" applyNumberFormat="1" applyFont="1" applyFill="1" applyBorder="1" applyAlignment="1">
      <alignment horizontal="center" vertical="center" wrapText="1"/>
    </xf>
    <xf numFmtId="3" fontId="32" fillId="4" borderId="14" xfId="17" applyNumberFormat="1" applyFont="1" applyFill="1" applyBorder="1" applyAlignment="1">
      <alignment horizontal="center" vertical="center" wrapText="1"/>
    </xf>
    <xf numFmtId="3" fontId="32" fillId="4" borderId="15" xfId="17" applyNumberFormat="1" applyFont="1" applyFill="1" applyBorder="1" applyAlignment="1">
      <alignment horizontal="center" vertical="center" wrapText="1"/>
    </xf>
    <xf numFmtId="2" fontId="25" fillId="0" borderId="9" xfId="17" applyNumberFormat="1" applyFont="1" applyFill="1" applyBorder="1" applyAlignment="1">
      <alignment horizontal="center" vertical="center" wrapText="1"/>
    </xf>
    <xf numFmtId="2" fontId="25" fillId="0" borderId="14" xfId="17" applyNumberFormat="1" applyFont="1" applyFill="1" applyBorder="1" applyAlignment="1">
      <alignment horizontal="center" vertical="center" wrapText="1"/>
    </xf>
    <xf numFmtId="2" fontId="25" fillId="0" borderId="2" xfId="17" applyNumberFormat="1" applyFont="1" applyFill="1" applyBorder="1" applyAlignment="1">
      <alignment horizontal="center" vertical="center" wrapText="1"/>
    </xf>
    <xf numFmtId="2" fontId="25" fillId="0" borderId="4" xfId="17" applyNumberFormat="1" applyFont="1" applyFill="1" applyBorder="1" applyAlignment="1">
      <alignment horizontal="center" vertical="center" wrapText="1"/>
    </xf>
    <xf numFmtId="49" fontId="27" fillId="0" borderId="0" xfId="17" applyNumberFormat="1" applyFont="1" applyFill="1" applyAlignment="1">
      <alignment horizontal="center" vertical="center"/>
    </xf>
    <xf numFmtId="0" fontId="7" fillId="0" borderId="0" xfId="17" applyNumberFormat="1" applyFont="1" applyFill="1" applyAlignment="1">
      <alignment horizontal="left" vertical="center" wrapText="1"/>
    </xf>
    <xf numFmtId="49" fontId="25" fillId="0" borderId="2" xfId="17" applyNumberFormat="1" applyFont="1" applyFill="1" applyBorder="1" applyAlignment="1">
      <alignment horizontal="center" vertical="center" wrapText="1"/>
    </xf>
    <xf numFmtId="49" fontId="25" fillId="0" borderId="3" xfId="17" applyNumberFormat="1" applyFont="1" applyFill="1" applyBorder="1" applyAlignment="1">
      <alignment horizontal="center" vertical="center" wrapText="1"/>
    </xf>
    <xf numFmtId="49" fontId="25" fillId="0" borderId="4" xfId="17" applyNumberFormat="1" applyFont="1" applyFill="1" applyBorder="1" applyAlignment="1">
      <alignment horizontal="center" vertical="center" wrapText="1"/>
    </xf>
    <xf numFmtId="49" fontId="25" fillId="0" borderId="9" xfId="17" applyNumberFormat="1" applyFont="1" applyFill="1" applyBorder="1" applyAlignment="1">
      <alignment horizontal="center" vertical="center" wrapText="1"/>
    </xf>
    <xf numFmtId="49" fontId="25" fillId="0" borderId="12" xfId="17" applyNumberFormat="1" applyFont="1" applyFill="1" applyBorder="1" applyAlignment="1">
      <alignment horizontal="center" vertical="center" wrapText="1"/>
    </xf>
    <xf numFmtId="49" fontId="25" fillId="0" borderId="14" xfId="17" applyNumberFormat="1" applyFont="1" applyFill="1" applyBorder="1" applyAlignment="1">
      <alignment horizontal="center" vertical="center" wrapText="1"/>
    </xf>
    <xf numFmtId="2" fontId="8" fillId="0" borderId="2" xfId="17" applyNumberFormat="1" applyFont="1" applyFill="1" applyBorder="1" applyAlignment="1">
      <alignment horizontal="center" vertical="center" wrapText="1"/>
    </xf>
    <xf numFmtId="2" fontId="8" fillId="0" borderId="3" xfId="17" applyNumberFormat="1" applyFont="1" applyFill="1" applyBorder="1" applyAlignment="1">
      <alignment horizontal="center" vertical="center" wrapText="1"/>
    </xf>
    <xf numFmtId="2" fontId="8" fillId="0" borderId="4" xfId="17" applyNumberFormat="1" applyFont="1" applyFill="1" applyBorder="1" applyAlignment="1">
      <alignment horizontal="center" vertical="center" wrapText="1"/>
    </xf>
    <xf numFmtId="2" fontId="25" fillId="0" borderId="12" xfId="17" applyNumberFormat="1" applyFont="1" applyFill="1" applyBorder="1" applyAlignment="1">
      <alignment horizontal="center" vertical="center" wrapText="1"/>
    </xf>
    <xf numFmtId="2" fontId="25" fillId="0" borderId="3" xfId="17" applyNumberFormat="1" applyFont="1" applyFill="1" applyBorder="1" applyAlignment="1">
      <alignment horizontal="center" vertical="center" wrapText="1"/>
    </xf>
    <xf numFmtId="2" fontId="25" fillId="0" borderId="10" xfId="17" applyNumberFormat="1" applyFont="1" applyFill="1" applyBorder="1" applyAlignment="1">
      <alignment horizontal="center" vertical="center" wrapText="1"/>
    </xf>
    <xf numFmtId="2" fontId="25" fillId="0" borderId="11" xfId="17" applyNumberFormat="1" applyFont="1" applyFill="1" applyBorder="1" applyAlignment="1">
      <alignment horizontal="center" vertical="center" wrapText="1"/>
    </xf>
    <xf numFmtId="2" fontId="25" fillId="0" borderId="6" xfId="17" applyNumberFormat="1" applyFont="1" applyFill="1" applyBorder="1" applyAlignment="1">
      <alignment horizontal="center" vertical="center" wrapText="1"/>
    </xf>
    <xf numFmtId="2" fontId="25" fillId="0" borderId="7" xfId="17" applyNumberFormat="1" applyFont="1" applyFill="1" applyBorder="1" applyAlignment="1">
      <alignment horizontal="center" vertical="center" wrapText="1"/>
    </xf>
    <xf numFmtId="2" fontId="25" fillId="0" borderId="8" xfId="17" applyNumberFormat="1" applyFont="1" applyFill="1" applyBorder="1" applyAlignment="1">
      <alignment horizontal="center" vertical="center" wrapText="1"/>
    </xf>
    <xf numFmtId="2" fontId="8" fillId="0" borderId="9" xfId="17" applyNumberFormat="1" applyFont="1" applyFill="1" applyBorder="1" applyAlignment="1">
      <alignment horizontal="center" vertical="center" wrapText="1"/>
    </xf>
    <xf numFmtId="2" fontId="8" fillId="0" borderId="11" xfId="17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left" vertical="center" wrapText="1"/>
    </xf>
    <xf numFmtId="4" fontId="11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3" fillId="0" borderId="3" xfId="21" applyFont="1" applyFill="1" applyBorder="1" applyAlignment="1">
      <alignment horizontal="center" wrapText="1"/>
    </xf>
    <xf numFmtId="0" fontId="21" fillId="0" borderId="4" xfId="21" applyFont="1" applyFill="1" applyBorder="1" applyAlignment="1">
      <alignment horizontal="center" wrapText="1"/>
    </xf>
    <xf numFmtId="0" fontId="21" fillId="0" borderId="3" xfId="21" applyFont="1" applyFill="1" applyBorder="1" applyAlignment="1">
      <alignment horizontal="center" wrapText="1"/>
    </xf>
    <xf numFmtId="0" fontId="22" fillId="0" borderId="0" xfId="24" applyFont="1" applyAlignment="1">
      <alignment horizontal="left" vertical="center" wrapText="1"/>
    </xf>
    <xf numFmtId="0" fontId="22" fillId="0" borderId="0" xfId="22" applyFont="1" applyFill="1" applyAlignment="1">
      <alignment horizontal="left" wrapText="1"/>
    </xf>
    <xf numFmtId="0" fontId="16" fillId="0" borderId="1" xfId="21" applyFont="1" applyFill="1" applyBorder="1" applyAlignment="1">
      <alignment horizontal="center" vertical="center" wrapText="1"/>
    </xf>
    <xf numFmtId="0" fontId="16" fillId="0" borderId="6" xfId="21" applyFont="1" applyFill="1" applyBorder="1" applyAlignment="1">
      <alignment horizontal="center" vertical="center" wrapText="1"/>
    </xf>
    <xf numFmtId="0" fontId="16" fillId="0" borderId="1" xfId="21" applyFont="1" applyBorder="1" applyAlignment="1">
      <alignment horizontal="center" vertical="center" wrapText="1"/>
    </xf>
    <xf numFmtId="0" fontId="16" fillId="0" borderId="8" xfId="21" applyFont="1" applyBorder="1" applyAlignment="1">
      <alignment horizontal="center" vertical="center" wrapText="1"/>
    </xf>
    <xf numFmtId="0" fontId="47" fillId="0" borderId="3" xfId="21" applyFont="1" applyFill="1" applyBorder="1" applyAlignment="1">
      <alignment horizontal="left" wrapText="1"/>
    </xf>
    <xf numFmtId="0" fontId="45" fillId="0" borderId="3" xfId="21" applyFont="1" applyFill="1" applyBorder="1" applyAlignment="1">
      <alignment horizontal="center" wrapText="1"/>
    </xf>
    <xf numFmtId="3" fontId="12" fillId="7" borderId="1" xfId="26" applyNumberFormat="1" applyFont="1" applyFill="1" applyBorder="1" applyAlignment="1">
      <alignment horizontal="right" vertical="center"/>
    </xf>
    <xf numFmtId="3" fontId="16" fillId="0" borderId="2" xfId="25" applyNumberFormat="1" applyFont="1" applyFill="1" applyBorder="1" applyAlignment="1">
      <alignment horizontal="center" vertical="center" wrapText="1"/>
    </xf>
    <xf numFmtId="3" fontId="16" fillId="0" borderId="4" xfId="25" applyNumberFormat="1" applyFont="1" applyFill="1" applyBorder="1" applyAlignment="1">
      <alignment horizontal="center" vertical="center" wrapText="1"/>
    </xf>
    <xf numFmtId="0" fontId="62" fillId="0" borderId="1" xfId="25" applyFont="1" applyFill="1" applyBorder="1" applyAlignment="1">
      <alignment horizontal="center" vertical="center" wrapText="1"/>
    </xf>
    <xf numFmtId="3" fontId="57" fillId="0" borderId="1" xfId="26" applyNumberFormat="1" applyFont="1" applyBorder="1" applyAlignment="1">
      <alignment horizontal="right" vertical="center"/>
    </xf>
    <xf numFmtId="0" fontId="15" fillId="0" borderId="1" xfId="25" applyFont="1" applyFill="1" applyBorder="1" applyAlignment="1">
      <alignment horizontal="center" vertical="center" wrapText="1"/>
    </xf>
    <xf numFmtId="3" fontId="57" fillId="7" borderId="1" xfId="26" applyNumberFormat="1" applyFont="1" applyFill="1" applyBorder="1" applyAlignment="1">
      <alignment horizontal="right" vertical="center"/>
    </xf>
    <xf numFmtId="3" fontId="13" fillId="0" borderId="2" xfId="25" applyNumberFormat="1" applyFont="1" applyFill="1" applyBorder="1" applyAlignment="1">
      <alignment horizontal="center" vertical="center" wrapText="1"/>
    </xf>
    <xf numFmtId="3" fontId="13" fillId="0" borderId="4" xfId="25" applyNumberFormat="1" applyFont="1" applyFill="1" applyBorder="1" applyAlignment="1">
      <alignment horizontal="center" vertical="center" wrapText="1"/>
    </xf>
    <xf numFmtId="0" fontId="13" fillId="0" borderId="1" xfId="25" applyFont="1" applyFill="1" applyBorder="1" applyAlignment="1">
      <alignment horizontal="center" vertical="center" wrapText="1"/>
    </xf>
    <xf numFmtId="0" fontId="13" fillId="0" borderId="1" xfId="25" applyFont="1" applyFill="1" applyBorder="1" applyAlignment="1">
      <alignment horizontal="center" vertical="center"/>
    </xf>
    <xf numFmtId="0" fontId="59" fillId="0" borderId="1" xfId="25" applyFont="1" applyFill="1" applyBorder="1" applyAlignment="1">
      <alignment horizontal="center" vertical="center"/>
    </xf>
    <xf numFmtId="49" fontId="13" fillId="0" borderId="1" xfId="25" applyNumberFormat="1" applyFont="1" applyFill="1" applyBorder="1" applyAlignment="1">
      <alignment horizontal="center" vertical="center"/>
    </xf>
    <xf numFmtId="0" fontId="59" fillId="0" borderId="1" xfId="25" applyFont="1" applyFill="1" applyBorder="1" applyAlignment="1">
      <alignment horizontal="left" vertical="center" wrapText="1"/>
    </xf>
    <xf numFmtId="0" fontId="13" fillId="8" borderId="1" xfId="25" applyFont="1" applyFill="1" applyBorder="1" applyAlignment="1">
      <alignment horizontal="center" vertical="center"/>
    </xf>
    <xf numFmtId="0" fontId="13" fillId="0" borderId="2" xfId="25" applyFont="1" applyFill="1" applyBorder="1" applyAlignment="1">
      <alignment horizontal="center" vertical="center" wrapText="1"/>
    </xf>
    <xf numFmtId="0" fontId="13" fillId="0" borderId="3" xfId="25" applyFont="1" applyFill="1" applyBorder="1" applyAlignment="1">
      <alignment horizontal="center" vertical="center" wrapText="1"/>
    </xf>
    <xf numFmtId="0" fontId="13" fillId="0" borderId="4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/>
    </xf>
    <xf numFmtId="0" fontId="13" fillId="0" borderId="3" xfId="25" applyFont="1" applyFill="1" applyBorder="1" applyAlignment="1">
      <alignment horizontal="center" vertical="center"/>
    </xf>
    <xf numFmtId="0" fontId="13" fillId="0" borderId="4" xfId="25" applyFont="1" applyFill="1" applyBorder="1" applyAlignment="1">
      <alignment horizontal="center" vertical="center"/>
    </xf>
    <xf numFmtId="0" fontId="59" fillId="0" borderId="2" xfId="25" applyFont="1" applyFill="1" applyBorder="1" applyAlignment="1">
      <alignment horizontal="center" vertical="center"/>
    </xf>
    <xf numFmtId="0" fontId="59" fillId="0" borderId="3" xfId="25" applyFont="1" applyFill="1" applyBorder="1" applyAlignment="1">
      <alignment horizontal="center" vertical="center"/>
    </xf>
    <xf numFmtId="0" fontId="59" fillId="0" borderId="4" xfId="25" applyFont="1" applyFill="1" applyBorder="1" applyAlignment="1">
      <alignment horizontal="center" vertical="center"/>
    </xf>
    <xf numFmtId="49" fontId="13" fillId="0" borderId="2" xfId="25" applyNumberFormat="1" applyFont="1" applyFill="1" applyBorder="1" applyAlignment="1">
      <alignment horizontal="center" vertical="center"/>
    </xf>
    <xf numFmtId="49" fontId="13" fillId="0" borderId="3" xfId="25" applyNumberFormat="1" applyFont="1" applyFill="1" applyBorder="1" applyAlignment="1">
      <alignment horizontal="center" vertical="center"/>
    </xf>
    <xf numFmtId="49" fontId="13" fillId="0" borderId="4" xfId="25" applyNumberFormat="1" applyFont="1" applyFill="1" applyBorder="1" applyAlignment="1">
      <alignment horizontal="center" vertical="center"/>
    </xf>
    <xf numFmtId="0" fontId="59" fillId="0" borderId="2" xfId="25" applyFont="1" applyFill="1" applyBorder="1" applyAlignment="1">
      <alignment horizontal="left" vertical="center" wrapText="1"/>
    </xf>
    <xf numFmtId="0" fontId="59" fillId="0" borderId="3" xfId="25" applyFont="1" applyFill="1" applyBorder="1" applyAlignment="1">
      <alignment horizontal="left" vertical="center" wrapText="1"/>
    </xf>
    <xf numFmtId="0" fontId="59" fillId="0" borderId="4" xfId="25" applyFont="1" applyFill="1" applyBorder="1" applyAlignment="1">
      <alignment horizontal="left" vertical="center" wrapText="1"/>
    </xf>
    <xf numFmtId="0" fontId="59" fillId="0" borderId="1" xfId="25" applyFont="1" applyBorder="1" applyAlignment="1">
      <alignment horizontal="center" vertical="center"/>
    </xf>
    <xf numFmtId="49" fontId="13" fillId="0" borderId="1" xfId="25" applyNumberFormat="1" applyFont="1" applyBorder="1" applyAlignment="1">
      <alignment horizontal="center" vertical="center"/>
    </xf>
    <xf numFmtId="0" fontId="59" fillId="0" borderId="1" xfId="25" applyFont="1" applyBorder="1" applyAlignment="1">
      <alignment horizontal="left" vertical="center" wrapText="1"/>
    </xf>
    <xf numFmtId="0" fontId="13" fillId="0" borderId="1" xfId="25" applyFont="1" applyBorder="1" applyAlignment="1">
      <alignment horizontal="center" vertical="center" wrapText="1"/>
    </xf>
    <xf numFmtId="0" fontId="13" fillId="0" borderId="2" xfId="25" applyFont="1" applyBorder="1" applyAlignment="1">
      <alignment horizontal="center" vertical="center" wrapText="1"/>
    </xf>
    <xf numFmtId="0" fontId="13" fillId="0" borderId="3" xfId="25" applyFont="1" applyBorder="1" applyAlignment="1">
      <alignment horizontal="center" vertical="center" wrapText="1"/>
    </xf>
    <xf numFmtId="0" fontId="13" fillId="0" borderId="4" xfId="25" applyFont="1" applyBorder="1" applyAlignment="1">
      <alignment horizontal="center" vertical="center" wrapText="1"/>
    </xf>
    <xf numFmtId="49" fontId="59" fillId="0" borderId="1" xfId="25" applyNumberFormat="1" applyFont="1" applyFill="1" applyBorder="1" applyAlignment="1">
      <alignment horizontal="center" vertical="center"/>
    </xf>
    <xf numFmtId="49" fontId="13" fillId="0" borderId="2" xfId="25" applyNumberFormat="1" applyFont="1" applyFill="1" applyBorder="1" applyAlignment="1">
      <alignment horizontal="center" vertical="center" wrapText="1"/>
    </xf>
    <xf numFmtId="49" fontId="13" fillId="0" borderId="3" xfId="25" applyNumberFormat="1" applyFont="1" applyFill="1" applyBorder="1" applyAlignment="1">
      <alignment horizontal="center" vertical="center" wrapText="1"/>
    </xf>
    <xf numFmtId="49" fontId="13" fillId="0" borderId="4" xfId="25" applyNumberFormat="1" applyFont="1" applyFill="1" applyBorder="1" applyAlignment="1">
      <alignment horizontal="center" vertical="center" wrapText="1"/>
    </xf>
    <xf numFmtId="0" fontId="55" fillId="7" borderId="6" xfId="25" applyFont="1" applyFill="1" applyBorder="1" applyAlignment="1">
      <alignment horizontal="center" vertical="center"/>
    </xf>
    <xf numFmtId="0" fontId="55" fillId="7" borderId="7" xfId="25" applyFont="1" applyFill="1" applyBorder="1" applyAlignment="1">
      <alignment horizontal="center" vertical="center"/>
    </xf>
    <xf numFmtId="0" fontId="55" fillId="7" borderId="8" xfId="25" applyFont="1" applyFill="1" applyBorder="1" applyAlignment="1">
      <alignment horizontal="center" vertical="center"/>
    </xf>
    <xf numFmtId="0" fontId="61" fillId="0" borderId="1" xfId="25" applyFont="1" applyFill="1" applyBorder="1" applyAlignment="1">
      <alignment horizontal="center" vertical="center" wrapText="1"/>
    </xf>
    <xf numFmtId="0" fontId="13" fillId="8" borderId="2" xfId="25" applyFont="1" applyFill="1" applyBorder="1" applyAlignment="1">
      <alignment horizontal="center" vertical="center"/>
    </xf>
    <xf numFmtId="0" fontId="13" fillId="8" borderId="3" xfId="25" applyFont="1" applyFill="1" applyBorder="1" applyAlignment="1">
      <alignment horizontal="center" vertical="center"/>
    </xf>
    <xf numFmtId="0" fontId="13" fillId="8" borderId="4" xfId="25" applyFont="1" applyFill="1" applyBorder="1" applyAlignment="1">
      <alignment horizontal="center" vertical="center"/>
    </xf>
    <xf numFmtId="0" fontId="56" fillId="0" borderId="1" xfId="27" applyBorder="1" applyAlignment="1">
      <alignment horizontal="center"/>
    </xf>
    <xf numFmtId="0" fontId="13" fillId="8" borderId="1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left" vertical="center" wrapText="1"/>
    </xf>
    <xf numFmtId="0" fontId="13" fillId="0" borderId="3" xfId="25" applyFont="1" applyFill="1" applyBorder="1" applyAlignment="1">
      <alignment horizontal="left" vertical="center" wrapText="1"/>
    </xf>
    <xf numFmtId="0" fontId="13" fillId="0" borderId="4" xfId="25" applyFont="1" applyFill="1" applyBorder="1" applyAlignment="1">
      <alignment horizontal="left" vertical="center" wrapText="1"/>
    </xf>
    <xf numFmtId="0" fontId="13" fillId="3" borderId="1" xfId="25" applyFont="1" applyFill="1" applyBorder="1" applyAlignment="1">
      <alignment horizontal="center" vertical="center" wrapText="1"/>
    </xf>
    <xf numFmtId="0" fontId="13" fillId="0" borderId="2" xfId="25" applyFont="1" applyBorder="1" applyAlignment="1">
      <alignment horizontal="left" vertical="center" wrapText="1"/>
    </xf>
    <xf numFmtId="0" fontId="13" fillId="0" borderId="3" xfId="25" applyFont="1" applyBorder="1" applyAlignment="1">
      <alignment horizontal="left" vertical="center" wrapText="1"/>
    </xf>
    <xf numFmtId="0" fontId="13" fillId="0" borderId="4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 vertical="center"/>
    </xf>
    <xf numFmtId="0" fontId="13" fillId="0" borderId="3" xfId="25" applyFont="1" applyBorder="1" applyAlignment="1">
      <alignment horizontal="center" vertical="center"/>
    </xf>
    <xf numFmtId="0" fontId="13" fillId="0" borderId="4" xfId="25" applyFont="1" applyBorder="1" applyAlignment="1">
      <alignment horizontal="center" vertical="center"/>
    </xf>
    <xf numFmtId="0" fontId="13" fillId="0" borderId="1" xfId="25" applyFont="1" applyFill="1" applyBorder="1" applyAlignment="1">
      <alignment horizontal="left" vertical="center" wrapText="1"/>
    </xf>
    <xf numFmtId="0" fontId="13" fillId="9" borderId="1" xfId="25" applyFont="1" applyFill="1" applyBorder="1" applyAlignment="1">
      <alignment horizontal="center" vertical="center" wrapText="1"/>
    </xf>
    <xf numFmtId="0" fontId="13" fillId="0" borderId="1" xfId="25" applyFont="1" applyBorder="1" applyAlignment="1">
      <alignment horizontal="left" vertical="center" wrapText="1"/>
    </xf>
    <xf numFmtId="0" fontId="13" fillId="0" borderId="1" xfId="25" applyFont="1" applyBorder="1" applyAlignment="1">
      <alignment horizontal="center" vertical="center"/>
    </xf>
    <xf numFmtId="0" fontId="59" fillId="0" borderId="1" xfId="25" applyFont="1" applyFill="1" applyBorder="1" applyAlignment="1">
      <alignment horizontal="center" vertical="center" wrapText="1"/>
    </xf>
    <xf numFmtId="3" fontId="13" fillId="0" borderId="2" xfId="25" applyNumberFormat="1" applyFont="1" applyBorder="1" applyAlignment="1">
      <alignment horizontal="center" vertical="center" wrapText="1"/>
    </xf>
    <xf numFmtId="3" fontId="13" fillId="0" borderId="4" xfId="25" applyNumberFormat="1" applyFont="1" applyBorder="1" applyAlignment="1">
      <alignment horizontal="center" vertical="center" wrapText="1"/>
    </xf>
    <xf numFmtId="0" fontId="16" fillId="0" borderId="1" xfId="25" applyFont="1" applyFill="1" applyBorder="1" applyAlignment="1">
      <alignment horizontal="center" vertical="center"/>
    </xf>
    <xf numFmtId="0" fontId="53" fillId="0" borderId="1" xfId="25" applyFont="1" applyFill="1" applyBorder="1" applyAlignment="1">
      <alignment horizontal="center" vertical="center"/>
    </xf>
    <xf numFmtId="0" fontId="16" fillId="0" borderId="1" xfId="25" applyFont="1" applyFill="1" applyBorder="1" applyAlignment="1">
      <alignment horizontal="center" vertical="center" wrapText="1"/>
    </xf>
    <xf numFmtId="0" fontId="54" fillId="0" borderId="1" xfId="25" applyFont="1" applyFill="1" applyBorder="1" applyAlignment="1">
      <alignment horizontal="center"/>
    </xf>
    <xf numFmtId="0" fontId="52" fillId="0" borderId="1" xfId="25" applyFont="1" applyFill="1" applyBorder="1" applyAlignment="1">
      <alignment horizontal="center" vertical="center"/>
    </xf>
    <xf numFmtId="0" fontId="21" fillId="0" borderId="2" xfId="25" applyFont="1" applyFill="1" applyBorder="1" applyAlignment="1">
      <alignment horizontal="center" vertical="center" wrapText="1"/>
    </xf>
    <xf numFmtId="0" fontId="21" fillId="0" borderId="3" xfId="25" applyFont="1" applyFill="1" applyBorder="1" applyAlignment="1">
      <alignment horizontal="center" vertical="center" wrapText="1"/>
    </xf>
    <xf numFmtId="0" fontId="21" fillId="0" borderId="4" xfId="25" applyFont="1" applyFill="1" applyBorder="1" applyAlignment="1">
      <alignment horizontal="center" vertical="center" wrapText="1"/>
    </xf>
    <xf numFmtId="0" fontId="15" fillId="0" borderId="1" xfId="25" applyFont="1" applyFill="1" applyBorder="1" applyAlignment="1">
      <alignment horizontal="center" vertical="center"/>
    </xf>
    <xf numFmtId="0" fontId="49" fillId="0" borderId="0" xfId="25" applyFont="1" applyAlignment="1">
      <alignment horizontal="left" vertical="center" wrapText="1"/>
    </xf>
    <xf numFmtId="0" fontId="16" fillId="0" borderId="2" xfId="25" applyFont="1" applyFill="1" applyBorder="1" applyAlignment="1">
      <alignment horizontal="center" vertical="center"/>
    </xf>
    <xf numFmtId="0" fontId="16" fillId="0" borderId="3" xfId="25" applyFont="1" applyFill="1" applyBorder="1" applyAlignment="1">
      <alignment horizontal="center" vertical="center"/>
    </xf>
    <xf numFmtId="0" fontId="16" fillId="0" borderId="4" xfId="25" applyFont="1" applyFill="1" applyBorder="1" applyAlignment="1">
      <alignment horizontal="center" vertical="center"/>
    </xf>
    <xf numFmtId="0" fontId="51" fillId="0" borderId="2" xfId="25" applyFont="1" applyFill="1" applyBorder="1" applyAlignment="1">
      <alignment horizontal="center" vertical="center" wrapText="1"/>
    </xf>
    <xf numFmtId="0" fontId="51" fillId="0" borderId="3" xfId="25" applyFont="1" applyFill="1" applyBorder="1" applyAlignment="1">
      <alignment horizontal="center" vertical="center" wrapText="1"/>
    </xf>
    <xf numFmtId="0" fontId="51" fillId="0" borderId="4" xfId="25" applyFont="1" applyFill="1" applyBorder="1" applyAlignment="1">
      <alignment horizontal="center" vertical="center" wrapText="1"/>
    </xf>
    <xf numFmtId="0" fontId="52" fillId="0" borderId="2" xfId="25" applyFont="1" applyFill="1" applyBorder="1" applyAlignment="1">
      <alignment horizontal="center" vertical="center" wrapText="1"/>
    </xf>
    <xf numFmtId="0" fontId="52" fillId="0" borderId="3" xfId="25" applyFont="1" applyFill="1" applyBorder="1" applyAlignment="1">
      <alignment horizontal="center" vertical="center" wrapText="1"/>
    </xf>
    <xf numFmtId="0" fontId="52" fillId="0" borderId="4" xfId="25" applyFont="1" applyFill="1" applyBorder="1" applyAlignment="1">
      <alignment horizontal="center" vertical="center" wrapText="1"/>
    </xf>
    <xf numFmtId="0" fontId="52" fillId="0" borderId="1" xfId="25" applyFont="1" applyFill="1" applyBorder="1" applyAlignment="1">
      <alignment horizontal="center" vertical="center" wrapText="1"/>
    </xf>
    <xf numFmtId="0" fontId="51" fillId="0" borderId="1" xfId="25" applyFont="1" applyFill="1" applyBorder="1" applyAlignment="1">
      <alignment horizontal="center" vertical="center" wrapText="1"/>
    </xf>
    <xf numFmtId="0" fontId="55" fillId="7" borderId="1" xfId="25" applyFont="1" applyFill="1" applyBorder="1" applyAlignment="1">
      <alignment horizontal="center"/>
    </xf>
    <xf numFmtId="0" fontId="55" fillId="0" borderId="1" xfId="25" applyFont="1" applyFill="1" applyBorder="1" applyAlignment="1">
      <alignment horizontal="center"/>
    </xf>
    <xf numFmtId="3" fontId="12" fillId="12" borderId="1" xfId="26" applyNumberFormat="1" applyFont="1" applyFill="1" applyBorder="1" applyAlignment="1">
      <alignment horizontal="right" vertical="center"/>
    </xf>
    <xf numFmtId="3" fontId="57" fillId="12" borderId="1" xfId="26" applyNumberFormat="1" applyFont="1" applyFill="1" applyBorder="1" applyAlignment="1">
      <alignment horizontal="right" vertical="center"/>
    </xf>
    <xf numFmtId="0" fontId="13" fillId="3" borderId="1" xfId="25" applyFont="1" applyFill="1" applyBorder="1" applyAlignment="1">
      <alignment horizontal="center" vertical="center"/>
    </xf>
    <xf numFmtId="0" fontId="7" fillId="0" borderId="2" xfId="28" applyFont="1" applyFill="1" applyBorder="1" applyAlignment="1">
      <alignment horizontal="left" vertical="center" wrapText="1"/>
    </xf>
    <xf numFmtId="0" fontId="7" fillId="0" borderId="3" xfId="28" applyFont="1" applyFill="1" applyBorder="1" applyAlignment="1">
      <alignment horizontal="left" vertical="center" wrapText="1"/>
    </xf>
    <xf numFmtId="0" fontId="7" fillId="0" borderId="4" xfId="28" applyFont="1" applyFill="1" applyBorder="1" applyAlignment="1">
      <alignment horizontal="left" vertical="center" wrapText="1"/>
    </xf>
    <xf numFmtId="49" fontId="13" fillId="0" borderId="1" xfId="25" applyNumberFormat="1" applyFont="1" applyFill="1" applyBorder="1" applyAlignment="1">
      <alignment horizontal="center" vertical="center" wrapText="1"/>
    </xf>
    <xf numFmtId="0" fontId="14" fillId="0" borderId="9" xfId="25" applyFont="1" applyFill="1" applyBorder="1" applyAlignment="1">
      <alignment horizontal="center" vertical="center" wrapText="1"/>
    </xf>
    <xf numFmtId="0" fontId="14" fillId="0" borderId="10" xfId="25" applyFont="1" applyFill="1" applyBorder="1" applyAlignment="1">
      <alignment horizontal="center" vertical="center" wrapText="1"/>
    </xf>
    <xf numFmtId="0" fontId="14" fillId="0" borderId="11" xfId="25" applyFont="1" applyFill="1" applyBorder="1" applyAlignment="1">
      <alignment horizontal="center" vertical="center" wrapText="1"/>
    </xf>
    <xf numFmtId="0" fontId="14" fillId="0" borderId="12" xfId="25" applyFont="1" applyFill="1" applyBorder="1" applyAlignment="1">
      <alignment horizontal="center" vertical="center" wrapText="1"/>
    </xf>
    <xf numFmtId="0" fontId="14" fillId="0" borderId="0" xfId="25" applyFont="1" applyFill="1" applyBorder="1" applyAlignment="1">
      <alignment horizontal="center" vertical="center" wrapText="1"/>
    </xf>
    <xf numFmtId="0" fontId="14" fillId="0" borderId="13" xfId="25" applyFont="1" applyFill="1" applyBorder="1" applyAlignment="1">
      <alignment horizontal="center" vertical="center" wrapText="1"/>
    </xf>
    <xf numFmtId="0" fontId="14" fillId="0" borderId="14" xfId="25" applyFont="1" applyFill="1" applyBorder="1" applyAlignment="1">
      <alignment horizontal="center" vertical="center" wrapText="1"/>
    </xf>
    <xf numFmtId="0" fontId="14" fillId="0" borderId="5" xfId="25" applyFont="1" applyFill="1" applyBorder="1" applyAlignment="1">
      <alignment horizontal="center" vertical="center" wrapText="1"/>
    </xf>
    <xf numFmtId="0" fontId="14" fillId="0" borderId="15" xfId="25" applyFont="1" applyFill="1" applyBorder="1" applyAlignment="1">
      <alignment horizontal="center" vertical="center" wrapText="1"/>
    </xf>
    <xf numFmtId="0" fontId="13" fillId="11" borderId="1" xfId="25" applyFont="1" applyFill="1" applyBorder="1" applyAlignment="1">
      <alignment horizontal="center" vertical="center"/>
    </xf>
    <xf numFmtId="0" fontId="7" fillId="0" borderId="2" xfId="28" applyFont="1" applyBorder="1" applyAlignment="1">
      <alignment horizontal="left" vertical="center" wrapText="1"/>
    </xf>
    <xf numFmtId="0" fontId="7" fillId="0" borderId="3" xfId="28" applyFont="1" applyBorder="1" applyAlignment="1">
      <alignment horizontal="left" vertical="center" wrapText="1"/>
    </xf>
    <xf numFmtId="0" fontId="7" fillId="0" borderId="4" xfId="28" applyFont="1" applyBorder="1" applyAlignment="1">
      <alignment horizontal="left" vertical="center" wrapText="1"/>
    </xf>
    <xf numFmtId="49" fontId="13" fillId="0" borderId="1" xfId="25" applyNumberFormat="1" applyFont="1" applyBorder="1" applyAlignment="1">
      <alignment horizontal="center" vertical="center" wrapText="1"/>
    </xf>
    <xf numFmtId="0" fontId="7" fillId="0" borderId="1" xfId="28" applyFont="1" applyBorder="1" applyAlignment="1">
      <alignment horizontal="left" vertical="center" wrapText="1"/>
    </xf>
    <xf numFmtId="0" fontId="13" fillId="13" borderId="1" xfId="25" applyFont="1" applyFill="1" applyBorder="1" applyAlignment="1">
      <alignment horizontal="center" vertical="center"/>
    </xf>
    <xf numFmtId="0" fontId="55" fillId="10" borderId="1" xfId="25" applyFont="1" applyFill="1" applyBorder="1" applyAlignment="1">
      <alignment horizontal="center"/>
    </xf>
    <xf numFmtId="0" fontId="48" fillId="0" borderId="0" xfId="25" applyFont="1" applyAlignment="1">
      <alignment horizontal="left"/>
    </xf>
    <xf numFmtId="0" fontId="50" fillId="0" borderId="0" xfId="25" applyFont="1" applyAlignment="1">
      <alignment horizontal="left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wrapText="1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68" fillId="0" borderId="9" xfId="29" applyFont="1" applyFill="1" applyBorder="1" applyAlignment="1">
      <alignment horizontal="center" vertical="center" wrapText="1"/>
    </xf>
    <xf numFmtId="0" fontId="68" fillId="0" borderId="10" xfId="29" applyFont="1" applyFill="1" applyBorder="1" applyAlignment="1">
      <alignment horizontal="center" vertical="center" wrapText="1"/>
    </xf>
    <xf numFmtId="0" fontId="68" fillId="0" borderId="12" xfId="29" applyFont="1" applyFill="1" applyBorder="1" applyAlignment="1">
      <alignment horizontal="center" vertical="center" wrapText="1"/>
    </xf>
    <xf numFmtId="0" fontId="68" fillId="0" borderId="0" xfId="29" applyFont="1" applyFill="1" applyBorder="1" applyAlignment="1">
      <alignment horizontal="center" vertical="center" wrapText="1"/>
    </xf>
    <xf numFmtId="0" fontId="68" fillId="0" borderId="14" xfId="29" applyFont="1" applyFill="1" applyBorder="1" applyAlignment="1">
      <alignment horizontal="center" vertical="center" wrapText="1"/>
    </xf>
    <xf numFmtId="0" fontId="68" fillId="0" borderId="5" xfId="29" applyFont="1" applyFill="1" applyBorder="1" applyAlignment="1">
      <alignment horizontal="center" vertical="center" wrapText="1"/>
    </xf>
    <xf numFmtId="49" fontId="76" fillId="0" borderId="12" xfId="29" applyNumberFormat="1" applyFont="1" applyFill="1" applyBorder="1" applyAlignment="1">
      <alignment horizontal="center" vertical="top"/>
    </xf>
    <xf numFmtId="49" fontId="76" fillId="0" borderId="0" xfId="29" applyNumberFormat="1" applyFont="1" applyFill="1" applyBorder="1" applyAlignment="1">
      <alignment horizontal="center" vertical="top"/>
    </xf>
    <xf numFmtId="49" fontId="69" fillId="0" borderId="12" xfId="29" applyNumberFormat="1" applyFont="1" applyFill="1" applyBorder="1" applyAlignment="1">
      <alignment horizontal="center" vertical="top"/>
    </xf>
    <xf numFmtId="49" fontId="69" fillId="0" borderId="13" xfId="29" applyNumberFormat="1" applyFont="1" applyFill="1" applyBorder="1" applyAlignment="1">
      <alignment horizontal="center" vertical="top"/>
    </xf>
    <xf numFmtId="0" fontId="69" fillId="0" borderId="9" xfId="29" applyFont="1" applyFill="1" applyBorder="1" applyAlignment="1">
      <alignment horizontal="left" vertical="top" wrapText="1"/>
    </xf>
    <xf numFmtId="0" fontId="69" fillId="0" borderId="10" xfId="29" applyFont="1" applyFill="1" applyBorder="1" applyAlignment="1">
      <alignment horizontal="left" vertical="top" wrapText="1"/>
    </xf>
    <xf numFmtId="0" fontId="69" fillId="0" borderId="12" xfId="29" applyFont="1" applyFill="1" applyBorder="1" applyAlignment="1">
      <alignment horizontal="left" vertical="top" wrapText="1"/>
    </xf>
    <xf numFmtId="0" fontId="69" fillId="0" borderId="0" xfId="29" applyFont="1" applyFill="1" applyBorder="1" applyAlignment="1">
      <alignment horizontal="left" vertical="top" wrapText="1"/>
    </xf>
    <xf numFmtId="0" fontId="69" fillId="0" borderId="14" xfId="29" applyFont="1" applyFill="1" applyBorder="1" applyAlignment="1">
      <alignment horizontal="left" vertical="top" wrapText="1"/>
    </xf>
    <xf numFmtId="0" fontId="69" fillId="0" borderId="5" xfId="29" applyFont="1" applyFill="1" applyBorder="1" applyAlignment="1">
      <alignment horizontal="left" vertical="top" wrapText="1"/>
    </xf>
    <xf numFmtId="49" fontId="76" fillId="0" borderId="13" xfId="29" applyNumberFormat="1" applyFont="1" applyFill="1" applyBorder="1" applyAlignment="1">
      <alignment horizontal="center" vertical="top"/>
    </xf>
    <xf numFmtId="49" fontId="76" fillId="0" borderId="14" xfId="29" applyNumberFormat="1" applyFont="1" applyFill="1" applyBorder="1" applyAlignment="1">
      <alignment horizontal="center" vertical="top"/>
    </xf>
    <xf numFmtId="49" fontId="76" fillId="0" borderId="15" xfId="29" applyNumberFormat="1" applyFont="1" applyFill="1" applyBorder="1" applyAlignment="1">
      <alignment horizontal="center" vertical="top"/>
    </xf>
    <xf numFmtId="49" fontId="69" fillId="0" borderId="14" xfId="29" applyNumberFormat="1" applyFont="1" applyFill="1" applyBorder="1" applyAlignment="1">
      <alignment horizontal="center" vertical="top"/>
    </xf>
    <xf numFmtId="49" fontId="69" fillId="0" borderId="15" xfId="29" applyNumberFormat="1" applyFont="1" applyFill="1" applyBorder="1" applyAlignment="1">
      <alignment horizontal="center" vertical="top"/>
    </xf>
    <xf numFmtId="49" fontId="76" fillId="0" borderId="12" xfId="29" applyNumberFormat="1" applyFont="1" applyFill="1" applyBorder="1" applyAlignment="1">
      <alignment horizontal="center" vertical="center"/>
    </xf>
    <xf numFmtId="49" fontId="76" fillId="0" borderId="13" xfId="29" applyNumberFormat="1" applyFont="1" applyFill="1" applyBorder="1" applyAlignment="1">
      <alignment horizontal="center" vertical="center"/>
    </xf>
    <xf numFmtId="49" fontId="69" fillId="0" borderId="12" xfId="29" applyNumberFormat="1" applyFont="1" applyFill="1" applyBorder="1" applyAlignment="1">
      <alignment horizontal="center" vertical="center"/>
    </xf>
    <xf numFmtId="49" fontId="69" fillId="0" borderId="13" xfId="29" applyNumberFormat="1" applyFont="1" applyFill="1" applyBorder="1" applyAlignment="1">
      <alignment horizontal="center" vertical="center"/>
    </xf>
    <xf numFmtId="49" fontId="76" fillId="0" borderId="9" xfId="29" applyNumberFormat="1" applyFont="1" applyFill="1" applyBorder="1" applyAlignment="1">
      <alignment horizontal="center" vertical="center"/>
    </xf>
    <xf numFmtId="49" fontId="76" fillId="0" borderId="11" xfId="29" applyNumberFormat="1" applyFont="1" applyFill="1" applyBorder="1" applyAlignment="1">
      <alignment horizontal="center" vertical="center"/>
    </xf>
    <xf numFmtId="49" fontId="69" fillId="0" borderId="9" xfId="29" applyNumberFormat="1" applyFont="1" applyFill="1" applyBorder="1" applyAlignment="1">
      <alignment horizontal="center" vertical="center"/>
    </xf>
    <xf numFmtId="49" fontId="69" fillId="0" borderId="11" xfId="29" applyNumberFormat="1" applyFont="1" applyFill="1" applyBorder="1" applyAlignment="1">
      <alignment horizontal="center" vertical="center"/>
    </xf>
    <xf numFmtId="49" fontId="76" fillId="0" borderId="14" xfId="29" applyNumberFormat="1" applyFont="1" applyFill="1" applyBorder="1" applyAlignment="1">
      <alignment horizontal="center" vertical="center"/>
    </xf>
    <xf numFmtId="49" fontId="76" fillId="0" borderId="15" xfId="29" applyNumberFormat="1" applyFont="1" applyFill="1" applyBorder="1" applyAlignment="1">
      <alignment horizontal="center" vertical="center"/>
    </xf>
    <xf numFmtId="49" fontId="69" fillId="0" borderId="14" xfId="29" applyNumberFormat="1" applyFont="1" applyFill="1" applyBorder="1" applyAlignment="1">
      <alignment horizontal="center" vertical="center"/>
    </xf>
    <xf numFmtId="49" fontId="69" fillId="0" borderId="15" xfId="29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49" fontId="76" fillId="0" borderId="12" xfId="29" applyNumberFormat="1" applyFont="1" applyFill="1" applyBorder="1" applyAlignment="1" applyProtection="1">
      <alignment horizontal="center" vertical="top"/>
    </xf>
    <xf numFmtId="49" fontId="76" fillId="0" borderId="13" xfId="29" applyNumberFormat="1" applyFont="1" applyFill="1" applyBorder="1" applyAlignment="1" applyProtection="1">
      <alignment horizontal="center" vertical="top"/>
    </xf>
    <xf numFmtId="49" fontId="69" fillId="0" borderId="12" xfId="29" applyNumberFormat="1" applyFont="1" applyFill="1" applyBorder="1" applyAlignment="1" applyProtection="1">
      <alignment horizontal="center" vertical="top"/>
    </xf>
    <xf numFmtId="49" fontId="69" fillId="0" borderId="13" xfId="29" applyNumberFormat="1" applyFont="1" applyFill="1" applyBorder="1" applyAlignment="1" applyProtection="1">
      <alignment horizontal="center" vertical="top"/>
    </xf>
    <xf numFmtId="0" fontId="69" fillId="0" borderId="9" xfId="29" applyFont="1" applyFill="1" applyBorder="1" applyAlignment="1" applyProtection="1">
      <alignment horizontal="left" vertical="top" wrapText="1"/>
    </xf>
    <xf numFmtId="0" fontId="69" fillId="0" borderId="11" xfId="29" applyFont="1" applyFill="1" applyBorder="1" applyAlignment="1" applyProtection="1">
      <alignment horizontal="left" vertical="top" wrapText="1"/>
    </xf>
    <xf numFmtId="0" fontId="69" fillId="0" borderId="12" xfId="29" applyFont="1" applyFill="1" applyBorder="1" applyAlignment="1" applyProtection="1">
      <alignment horizontal="left" vertical="top" wrapText="1"/>
    </xf>
    <xf numFmtId="0" fontId="69" fillId="0" borderId="13" xfId="29" applyFont="1" applyFill="1" applyBorder="1" applyAlignment="1" applyProtection="1">
      <alignment horizontal="left" vertical="top" wrapText="1"/>
    </xf>
    <xf numFmtId="0" fontId="69" fillId="0" borderId="14" xfId="29" applyFont="1" applyFill="1" applyBorder="1" applyAlignment="1" applyProtection="1">
      <alignment horizontal="left" vertical="top" wrapText="1"/>
    </xf>
    <xf numFmtId="0" fontId="69" fillId="0" borderId="15" xfId="29" applyFont="1" applyFill="1" applyBorder="1" applyAlignment="1" applyProtection="1">
      <alignment horizontal="left" vertical="top" wrapText="1"/>
    </xf>
    <xf numFmtId="49" fontId="76" fillId="0" borderId="12" xfId="29" applyNumberFormat="1" applyFont="1" applyFill="1" applyBorder="1" applyAlignment="1" applyProtection="1">
      <alignment horizontal="center" vertical="center"/>
    </xf>
    <xf numFmtId="49" fontId="76" fillId="0" borderId="13" xfId="29" applyNumberFormat="1" applyFont="1" applyFill="1" applyBorder="1" applyAlignment="1" applyProtection="1">
      <alignment horizontal="center" vertical="center"/>
    </xf>
    <xf numFmtId="49" fontId="69" fillId="0" borderId="12" xfId="29" applyNumberFormat="1" applyFont="1" applyFill="1" applyBorder="1" applyAlignment="1" applyProtection="1">
      <alignment horizontal="center" vertical="center"/>
    </xf>
    <xf numFmtId="49" fontId="69" fillId="0" borderId="13" xfId="29" applyNumberFormat="1" applyFont="1" applyFill="1" applyBorder="1" applyAlignment="1" applyProtection="1">
      <alignment horizontal="center" vertical="center"/>
    </xf>
    <xf numFmtId="49" fontId="69" fillId="0" borderId="9" xfId="29" applyNumberFormat="1" applyFont="1" applyFill="1" applyBorder="1" applyAlignment="1">
      <alignment horizontal="center" vertical="top"/>
    </xf>
    <xf numFmtId="49" fontId="69" fillId="0" borderId="11" xfId="29" applyNumberFormat="1" applyFont="1" applyFill="1" applyBorder="1" applyAlignment="1">
      <alignment horizontal="center" vertical="top"/>
    </xf>
    <xf numFmtId="0" fontId="76" fillId="0" borderId="9" xfId="29" applyFont="1" applyFill="1" applyBorder="1" applyAlignment="1">
      <alignment horizontal="left" vertical="top" wrapText="1"/>
    </xf>
    <xf numFmtId="0" fontId="76" fillId="0" borderId="10" xfId="29" applyFont="1" applyFill="1" applyBorder="1" applyAlignment="1">
      <alignment horizontal="left" vertical="top" wrapText="1"/>
    </xf>
    <xf numFmtId="0" fontId="76" fillId="0" borderId="12" xfId="29" applyFont="1" applyFill="1" applyBorder="1" applyAlignment="1">
      <alignment horizontal="left" vertical="top" wrapText="1"/>
    </xf>
    <xf numFmtId="0" fontId="76" fillId="0" borderId="0" xfId="29" applyFont="1" applyFill="1" applyBorder="1" applyAlignment="1">
      <alignment horizontal="left" vertical="top" wrapText="1"/>
    </xf>
    <xf numFmtId="0" fontId="76" fillId="0" borderId="14" xfId="29" applyFont="1" applyFill="1" applyBorder="1" applyAlignment="1">
      <alignment horizontal="left" vertical="top" wrapText="1"/>
    </xf>
    <xf numFmtId="0" fontId="76" fillId="0" borderId="5" xfId="29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/>
    </xf>
    <xf numFmtId="0" fontId="69" fillId="0" borderId="11" xfId="29" applyFont="1" applyFill="1" applyBorder="1" applyAlignment="1">
      <alignment horizontal="left" vertical="top" wrapText="1"/>
    </xf>
    <xf numFmtId="0" fontId="69" fillId="0" borderId="13" xfId="29" applyFont="1" applyFill="1" applyBorder="1" applyAlignment="1">
      <alignment horizontal="left" vertical="top" wrapText="1"/>
    </xf>
    <xf numFmtId="0" fontId="69" fillId="0" borderId="15" xfId="29" applyFont="1" applyFill="1" applyBorder="1" applyAlignment="1">
      <alignment horizontal="left" vertical="top" wrapText="1"/>
    </xf>
    <xf numFmtId="49" fontId="76" fillId="0" borderId="9" xfId="29" applyNumberFormat="1" applyFont="1" applyFill="1" applyBorder="1" applyAlignment="1">
      <alignment horizontal="center" vertical="top"/>
    </xf>
    <xf numFmtId="49" fontId="76" fillId="0" borderId="11" xfId="29" applyNumberFormat="1" applyFont="1" applyFill="1" applyBorder="1" applyAlignment="1">
      <alignment horizontal="center" vertical="top"/>
    </xf>
    <xf numFmtId="0" fontId="24" fillId="0" borderId="12" xfId="31" applyFill="1" applyBorder="1" applyAlignment="1">
      <alignment horizontal="left" vertical="top" wrapText="1"/>
    </xf>
    <xf numFmtId="0" fontId="24" fillId="0" borderId="13" xfId="31" applyFill="1" applyBorder="1" applyAlignment="1">
      <alignment horizontal="left" vertical="top" wrapText="1"/>
    </xf>
    <xf numFmtId="0" fontId="24" fillId="0" borderId="14" xfId="31" applyFill="1" applyBorder="1" applyAlignment="1">
      <alignment horizontal="left" vertical="top" wrapText="1"/>
    </xf>
    <xf numFmtId="0" fontId="24" fillId="0" borderId="15" xfId="31" applyFill="1" applyBorder="1" applyAlignment="1">
      <alignment horizontal="left" vertical="top" wrapText="1"/>
    </xf>
    <xf numFmtId="0" fontId="24" fillId="0" borderId="13" xfId="31" applyFill="1" applyBorder="1" applyAlignment="1">
      <alignment horizontal="center"/>
    </xf>
    <xf numFmtId="0" fontId="24" fillId="0" borderId="13" xfId="31" applyFill="1" applyBorder="1" applyAlignment="1">
      <alignment horizontal="center" vertical="center"/>
    </xf>
    <xf numFmtId="0" fontId="24" fillId="0" borderId="15" xfId="3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77" fillId="0" borderId="9" xfId="29" applyFont="1" applyFill="1" applyBorder="1" applyAlignment="1">
      <alignment horizontal="left" vertical="top" wrapText="1"/>
    </xf>
    <xf numFmtId="0" fontId="77" fillId="0" borderId="10" xfId="29" applyFont="1" applyFill="1" applyBorder="1" applyAlignment="1">
      <alignment horizontal="left" vertical="top" wrapText="1"/>
    </xf>
    <xf numFmtId="0" fontId="77" fillId="0" borderId="12" xfId="29" applyFont="1" applyFill="1" applyBorder="1" applyAlignment="1">
      <alignment horizontal="left" vertical="top" wrapText="1"/>
    </xf>
    <xf numFmtId="0" fontId="77" fillId="0" borderId="0" xfId="29" applyFont="1" applyFill="1" applyBorder="1" applyAlignment="1">
      <alignment horizontal="left" vertical="top" wrapText="1"/>
    </xf>
    <xf numFmtId="0" fontId="77" fillId="0" borderId="14" xfId="29" applyFont="1" applyFill="1" applyBorder="1" applyAlignment="1">
      <alignment horizontal="left" vertical="top" wrapText="1"/>
    </xf>
    <xf numFmtId="0" fontId="77" fillId="0" borderId="5" xfId="29" applyFont="1" applyFill="1" applyBorder="1" applyAlignment="1">
      <alignment horizontal="left" vertical="top" wrapText="1"/>
    </xf>
    <xf numFmtId="0" fontId="76" fillId="0" borderId="11" xfId="29" applyFont="1" applyFill="1" applyBorder="1" applyAlignment="1">
      <alignment horizontal="left" vertical="top" wrapText="1"/>
    </xf>
    <xf numFmtId="0" fontId="70" fillId="0" borderId="9" xfId="29" applyFont="1" applyFill="1" applyBorder="1" applyAlignment="1">
      <alignment horizontal="left" vertical="top" wrapText="1"/>
    </xf>
    <xf numFmtId="0" fontId="70" fillId="0" borderId="10" xfId="29" applyFont="1" applyFill="1" applyBorder="1" applyAlignment="1">
      <alignment horizontal="left" vertical="top" wrapText="1"/>
    </xf>
    <xf numFmtId="0" fontId="70" fillId="0" borderId="12" xfId="29" applyFont="1" applyFill="1" applyBorder="1" applyAlignment="1">
      <alignment horizontal="left" vertical="top" wrapText="1"/>
    </xf>
    <xf numFmtId="0" fontId="70" fillId="0" borderId="0" xfId="29" applyFont="1" applyFill="1" applyBorder="1" applyAlignment="1">
      <alignment horizontal="left" vertical="top" wrapText="1"/>
    </xf>
    <xf numFmtId="0" fontId="70" fillId="0" borderId="14" xfId="29" applyFont="1" applyFill="1" applyBorder="1" applyAlignment="1">
      <alignment horizontal="left" vertical="top" wrapText="1"/>
    </xf>
    <xf numFmtId="0" fontId="70" fillId="0" borderId="5" xfId="29" applyFont="1" applyFill="1" applyBorder="1" applyAlignment="1">
      <alignment horizontal="left" vertical="top" wrapText="1"/>
    </xf>
    <xf numFmtId="49" fontId="70" fillId="0" borderId="9" xfId="29" applyNumberFormat="1" applyFont="1" applyFill="1" applyBorder="1" applyAlignment="1">
      <alignment horizontal="left" vertical="center"/>
    </xf>
    <xf numFmtId="49" fontId="70" fillId="0" borderId="10" xfId="29" applyNumberFormat="1" applyFont="1" applyFill="1" applyBorder="1" applyAlignment="1">
      <alignment horizontal="left" vertical="center"/>
    </xf>
    <xf numFmtId="49" fontId="70" fillId="0" borderId="12" xfId="29" applyNumberFormat="1" applyFont="1" applyFill="1" applyBorder="1" applyAlignment="1">
      <alignment horizontal="left" vertical="center"/>
    </xf>
    <xf numFmtId="49" fontId="70" fillId="0" borderId="0" xfId="29" applyNumberFormat="1" applyFont="1" applyFill="1" applyBorder="1" applyAlignment="1">
      <alignment horizontal="left" vertical="center"/>
    </xf>
    <xf numFmtId="49" fontId="70" fillId="0" borderId="14" xfId="29" applyNumberFormat="1" applyFont="1" applyFill="1" applyBorder="1" applyAlignment="1">
      <alignment horizontal="left" vertical="center"/>
    </xf>
    <xf numFmtId="49" fontId="70" fillId="0" borderId="5" xfId="29" applyNumberFormat="1" applyFont="1" applyFill="1" applyBorder="1" applyAlignment="1">
      <alignment horizontal="left" vertical="center"/>
    </xf>
    <xf numFmtId="49" fontId="79" fillId="0" borderId="9" xfId="29" applyNumberFormat="1" applyFont="1" applyFill="1" applyBorder="1" applyAlignment="1">
      <alignment horizontal="left" vertical="center"/>
    </xf>
    <xf numFmtId="49" fontId="79" fillId="0" borderId="10" xfId="29" applyNumberFormat="1" applyFont="1" applyFill="1" applyBorder="1" applyAlignment="1">
      <alignment horizontal="left" vertical="center"/>
    </xf>
    <xf numFmtId="49" fontId="79" fillId="0" borderId="12" xfId="29" applyNumberFormat="1" applyFont="1" applyFill="1" applyBorder="1" applyAlignment="1">
      <alignment horizontal="left" vertical="center"/>
    </xf>
    <xf numFmtId="49" fontId="79" fillId="0" borderId="0" xfId="29" applyNumberFormat="1" applyFont="1" applyFill="1" applyBorder="1" applyAlignment="1">
      <alignment horizontal="left" vertical="center"/>
    </xf>
    <xf numFmtId="49" fontId="79" fillId="0" borderId="14" xfId="29" applyNumberFormat="1" applyFont="1" applyFill="1" applyBorder="1" applyAlignment="1">
      <alignment horizontal="left" vertical="center"/>
    </xf>
    <xf numFmtId="49" fontId="79" fillId="0" borderId="5" xfId="29" applyNumberFormat="1" applyFont="1" applyFill="1" applyBorder="1" applyAlignment="1">
      <alignment horizontal="left" vertical="center"/>
    </xf>
    <xf numFmtId="49" fontId="76" fillId="0" borderId="10" xfId="29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69" fillId="0" borderId="3" xfId="29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69" fillId="0" borderId="2" xfId="29" applyFont="1" applyFill="1" applyBorder="1" applyAlignment="1">
      <alignment horizontal="left" vertical="top" wrapText="1"/>
    </xf>
    <xf numFmtId="0" fontId="69" fillId="0" borderId="3" xfId="29" applyFont="1" applyFill="1" applyBorder="1" applyAlignment="1">
      <alignment horizontal="left" vertical="top" wrapText="1"/>
    </xf>
    <xf numFmtId="0" fontId="69" fillId="0" borderId="4" xfId="29" applyFont="1" applyFill="1" applyBorder="1" applyAlignment="1">
      <alignment horizontal="left" vertical="top" wrapText="1"/>
    </xf>
    <xf numFmtId="0" fontId="68" fillId="0" borderId="9" xfId="29" applyFont="1" applyFill="1" applyBorder="1" applyAlignment="1">
      <alignment horizontal="left" vertical="center"/>
    </xf>
    <xf numFmtId="0" fontId="68" fillId="0" borderId="10" xfId="29" applyFont="1" applyFill="1" applyBorder="1" applyAlignment="1">
      <alignment horizontal="left" vertical="center"/>
    </xf>
    <xf numFmtId="0" fontId="68" fillId="0" borderId="12" xfId="29" applyFont="1" applyFill="1" applyBorder="1" applyAlignment="1">
      <alignment horizontal="left" vertical="center"/>
    </xf>
    <xf numFmtId="0" fontId="68" fillId="0" borderId="0" xfId="29" applyFont="1" applyFill="1" applyBorder="1" applyAlignment="1">
      <alignment horizontal="left" vertical="center"/>
    </xf>
    <xf numFmtId="0" fontId="68" fillId="0" borderId="14" xfId="29" applyFont="1" applyFill="1" applyBorder="1" applyAlignment="1">
      <alignment horizontal="left" vertical="center"/>
    </xf>
    <xf numFmtId="0" fontId="68" fillId="0" borderId="5" xfId="29" applyFont="1" applyFill="1" applyBorder="1" applyAlignment="1">
      <alignment horizontal="left" vertical="center"/>
    </xf>
    <xf numFmtId="0" fontId="74" fillId="0" borderId="9" xfId="29" applyFont="1" applyFill="1" applyBorder="1" applyAlignment="1">
      <alignment horizontal="left" vertical="center" wrapText="1"/>
    </xf>
    <xf numFmtId="0" fontId="74" fillId="0" borderId="10" xfId="29" applyFont="1" applyFill="1" applyBorder="1" applyAlignment="1">
      <alignment horizontal="left" vertical="center" wrapText="1"/>
    </xf>
    <xf numFmtId="0" fontId="74" fillId="0" borderId="12" xfId="29" applyFont="1" applyFill="1" applyBorder="1" applyAlignment="1">
      <alignment horizontal="left" vertical="center" wrapText="1"/>
    </xf>
    <xf numFmtId="0" fontId="74" fillId="0" borderId="0" xfId="29" applyFont="1" applyFill="1" applyBorder="1" applyAlignment="1">
      <alignment horizontal="left" vertical="center" wrapText="1"/>
    </xf>
    <xf numFmtId="0" fontId="74" fillId="0" borderId="14" xfId="29" applyFont="1" applyFill="1" applyBorder="1" applyAlignment="1">
      <alignment horizontal="left" vertical="center" wrapText="1"/>
    </xf>
    <xf numFmtId="0" fontId="74" fillId="0" borderId="5" xfId="29" applyFont="1" applyFill="1" applyBorder="1" applyAlignment="1">
      <alignment horizontal="left" vertical="center" wrapText="1"/>
    </xf>
    <xf numFmtId="49" fontId="76" fillId="0" borderId="10" xfId="29" applyNumberFormat="1" applyFont="1" applyFill="1" applyBorder="1" applyAlignment="1">
      <alignment horizontal="center" vertical="center"/>
    </xf>
    <xf numFmtId="49" fontId="77" fillId="0" borderId="12" xfId="29" applyNumberFormat="1" applyFont="1" applyFill="1" applyBorder="1" applyAlignment="1">
      <alignment horizontal="center" vertical="center"/>
    </xf>
    <xf numFmtId="49" fontId="77" fillId="0" borderId="13" xfId="29" applyNumberFormat="1" applyFont="1" applyFill="1" applyBorder="1" applyAlignment="1">
      <alignment horizontal="center" vertical="center"/>
    </xf>
    <xf numFmtId="49" fontId="78" fillId="0" borderId="12" xfId="29" applyNumberFormat="1" applyFont="1" applyFill="1" applyBorder="1" applyAlignment="1">
      <alignment horizontal="center" vertical="center"/>
    </xf>
    <xf numFmtId="49" fontId="78" fillId="0" borderId="13" xfId="29" applyNumberFormat="1" applyFont="1" applyFill="1" applyBorder="1" applyAlignment="1">
      <alignment horizontal="center" vertical="center"/>
    </xf>
    <xf numFmtId="0" fontId="78" fillId="0" borderId="9" xfId="29" applyFont="1" applyFill="1" applyBorder="1" applyAlignment="1">
      <alignment horizontal="left" vertical="top" wrapText="1"/>
    </xf>
    <xf numFmtId="0" fontId="78" fillId="0" borderId="10" xfId="29" applyFont="1" applyFill="1" applyBorder="1" applyAlignment="1">
      <alignment horizontal="left" vertical="top" wrapText="1"/>
    </xf>
    <xf numFmtId="0" fontId="78" fillId="0" borderId="12" xfId="29" applyFont="1" applyFill="1" applyBorder="1" applyAlignment="1">
      <alignment horizontal="left" vertical="top" wrapText="1"/>
    </xf>
    <xf numFmtId="0" fontId="78" fillId="0" borderId="0" xfId="29" applyFont="1" applyFill="1" applyBorder="1" applyAlignment="1">
      <alignment horizontal="left" vertical="top" wrapText="1"/>
    </xf>
    <xf numFmtId="0" fontId="78" fillId="0" borderId="14" xfId="29" applyFont="1" applyFill="1" applyBorder="1" applyAlignment="1">
      <alignment horizontal="left" vertical="top" wrapText="1"/>
    </xf>
    <xf numFmtId="0" fontId="78" fillId="0" borderId="5" xfId="29" applyFont="1" applyFill="1" applyBorder="1" applyAlignment="1">
      <alignment horizontal="left" vertical="top" wrapText="1"/>
    </xf>
    <xf numFmtId="49" fontId="77" fillId="0" borderId="14" xfId="29" applyNumberFormat="1" applyFont="1" applyFill="1" applyBorder="1" applyAlignment="1">
      <alignment horizontal="center" vertical="center"/>
    </xf>
    <xf numFmtId="49" fontId="77" fillId="0" borderId="15" xfId="29" applyNumberFormat="1" applyFont="1" applyFill="1" applyBorder="1" applyAlignment="1">
      <alignment horizontal="center" vertical="center"/>
    </xf>
    <xf numFmtId="49" fontId="78" fillId="0" borderId="14" xfId="29" applyNumberFormat="1" applyFont="1" applyFill="1" applyBorder="1" applyAlignment="1">
      <alignment horizontal="center" vertical="center"/>
    </xf>
    <xf numFmtId="49" fontId="78" fillId="0" borderId="15" xfId="29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3" fontId="13" fillId="0" borderId="0" xfId="29" applyNumberFormat="1" applyFont="1" applyFill="1" applyAlignment="1">
      <alignment horizontal="left" vertical="center"/>
    </xf>
    <xf numFmtId="0" fontId="20" fillId="0" borderId="0" xfId="29" applyNumberFormat="1" applyFont="1" applyFill="1" applyAlignment="1">
      <alignment horizontal="left" vertical="center" wrapText="1"/>
    </xf>
    <xf numFmtId="0" fontId="15" fillId="0" borderId="0" xfId="29" applyNumberFormat="1" applyFont="1" applyFill="1" applyAlignment="1">
      <alignment horizontal="left" vertical="center" wrapText="1"/>
    </xf>
    <xf numFmtId="0" fontId="41" fillId="0" borderId="9" xfId="29" applyFont="1" applyFill="1" applyBorder="1" applyAlignment="1">
      <alignment horizontal="center" vertical="top" wrapText="1"/>
    </xf>
    <xf numFmtId="0" fontId="41" fillId="0" borderId="11" xfId="29" applyFont="1" applyFill="1" applyBorder="1" applyAlignment="1">
      <alignment horizontal="center" vertical="top" wrapText="1"/>
    </xf>
    <xf numFmtId="0" fontId="41" fillId="0" borderId="12" xfId="29" applyFont="1" applyFill="1" applyBorder="1" applyAlignment="1">
      <alignment horizontal="center" vertical="top" wrapText="1"/>
    </xf>
    <xf numFmtId="0" fontId="41" fillId="0" borderId="13" xfId="29" applyFont="1" applyFill="1" applyBorder="1" applyAlignment="1">
      <alignment horizontal="center" vertical="top" wrapText="1"/>
    </xf>
    <xf numFmtId="0" fontId="41" fillId="0" borderId="14" xfId="29" applyFont="1" applyFill="1" applyBorder="1" applyAlignment="1">
      <alignment horizontal="center" vertical="top" wrapText="1"/>
    </xf>
    <xf numFmtId="0" fontId="41" fillId="0" borderId="15" xfId="29" applyFont="1" applyFill="1" applyBorder="1" applyAlignment="1">
      <alignment horizontal="center" vertical="top" wrapText="1"/>
    </xf>
    <xf numFmtId="0" fontId="3" fillId="0" borderId="11" xfId="30" applyFill="1" applyBorder="1" applyAlignment="1">
      <alignment vertical="top"/>
    </xf>
    <xf numFmtId="0" fontId="3" fillId="0" borderId="12" xfId="30" applyFill="1" applyBorder="1" applyAlignment="1">
      <alignment vertical="top"/>
    </xf>
    <xf numFmtId="0" fontId="3" fillId="0" borderId="13" xfId="30" applyFill="1" applyBorder="1" applyAlignment="1">
      <alignment vertical="top"/>
    </xf>
    <xf numFmtId="0" fontId="3" fillId="0" borderId="2" xfId="3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36" fillId="0" borderId="2" xfId="30" applyFont="1" applyFill="1" applyBorder="1" applyAlignment="1">
      <alignment horizontal="center" vertical="top"/>
    </xf>
    <xf numFmtId="0" fontId="36" fillId="0" borderId="3" xfId="30" applyFont="1" applyFill="1" applyBorder="1" applyAlignment="1">
      <alignment horizontal="center" vertical="top"/>
    </xf>
    <xf numFmtId="0" fontId="36" fillId="0" borderId="4" xfId="30" applyFont="1" applyFill="1" applyBorder="1" applyAlignment="1">
      <alignment horizontal="center" vertical="top"/>
    </xf>
    <xf numFmtId="3" fontId="41" fillId="0" borderId="6" xfId="29" applyNumberFormat="1" applyFont="1" applyFill="1" applyBorder="1" applyAlignment="1">
      <alignment horizontal="center" vertical="top" wrapText="1"/>
    </xf>
    <xf numFmtId="3" fontId="41" fillId="0" borderId="7" xfId="29" applyNumberFormat="1" applyFont="1" applyFill="1" applyBorder="1" applyAlignment="1">
      <alignment horizontal="center" vertical="top" wrapText="1"/>
    </xf>
    <xf numFmtId="3" fontId="41" fillId="0" borderId="8" xfId="29" applyNumberFormat="1" applyFont="1" applyFill="1" applyBorder="1" applyAlignment="1">
      <alignment horizontal="center" vertical="top" wrapText="1"/>
    </xf>
    <xf numFmtId="3" fontId="41" fillId="0" borderId="2" xfId="29" applyNumberFormat="1" applyFont="1" applyFill="1" applyBorder="1" applyAlignment="1">
      <alignment horizontal="center" vertical="top" wrapText="1"/>
    </xf>
    <xf numFmtId="3" fontId="41" fillId="0" borderId="4" xfId="29" applyNumberFormat="1" applyFont="1" applyFill="1" applyBorder="1" applyAlignment="1">
      <alignment horizontal="center" vertical="top" wrapText="1"/>
    </xf>
    <xf numFmtId="0" fontId="28" fillId="0" borderId="6" xfId="29" applyFont="1" applyFill="1" applyBorder="1" applyAlignment="1">
      <alignment horizontal="center" vertical="center"/>
    </xf>
    <xf numFmtId="0" fontId="28" fillId="0" borderId="8" xfId="30" applyFont="1" applyFill="1" applyBorder="1" applyAlignment="1">
      <alignment horizontal="center" vertical="center"/>
    </xf>
    <xf numFmtId="0" fontId="67" fillId="0" borderId="9" xfId="29" applyFont="1" applyFill="1" applyBorder="1" applyAlignment="1">
      <alignment horizontal="left" vertical="center" wrapText="1"/>
    </xf>
    <xf numFmtId="0" fontId="67" fillId="0" borderId="10" xfId="29" applyFont="1" applyFill="1" applyBorder="1" applyAlignment="1">
      <alignment horizontal="left" vertical="center" wrapText="1"/>
    </xf>
    <xf numFmtId="0" fontId="67" fillId="0" borderId="12" xfId="29" applyFont="1" applyFill="1" applyBorder="1" applyAlignment="1">
      <alignment horizontal="left" vertical="center" wrapText="1"/>
    </xf>
    <xf numFmtId="0" fontId="67" fillId="0" borderId="0" xfId="29" applyFont="1" applyFill="1" applyBorder="1" applyAlignment="1">
      <alignment horizontal="left" vertical="center" wrapText="1"/>
    </xf>
    <xf numFmtId="0" fontId="67" fillId="0" borderId="14" xfId="29" applyFont="1" applyFill="1" applyBorder="1" applyAlignment="1">
      <alignment horizontal="left" vertical="center" wrapText="1"/>
    </xf>
    <xf numFmtId="0" fontId="67" fillId="0" borderId="5" xfId="29" applyFont="1" applyFill="1" applyBorder="1" applyAlignment="1">
      <alignment horizontal="left" vertical="center" wrapText="1"/>
    </xf>
    <xf numFmtId="0" fontId="13" fillId="0" borderId="2" xfId="29" applyFont="1" applyFill="1" applyBorder="1" applyAlignment="1">
      <alignment horizontal="left" vertical="top" wrapText="1"/>
    </xf>
    <xf numFmtId="0" fontId="13" fillId="0" borderId="3" xfId="29" applyFont="1" applyFill="1" applyBorder="1" applyAlignment="1">
      <alignment horizontal="left" vertical="top" wrapText="1"/>
    </xf>
    <xf numFmtId="0" fontId="13" fillId="0" borderId="4" xfId="29" applyFont="1" applyFill="1" applyBorder="1" applyAlignment="1">
      <alignment horizontal="left" vertical="top" wrapText="1"/>
    </xf>
    <xf numFmtId="3" fontId="13" fillId="0" borderId="0" xfId="29" applyNumberFormat="1" applyFont="1" applyFill="1" applyAlignment="1" applyProtection="1">
      <alignment horizontal="left"/>
    </xf>
    <xf numFmtId="3" fontId="13" fillId="0" borderId="0" xfId="29" applyNumberFormat="1" applyFont="1" applyFill="1" applyAlignment="1" applyProtection="1">
      <alignment horizontal="left" wrapText="1"/>
    </xf>
    <xf numFmtId="0" fontId="13" fillId="0" borderId="0" xfId="29" applyNumberFormat="1" applyFont="1" applyFill="1" applyAlignment="1" applyProtection="1">
      <alignment horizontal="justify" wrapText="1"/>
    </xf>
    <xf numFmtId="0" fontId="16" fillId="0" borderId="2" xfId="29" applyFont="1" applyBorder="1" applyAlignment="1">
      <alignment horizontal="center" vertical="top"/>
    </xf>
    <xf numFmtId="0" fontId="16" fillId="0" borderId="4" xfId="29" applyFont="1" applyBorder="1" applyAlignment="1">
      <alignment horizontal="center" vertical="top"/>
    </xf>
    <xf numFmtId="0" fontId="16" fillId="0" borderId="6" xfId="29" applyFont="1" applyBorder="1" applyAlignment="1">
      <alignment horizontal="center" vertical="top" wrapText="1"/>
    </xf>
    <xf numFmtId="0" fontId="16" fillId="0" borderId="8" xfId="29" applyFont="1" applyBorder="1" applyAlignment="1">
      <alignment horizontal="center" vertical="top" wrapText="1"/>
    </xf>
    <xf numFmtId="0" fontId="16" fillId="0" borderId="2" xfId="29" applyFont="1" applyBorder="1" applyAlignment="1">
      <alignment horizontal="center" vertical="top" wrapText="1"/>
    </xf>
    <xf numFmtId="0" fontId="16" fillId="0" borderId="4" xfId="29" applyFont="1" applyBorder="1" applyAlignment="1">
      <alignment horizontal="center" vertical="top" wrapText="1"/>
    </xf>
    <xf numFmtId="3" fontId="16" fillId="0" borderId="2" xfId="29" applyNumberFormat="1" applyFont="1" applyBorder="1" applyAlignment="1">
      <alignment horizontal="center" vertical="top" wrapText="1"/>
    </xf>
    <xf numFmtId="3" fontId="16" fillId="0" borderId="4" xfId="29" applyNumberFormat="1" applyFont="1" applyBorder="1" applyAlignment="1">
      <alignment horizontal="center" vertical="top" wrapText="1"/>
    </xf>
    <xf numFmtId="0" fontId="15" fillId="0" borderId="9" xfId="29" applyFont="1" applyBorder="1" applyAlignment="1">
      <alignment horizontal="center" vertical="center" wrapText="1"/>
    </xf>
    <xf numFmtId="0" fontId="15" fillId="0" borderId="10" xfId="29" applyFont="1" applyBorder="1" applyAlignment="1">
      <alignment horizontal="center" vertical="center" wrapText="1"/>
    </xf>
    <xf numFmtId="0" fontId="15" fillId="0" borderId="11" xfId="29" applyFont="1" applyBorder="1" applyAlignment="1">
      <alignment horizontal="center" vertical="center" wrapText="1"/>
    </xf>
    <xf numFmtId="0" fontId="15" fillId="0" borderId="12" xfId="29" applyFont="1" applyBorder="1" applyAlignment="1">
      <alignment horizontal="center" vertical="center" wrapText="1"/>
    </xf>
    <xf numFmtId="0" fontId="15" fillId="0" borderId="0" xfId="29" applyFont="1" applyBorder="1" applyAlignment="1">
      <alignment horizontal="center" vertical="center" wrapText="1"/>
    </xf>
    <xf numFmtId="0" fontId="15" fillId="0" borderId="13" xfId="29" applyFont="1" applyBorder="1" applyAlignment="1">
      <alignment horizontal="center" vertical="center" wrapText="1"/>
    </xf>
    <xf numFmtId="0" fontId="15" fillId="0" borderId="14" xfId="29" applyFont="1" applyBorder="1" applyAlignment="1">
      <alignment horizontal="center" vertical="center" wrapText="1"/>
    </xf>
    <xf numFmtId="0" fontId="15" fillId="0" borderId="5" xfId="29" applyFont="1" applyBorder="1" applyAlignment="1">
      <alignment horizontal="center" vertical="center" wrapText="1"/>
    </xf>
    <xf numFmtId="0" fontId="15" fillId="0" borderId="15" xfId="29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22" fillId="0" borderId="2" xfId="29" applyNumberFormat="1" applyFont="1" applyFill="1" applyBorder="1" applyAlignment="1">
      <alignment horizontal="center" vertical="top"/>
    </xf>
    <xf numFmtId="0" fontId="24" fillId="0" borderId="3" xfId="31" applyFill="1" applyBorder="1" applyAlignment="1">
      <alignment horizontal="center" vertical="top"/>
    </xf>
    <xf numFmtId="0" fontId="24" fillId="0" borderId="4" xfId="31" applyFill="1" applyBorder="1" applyAlignment="1">
      <alignment horizontal="center" vertical="top"/>
    </xf>
    <xf numFmtId="49" fontId="22" fillId="0" borderId="3" xfId="29" applyNumberFormat="1" applyFont="1" applyFill="1" applyBorder="1" applyAlignment="1">
      <alignment horizontal="center" vertical="top"/>
    </xf>
    <xf numFmtId="49" fontId="22" fillId="0" borderId="4" xfId="29" applyNumberFormat="1" applyFont="1" applyFill="1" applyBorder="1" applyAlignment="1">
      <alignment horizontal="center" vertical="top"/>
    </xf>
    <xf numFmtId="0" fontId="22" fillId="0" borderId="2" xfId="29" applyFont="1" applyFill="1" applyBorder="1" applyAlignment="1">
      <alignment horizontal="left" vertical="top" wrapText="1"/>
    </xf>
    <xf numFmtId="0" fontId="22" fillId="0" borderId="3" xfId="29" applyFont="1" applyFill="1" applyBorder="1" applyAlignment="1">
      <alignment horizontal="left" vertical="top" wrapText="1"/>
    </xf>
    <xf numFmtId="0" fontId="22" fillId="0" borderId="4" xfId="29" applyFont="1" applyFill="1" applyBorder="1" applyAlignment="1">
      <alignment horizontal="left" vertical="top" wrapText="1"/>
    </xf>
    <xf numFmtId="0" fontId="22" fillId="0" borderId="2" xfId="29" applyFont="1" applyFill="1" applyBorder="1" applyAlignment="1">
      <alignment horizontal="justify" vertical="top" wrapText="1"/>
    </xf>
    <xf numFmtId="0" fontId="24" fillId="0" borderId="3" xfId="31" applyFill="1" applyBorder="1" applyAlignment="1">
      <alignment horizontal="justify" vertical="top" wrapText="1"/>
    </xf>
    <xf numFmtId="0" fontId="24" fillId="0" borderId="4" xfId="31" applyFill="1" applyBorder="1" applyAlignment="1">
      <alignment horizontal="justify" vertical="top" wrapText="1"/>
    </xf>
    <xf numFmtId="0" fontId="22" fillId="0" borderId="2" xfId="29" applyFont="1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top" wrapText="1"/>
    </xf>
    <xf numFmtId="0" fontId="0" fillId="0" borderId="4" xfId="0" applyFill="1" applyBorder="1" applyAlignment="1" applyProtection="1">
      <alignment vertical="top" wrapText="1"/>
    </xf>
    <xf numFmtId="0" fontId="22" fillId="0" borderId="2" xfId="29" applyFont="1" applyFill="1" applyBorder="1" applyAlignment="1" applyProtection="1">
      <alignment horizontal="justify" vertical="top" wrapText="1"/>
    </xf>
    <xf numFmtId="0" fontId="0" fillId="0" borderId="3" xfId="0" applyFill="1" applyBorder="1" applyAlignment="1" applyProtection="1">
      <alignment horizontal="justify" vertical="top" wrapText="1"/>
    </xf>
    <xf numFmtId="0" fontId="0" fillId="0" borderId="4" xfId="0" applyFill="1" applyBorder="1" applyAlignment="1" applyProtection="1">
      <alignment horizontal="justify" vertical="top" wrapText="1"/>
    </xf>
    <xf numFmtId="0" fontId="22" fillId="0" borderId="2" xfId="29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horizontal="justify" vertical="top" wrapText="1"/>
    </xf>
    <xf numFmtId="0" fontId="0" fillId="0" borderId="4" xfId="0" applyFill="1" applyBorder="1" applyAlignment="1">
      <alignment horizontal="justify" vertical="top" wrapText="1"/>
    </xf>
    <xf numFmtId="49" fontId="22" fillId="0" borderId="2" xfId="29" applyNumberFormat="1" applyFont="1" applyFill="1" applyBorder="1" applyAlignment="1">
      <alignment horizontal="center" vertical="top" wrapText="1"/>
    </xf>
    <xf numFmtId="49" fontId="22" fillId="0" borderId="3" xfId="29" applyNumberFormat="1" applyFont="1" applyFill="1" applyBorder="1" applyAlignment="1">
      <alignment horizontal="center" vertical="top" wrapText="1"/>
    </xf>
    <xf numFmtId="49" fontId="22" fillId="0" borderId="4" xfId="29" applyNumberFormat="1" applyFont="1" applyFill="1" applyBorder="1" applyAlignment="1">
      <alignment horizontal="center" vertical="top" wrapText="1"/>
    </xf>
    <xf numFmtId="0" fontId="22" fillId="0" borderId="2" xfId="29" applyFont="1" applyFill="1" applyBorder="1" applyAlignment="1" applyProtection="1">
      <alignment horizontal="left" vertical="top" wrapText="1"/>
    </xf>
    <xf numFmtId="0" fontId="22" fillId="0" borderId="3" xfId="29" applyFont="1" applyFill="1" applyBorder="1" applyAlignment="1" applyProtection="1">
      <alignment horizontal="left" vertical="top" wrapText="1"/>
    </xf>
    <xf numFmtId="0" fontId="22" fillId="0" borderId="4" xfId="29" applyFont="1" applyFill="1" applyBorder="1" applyAlignment="1" applyProtection="1">
      <alignment horizontal="left" vertical="top" wrapText="1"/>
    </xf>
    <xf numFmtId="0" fontId="22" fillId="0" borderId="3" xfId="29" applyFont="1" applyFill="1" applyBorder="1" applyAlignment="1" applyProtection="1">
      <alignment horizontal="justify" vertical="top" wrapText="1"/>
    </xf>
    <xf numFmtId="0" fontId="22" fillId="0" borderId="4" xfId="29" applyFont="1" applyFill="1" applyBorder="1" applyAlignment="1" applyProtection="1">
      <alignment horizontal="justify" vertical="top" wrapText="1"/>
    </xf>
    <xf numFmtId="9" fontId="22" fillId="0" borderId="2" xfId="32" applyFont="1" applyFill="1" applyBorder="1" applyAlignment="1">
      <alignment vertical="top" wrapText="1"/>
    </xf>
    <xf numFmtId="9" fontId="22" fillId="0" borderId="2" xfId="32" applyFont="1" applyFill="1" applyBorder="1" applyAlignment="1">
      <alignment horizontal="justify" vertical="top" wrapText="1"/>
    </xf>
    <xf numFmtId="0" fontId="24" fillId="0" borderId="3" xfId="31" applyFill="1" applyBorder="1" applyAlignment="1" applyProtection="1">
      <alignment vertical="top" wrapText="1"/>
    </xf>
    <xf numFmtId="0" fontId="24" fillId="0" borderId="4" xfId="31" applyFill="1" applyBorder="1" applyAlignment="1" applyProtection="1">
      <alignment vertical="top" wrapText="1"/>
    </xf>
    <xf numFmtId="0" fontId="24" fillId="0" borderId="3" xfId="31" applyFill="1" applyBorder="1" applyAlignment="1" applyProtection="1">
      <alignment horizontal="justify" vertical="top" wrapText="1"/>
    </xf>
    <xf numFmtId="0" fontId="24" fillId="0" borderId="4" xfId="31" applyFill="1" applyBorder="1" applyAlignment="1" applyProtection="1">
      <alignment horizontal="justify" vertical="top" wrapText="1"/>
    </xf>
    <xf numFmtId="0" fontId="15" fillId="0" borderId="9" xfId="29" applyFont="1" applyFill="1" applyBorder="1" applyAlignment="1">
      <alignment horizontal="center" vertical="center" wrapText="1"/>
    </xf>
    <xf numFmtId="0" fontId="15" fillId="0" borderId="10" xfId="29" applyFont="1" applyFill="1" applyBorder="1" applyAlignment="1">
      <alignment horizontal="center" vertical="center" wrapText="1"/>
    </xf>
    <xf numFmtId="0" fontId="15" fillId="0" borderId="11" xfId="29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5" fillId="0" borderId="6" xfId="29" applyFont="1" applyFill="1" applyBorder="1" applyAlignment="1">
      <alignment horizontal="center" vertical="center" wrapText="1"/>
    </xf>
    <xf numFmtId="0" fontId="15" fillId="0" borderId="7" xfId="29" applyFont="1" applyFill="1" applyBorder="1" applyAlignment="1">
      <alignment horizontal="center" vertical="center" wrapText="1"/>
    </xf>
    <xf numFmtId="0" fontId="15" fillId="0" borderId="8" xfId="29" applyFont="1" applyFill="1" applyBorder="1" applyAlignment="1">
      <alignment horizontal="center" vertical="center" wrapText="1"/>
    </xf>
    <xf numFmtId="0" fontId="16" fillId="0" borderId="2" xfId="29" applyFont="1" applyFill="1" applyBorder="1" applyAlignment="1">
      <alignment horizontal="center" vertical="top"/>
    </xf>
    <xf numFmtId="0" fontId="16" fillId="0" borderId="4" xfId="29" applyFont="1" applyFill="1" applyBorder="1" applyAlignment="1">
      <alignment horizontal="center" vertical="top"/>
    </xf>
    <xf numFmtId="0" fontId="16" fillId="0" borderId="6" xfId="29" applyFont="1" applyFill="1" applyBorder="1" applyAlignment="1">
      <alignment horizontal="center" vertical="top" wrapText="1"/>
    </xf>
    <xf numFmtId="0" fontId="16" fillId="0" borderId="8" xfId="29" applyFont="1" applyFill="1" applyBorder="1" applyAlignment="1">
      <alignment horizontal="center" vertical="top" wrapText="1"/>
    </xf>
    <xf numFmtId="0" fontId="16" fillId="0" borderId="2" xfId="29" applyFont="1" applyFill="1" applyBorder="1" applyAlignment="1">
      <alignment horizontal="center" vertical="top" wrapText="1"/>
    </xf>
    <xf numFmtId="0" fontId="16" fillId="0" borderId="4" xfId="29" applyFont="1" applyFill="1" applyBorder="1" applyAlignment="1">
      <alignment horizontal="center" vertical="top" wrapText="1"/>
    </xf>
    <xf numFmtId="3" fontId="16" fillId="0" borderId="2" xfId="29" applyNumberFormat="1" applyFont="1" applyFill="1" applyBorder="1" applyAlignment="1">
      <alignment horizontal="center" vertical="top" wrapText="1"/>
    </xf>
    <xf numFmtId="3" fontId="16" fillId="0" borderId="4" xfId="29" applyNumberFormat="1" applyFont="1" applyFill="1" applyBorder="1" applyAlignment="1">
      <alignment horizontal="center" vertical="top" wrapText="1"/>
    </xf>
  </cellXfs>
  <cellStyles count="33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5" xr:uid="{00000000-0005-0000-0000-000005000000}"/>
    <cellStyle name="Normalny 10 2" xfId="20" xr:uid="{00000000-0005-0000-0000-000006000000}"/>
    <cellStyle name="Normalny 11 2" xfId="31" xr:uid="{00000000-0005-0000-0000-000007000000}"/>
    <cellStyle name="Normalny 12" xfId="23" xr:uid="{00000000-0005-0000-0000-000008000000}"/>
    <cellStyle name="Normalny 14" xfId="19" xr:uid="{00000000-0005-0000-0000-000009000000}"/>
    <cellStyle name="Normalny 17" xfId="18" xr:uid="{00000000-0005-0000-0000-00000A000000}"/>
    <cellStyle name="Normalny 2" xfId="6" xr:uid="{00000000-0005-0000-0000-00000B000000}"/>
    <cellStyle name="Normalny 2 2" xfId="7" xr:uid="{00000000-0005-0000-0000-00000C000000}"/>
    <cellStyle name="Normalny 2_RDW" xfId="8" xr:uid="{00000000-0005-0000-0000-00000D000000}"/>
    <cellStyle name="Normalny 3" xfId="9" xr:uid="{00000000-0005-0000-0000-00000E000000}"/>
    <cellStyle name="Normalny 4" xfId="10" xr:uid="{00000000-0005-0000-0000-00000F000000}"/>
    <cellStyle name="Normalny 5" xfId="11" xr:uid="{00000000-0005-0000-0000-000010000000}"/>
    <cellStyle name="Normalny 6" xfId="12" xr:uid="{00000000-0005-0000-0000-000011000000}"/>
    <cellStyle name="Normalny 7" xfId="13" xr:uid="{00000000-0005-0000-0000-000012000000}"/>
    <cellStyle name="Normalny 8" xfId="14" xr:uid="{00000000-0005-0000-0000-000013000000}"/>
    <cellStyle name="Normalny 9" xfId="15" xr:uid="{00000000-0005-0000-0000-000014000000}"/>
    <cellStyle name="Normalny_IZ 2011" xfId="26" xr:uid="{00000000-0005-0000-0000-000015000000}"/>
    <cellStyle name="Normalny_RPO 2011" xfId="27" xr:uid="{00000000-0005-0000-0000-000016000000}"/>
    <cellStyle name="Normalny_Załącznik  nr 7  RPO na 2010" xfId="25" xr:uid="{00000000-0005-0000-0000-000017000000}"/>
    <cellStyle name="Normalny_załącznik nr 1" xfId="17" xr:uid="{00000000-0005-0000-0000-000018000000}"/>
    <cellStyle name="Normalny_Załącznik nr 3  do proj. budżetu na 2006r._Zał. Nr 3 i Nr 21 do proj.budż.po Autopoprawce" xfId="22" xr:uid="{00000000-0005-0000-0000-000019000000}"/>
    <cellStyle name="Normalny_Załącznik nr 3  do proj. budżetu na 2006r._Załączniki Nr 3 do US z dnia 22.12.2008 r." xfId="24" xr:uid="{00000000-0005-0000-0000-00001A000000}"/>
    <cellStyle name="Normalny_Załącznik nr 9  PROW na 2010" xfId="28" xr:uid="{00000000-0005-0000-0000-00001B000000}"/>
    <cellStyle name="Normalny_Załączniki do  budżetu na 2005 r" xfId="29" xr:uid="{00000000-0005-0000-0000-00001C000000}"/>
    <cellStyle name="Normalny_Załączniki do budżetu na 2006 r._Zał. Nr 3 i Nr 21 do proj.budż.po Autopoprawce" xfId="21" xr:uid="{00000000-0005-0000-0000-00001D000000}"/>
    <cellStyle name="Normalny_Załączniki do projektu budżetu na 2009 r." xfId="30" xr:uid="{00000000-0005-0000-0000-00001E000000}"/>
    <cellStyle name="Procentowy 2" xfId="32" xr:uid="{00000000-0005-0000-0000-00001F000000}"/>
    <cellStyle name="Styl 1" xfId="16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54"/>
  <sheetViews>
    <sheetView view="pageBreakPreview" zoomScaleNormal="100" zoomScaleSheetLayoutView="100" workbookViewId="0">
      <selection activeCell="G154" sqref="G154"/>
    </sheetView>
  </sheetViews>
  <sheetFormatPr defaultColWidth="8" defaultRowHeight="12.75"/>
  <cols>
    <col min="1" max="1" width="5" style="223" customWidth="1"/>
    <col min="2" max="2" width="27.625" style="224" customWidth="1"/>
    <col min="3" max="3" width="3.125" style="224" customWidth="1"/>
    <col min="4" max="4" width="12.875" style="225" customWidth="1"/>
    <col min="5" max="7" width="11.375" style="130" customWidth="1"/>
    <col min="8" max="9" width="11.125" style="130" customWidth="1"/>
    <col min="10" max="11" width="10.875" style="130" customWidth="1"/>
    <col min="12" max="14" width="11.375" style="130" customWidth="1"/>
    <col min="15" max="15" width="11.125" style="130" customWidth="1"/>
    <col min="16" max="17" width="11.375" style="130" customWidth="1"/>
    <col min="18" max="19" width="8" style="129" customWidth="1"/>
    <col min="20" max="63" width="8" style="129"/>
    <col min="64" max="16384" width="8" style="130"/>
  </cols>
  <sheetData>
    <row r="1" spans="1:63">
      <c r="A1" s="126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 t="s">
        <v>393</v>
      </c>
      <c r="O1" s="129"/>
      <c r="P1" s="129"/>
      <c r="Q1" s="129"/>
    </row>
    <row r="2" spans="1:63">
      <c r="A2" s="126"/>
      <c r="B2" s="127"/>
      <c r="C2" s="127"/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 t="s">
        <v>394</v>
      </c>
      <c r="O2" s="129"/>
      <c r="P2" s="129"/>
      <c r="Q2" s="129"/>
    </row>
    <row r="3" spans="1:63">
      <c r="A3" s="126"/>
      <c r="B3" s="127"/>
      <c r="C3" s="127"/>
      <c r="D3" s="128"/>
      <c r="E3" s="129"/>
      <c r="F3" s="129"/>
      <c r="G3" s="129"/>
      <c r="H3" s="129"/>
      <c r="I3" s="129"/>
      <c r="J3" s="129"/>
      <c r="K3" s="129"/>
      <c r="L3" s="129"/>
      <c r="M3" s="129"/>
      <c r="N3" s="129" t="s">
        <v>395</v>
      </c>
      <c r="O3" s="129"/>
      <c r="P3" s="129"/>
      <c r="Q3" s="129"/>
    </row>
    <row r="4" spans="1:63" ht="21.75" customHeight="1">
      <c r="A4" s="728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</row>
    <row r="5" spans="1:63" ht="42.75" customHeight="1">
      <c r="A5" s="729" t="s">
        <v>396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131"/>
      <c r="S5" s="131"/>
      <c r="T5" s="131"/>
      <c r="U5" s="131"/>
      <c r="V5" s="131"/>
    </row>
    <row r="6" spans="1:63">
      <c r="A6" s="126"/>
      <c r="B6" s="127"/>
      <c r="C6" s="127"/>
      <c r="D6" s="128"/>
      <c r="E6" s="129"/>
      <c r="F6" s="129"/>
      <c r="G6" s="132"/>
      <c r="H6" s="132"/>
      <c r="I6" s="132"/>
      <c r="J6" s="132"/>
      <c r="K6" s="132"/>
      <c r="L6" s="132"/>
      <c r="M6" s="132"/>
      <c r="N6" s="129"/>
      <c r="O6" s="129"/>
      <c r="P6" s="133"/>
      <c r="Q6" s="133" t="s">
        <v>0</v>
      </c>
    </row>
    <row r="7" spans="1:63" s="134" customFormat="1" ht="21" customHeight="1">
      <c r="A7" s="730" t="s">
        <v>1</v>
      </c>
      <c r="B7" s="733" t="s">
        <v>70</v>
      </c>
      <c r="C7" s="730" t="s">
        <v>3</v>
      </c>
      <c r="D7" s="736" t="s">
        <v>71</v>
      </c>
      <c r="E7" s="724" t="s">
        <v>397</v>
      </c>
      <c r="F7" s="726" t="s">
        <v>398</v>
      </c>
      <c r="G7" s="724" t="s">
        <v>399</v>
      </c>
      <c r="H7" s="741"/>
      <c r="I7" s="741"/>
      <c r="J7" s="741"/>
      <c r="K7" s="741"/>
      <c r="L7" s="741"/>
      <c r="M7" s="741"/>
      <c r="N7" s="741"/>
      <c r="O7" s="741"/>
      <c r="P7" s="741"/>
      <c r="Q7" s="742"/>
    </row>
    <row r="8" spans="1:63" s="134" customFormat="1" ht="21" customHeight="1">
      <c r="A8" s="731"/>
      <c r="B8" s="734"/>
      <c r="C8" s="731"/>
      <c r="D8" s="737"/>
      <c r="E8" s="739"/>
      <c r="F8" s="740"/>
      <c r="G8" s="743" t="s">
        <v>400</v>
      </c>
      <c r="H8" s="744"/>
      <c r="I8" s="744"/>
      <c r="J8" s="744"/>
      <c r="K8" s="744"/>
      <c r="L8" s="744"/>
      <c r="M8" s="745"/>
      <c r="N8" s="743" t="s">
        <v>401</v>
      </c>
      <c r="O8" s="744"/>
      <c r="P8" s="744"/>
      <c r="Q8" s="745"/>
    </row>
    <row r="9" spans="1:63" s="134" customFormat="1" ht="29.25" customHeight="1">
      <c r="A9" s="731"/>
      <c r="B9" s="734"/>
      <c r="C9" s="731"/>
      <c r="D9" s="737"/>
      <c r="E9" s="739"/>
      <c r="F9" s="740"/>
      <c r="G9" s="736" t="s">
        <v>402</v>
      </c>
      <c r="H9" s="746" t="s">
        <v>403</v>
      </c>
      <c r="I9" s="747"/>
      <c r="J9" s="726" t="s">
        <v>404</v>
      </c>
      <c r="K9" s="726" t="s">
        <v>405</v>
      </c>
      <c r="L9" s="726" t="s">
        <v>406</v>
      </c>
      <c r="M9" s="724" t="s">
        <v>407</v>
      </c>
      <c r="N9" s="726" t="s">
        <v>408</v>
      </c>
      <c r="O9" s="726" t="s">
        <v>404</v>
      </c>
      <c r="P9" s="724" t="s">
        <v>405</v>
      </c>
      <c r="Q9" s="726" t="s">
        <v>407</v>
      </c>
    </row>
    <row r="10" spans="1:63" s="134" customFormat="1" ht="44.25" customHeight="1">
      <c r="A10" s="732"/>
      <c r="B10" s="735"/>
      <c r="C10" s="732"/>
      <c r="D10" s="738"/>
      <c r="E10" s="725"/>
      <c r="F10" s="727"/>
      <c r="G10" s="725"/>
      <c r="H10" s="135" t="s">
        <v>409</v>
      </c>
      <c r="I10" s="136" t="s">
        <v>410</v>
      </c>
      <c r="J10" s="727"/>
      <c r="K10" s="727"/>
      <c r="L10" s="727"/>
      <c r="M10" s="725"/>
      <c r="N10" s="727"/>
      <c r="O10" s="727"/>
      <c r="P10" s="725"/>
      <c r="Q10" s="727"/>
    </row>
    <row r="11" spans="1:63" s="141" customFormat="1" ht="12" customHeight="1">
      <c r="A11" s="137" t="s">
        <v>411</v>
      </c>
      <c r="B11" s="138" t="s">
        <v>412</v>
      </c>
      <c r="C11" s="138"/>
      <c r="D11" s="137" t="s">
        <v>413</v>
      </c>
      <c r="E11" s="137" t="s">
        <v>414</v>
      </c>
      <c r="F11" s="137" t="s">
        <v>415</v>
      </c>
      <c r="G11" s="139" t="s">
        <v>416</v>
      </c>
      <c r="H11" s="137" t="s">
        <v>417</v>
      </c>
      <c r="I11" s="140" t="s">
        <v>418</v>
      </c>
      <c r="J11" s="137" t="s">
        <v>419</v>
      </c>
      <c r="K11" s="137" t="s">
        <v>420</v>
      </c>
      <c r="L11" s="137" t="s">
        <v>421</v>
      </c>
      <c r="M11" s="137" t="s">
        <v>422</v>
      </c>
      <c r="N11" s="137" t="s">
        <v>423</v>
      </c>
      <c r="O11" s="137" t="s">
        <v>424</v>
      </c>
      <c r="P11" s="139" t="s">
        <v>425</v>
      </c>
      <c r="Q11" s="137" t="s">
        <v>426</v>
      </c>
    </row>
    <row r="12" spans="1:63" s="147" customFormat="1" ht="4.5" hidden="1" customHeight="1">
      <c r="A12" s="142"/>
      <c r="B12" s="143"/>
      <c r="C12" s="143"/>
      <c r="D12" s="144"/>
      <c r="E12" s="145"/>
      <c r="F12" s="145"/>
      <c r="G12" s="145"/>
      <c r="H12" s="146"/>
      <c r="I12" s="145"/>
      <c r="J12" s="145"/>
      <c r="K12" s="145"/>
      <c r="L12" s="145"/>
      <c r="M12" s="145"/>
      <c r="N12" s="145"/>
      <c r="O12" s="145"/>
      <c r="P12" s="145"/>
      <c r="Q12" s="146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</row>
    <row r="13" spans="1:63" s="154" customFormat="1" ht="20.100000000000001" customHeight="1">
      <c r="A13" s="718" t="s">
        <v>427</v>
      </c>
      <c r="B13" s="719"/>
      <c r="C13" s="148" t="s">
        <v>5</v>
      </c>
      <c r="D13" s="149">
        <f>SUM(E13:Q13)</f>
        <v>930373559</v>
      </c>
      <c r="E13" s="150">
        <f t="shared" ref="E13:Q15" si="0">E17+E21+E29+E33+E41+E45+E49+E53+E57+E61+E65+E69+E73+E77+E81+E85+E93+E97+E101+E25+E89+E37</f>
        <v>581108020</v>
      </c>
      <c r="F13" s="150">
        <f t="shared" si="0"/>
        <v>21463014</v>
      </c>
      <c r="G13" s="150">
        <f t="shared" si="0"/>
        <v>146089039</v>
      </c>
      <c r="H13" s="150">
        <f t="shared" si="0"/>
        <v>62168662</v>
      </c>
      <c r="I13" s="150">
        <f t="shared" si="0"/>
        <v>33764374</v>
      </c>
      <c r="J13" s="150">
        <f t="shared" si="0"/>
        <v>1151252</v>
      </c>
      <c r="K13" s="150">
        <f t="shared" si="0"/>
        <v>58000</v>
      </c>
      <c r="L13" s="150">
        <f t="shared" si="0"/>
        <v>877451</v>
      </c>
      <c r="M13" s="150">
        <f t="shared" si="0"/>
        <v>445</v>
      </c>
      <c r="N13" s="150">
        <f t="shared" si="0"/>
        <v>55579781</v>
      </c>
      <c r="O13" s="150">
        <f t="shared" si="0"/>
        <v>5080222</v>
      </c>
      <c r="P13" s="151">
        <f t="shared" si="0"/>
        <v>19503358</v>
      </c>
      <c r="Q13" s="150">
        <f t="shared" si="0"/>
        <v>3529941</v>
      </c>
      <c r="R13" s="152"/>
      <c r="S13" s="152"/>
      <c r="T13" s="153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</row>
    <row r="14" spans="1:63" s="154" customFormat="1" ht="20.100000000000001" customHeight="1">
      <c r="A14" s="720"/>
      <c r="B14" s="721"/>
      <c r="C14" s="148" t="s">
        <v>6</v>
      </c>
      <c r="D14" s="150">
        <f>SUM(E14:Q14)</f>
        <v>727724</v>
      </c>
      <c r="E14" s="150">
        <f t="shared" si="0"/>
        <v>14500000</v>
      </c>
      <c r="F14" s="150">
        <f t="shared" si="0"/>
        <v>50670</v>
      </c>
      <c r="G14" s="150">
        <f t="shared" si="0"/>
        <v>-8492645</v>
      </c>
      <c r="H14" s="150">
        <f t="shared" si="0"/>
        <v>-6565025</v>
      </c>
      <c r="I14" s="150">
        <f t="shared" si="0"/>
        <v>-166875</v>
      </c>
      <c r="J14" s="150">
        <f t="shared" si="0"/>
        <v>0</v>
      </c>
      <c r="K14" s="150">
        <f t="shared" si="0"/>
        <v>0</v>
      </c>
      <c r="L14" s="150">
        <f t="shared" si="0"/>
        <v>0</v>
      </c>
      <c r="M14" s="150">
        <f t="shared" si="0"/>
        <v>0</v>
      </c>
      <c r="N14" s="150">
        <f t="shared" si="0"/>
        <v>0</v>
      </c>
      <c r="O14" s="150">
        <f t="shared" si="0"/>
        <v>-190000</v>
      </c>
      <c r="P14" s="151">
        <f t="shared" si="0"/>
        <v>1591599</v>
      </c>
      <c r="Q14" s="150">
        <f t="shared" si="0"/>
        <v>0</v>
      </c>
      <c r="R14" s="152"/>
      <c r="S14" s="152"/>
      <c r="T14" s="153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</row>
    <row r="15" spans="1:63" s="154" customFormat="1" ht="20.100000000000001" customHeight="1">
      <c r="A15" s="722"/>
      <c r="B15" s="723"/>
      <c r="C15" s="148" t="s">
        <v>7</v>
      </c>
      <c r="D15" s="150">
        <f>SUM(E15:Q15)</f>
        <v>931101283</v>
      </c>
      <c r="E15" s="150">
        <f t="shared" si="0"/>
        <v>595608020</v>
      </c>
      <c r="F15" s="150">
        <f t="shared" si="0"/>
        <v>21513684</v>
      </c>
      <c r="G15" s="150">
        <f t="shared" si="0"/>
        <v>137596394</v>
      </c>
      <c r="H15" s="150">
        <f t="shared" si="0"/>
        <v>55603637</v>
      </c>
      <c r="I15" s="150">
        <f t="shared" si="0"/>
        <v>33597499</v>
      </c>
      <c r="J15" s="150">
        <f t="shared" si="0"/>
        <v>1151252</v>
      </c>
      <c r="K15" s="150">
        <f t="shared" si="0"/>
        <v>58000</v>
      </c>
      <c r="L15" s="150">
        <f t="shared" si="0"/>
        <v>877451</v>
      </c>
      <c r="M15" s="150">
        <f t="shared" si="0"/>
        <v>445</v>
      </c>
      <c r="N15" s="150">
        <f t="shared" si="0"/>
        <v>55579781</v>
      </c>
      <c r="O15" s="150">
        <f t="shared" si="0"/>
        <v>4890222</v>
      </c>
      <c r="P15" s="151">
        <f t="shared" si="0"/>
        <v>21094957</v>
      </c>
      <c r="Q15" s="150">
        <f t="shared" si="0"/>
        <v>3529941</v>
      </c>
      <c r="R15" s="152"/>
      <c r="S15" s="152"/>
      <c r="T15" s="153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</row>
    <row r="16" spans="1:63" s="164" customFormat="1" ht="3.75" hidden="1" customHeight="1">
      <c r="A16" s="155"/>
      <c r="B16" s="156"/>
      <c r="C16" s="156"/>
      <c r="D16" s="157"/>
      <c r="E16" s="158"/>
      <c r="F16" s="159"/>
      <c r="G16" s="159"/>
      <c r="H16" s="160"/>
      <c r="I16" s="159"/>
      <c r="J16" s="159"/>
      <c r="K16" s="161"/>
      <c r="L16" s="159"/>
      <c r="M16" s="159"/>
      <c r="N16" s="159"/>
      <c r="O16" s="159"/>
      <c r="P16" s="159"/>
      <c r="Q16" s="160"/>
      <c r="R16" s="162"/>
      <c r="S16" s="162"/>
      <c r="T16" s="163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</row>
    <row r="17" spans="1:20" s="152" customFormat="1" ht="18.75" hidden="1" customHeight="1">
      <c r="A17" s="712" t="s">
        <v>8</v>
      </c>
      <c r="B17" s="715" t="s">
        <v>428</v>
      </c>
      <c r="C17" s="165" t="s">
        <v>5</v>
      </c>
      <c r="D17" s="166">
        <f>SUM(E17:Q17)</f>
        <v>12248846</v>
      </c>
      <c r="E17" s="167">
        <v>0</v>
      </c>
      <c r="F17" s="167">
        <v>6092000</v>
      </c>
      <c r="G17" s="168">
        <v>0</v>
      </c>
      <c r="H17" s="167">
        <v>3914000</v>
      </c>
      <c r="I17" s="169">
        <v>2236000</v>
      </c>
      <c r="J17" s="167">
        <v>0</v>
      </c>
      <c r="K17" s="170">
        <v>0</v>
      </c>
      <c r="L17" s="168">
        <v>0</v>
      </c>
      <c r="M17" s="168">
        <v>0</v>
      </c>
      <c r="N17" s="167">
        <v>6846</v>
      </c>
      <c r="O17" s="167">
        <v>0</v>
      </c>
      <c r="P17" s="169">
        <v>0</v>
      </c>
      <c r="Q17" s="167">
        <v>0</v>
      </c>
      <c r="T17" s="153"/>
    </row>
    <row r="18" spans="1:20" s="152" customFormat="1" ht="18.75" hidden="1" customHeight="1">
      <c r="A18" s="713"/>
      <c r="B18" s="716"/>
      <c r="C18" s="165" t="s">
        <v>6</v>
      </c>
      <c r="D18" s="166">
        <f>SUM(E18:Q18)</f>
        <v>0</v>
      </c>
      <c r="E18" s="171">
        <v>0</v>
      </c>
      <c r="F18" s="171">
        <v>0</v>
      </c>
      <c r="G18" s="172">
        <v>0</v>
      </c>
      <c r="H18" s="171">
        <v>0</v>
      </c>
      <c r="I18" s="172">
        <v>0</v>
      </c>
      <c r="J18" s="171">
        <v>0</v>
      </c>
      <c r="K18" s="173">
        <v>0</v>
      </c>
      <c r="L18" s="174">
        <v>0</v>
      </c>
      <c r="M18" s="174">
        <v>0</v>
      </c>
      <c r="N18" s="171">
        <v>0</v>
      </c>
      <c r="O18" s="171">
        <v>0</v>
      </c>
      <c r="P18" s="172">
        <v>0</v>
      </c>
      <c r="Q18" s="171">
        <v>0</v>
      </c>
      <c r="T18" s="153"/>
    </row>
    <row r="19" spans="1:20" s="152" customFormat="1" ht="18.75" hidden="1" customHeight="1">
      <c r="A19" s="714"/>
      <c r="B19" s="717"/>
      <c r="C19" s="165" t="s">
        <v>7</v>
      </c>
      <c r="D19" s="166">
        <f>SUM(E19:Q19)</f>
        <v>12248846</v>
      </c>
      <c r="E19" s="171">
        <f>E17+E18</f>
        <v>0</v>
      </c>
      <c r="F19" s="171">
        <f t="shared" ref="F19:P19" si="1">F17+F18</f>
        <v>6092000</v>
      </c>
      <c r="G19" s="171">
        <f t="shared" si="1"/>
        <v>0</v>
      </c>
      <c r="H19" s="171">
        <f t="shared" si="1"/>
        <v>3914000</v>
      </c>
      <c r="I19" s="171">
        <f t="shared" si="1"/>
        <v>2236000</v>
      </c>
      <c r="J19" s="171">
        <f t="shared" si="1"/>
        <v>0</v>
      </c>
      <c r="K19" s="171">
        <f t="shared" si="1"/>
        <v>0</v>
      </c>
      <c r="L19" s="171">
        <f t="shared" si="1"/>
        <v>0</v>
      </c>
      <c r="M19" s="171">
        <f>M17+M18</f>
        <v>0</v>
      </c>
      <c r="N19" s="171">
        <f t="shared" si="1"/>
        <v>6846</v>
      </c>
      <c r="O19" s="171">
        <f t="shared" si="1"/>
        <v>0</v>
      </c>
      <c r="P19" s="174">
        <f t="shared" si="1"/>
        <v>0</v>
      </c>
      <c r="Q19" s="171">
        <f>Q17+Q18</f>
        <v>0</v>
      </c>
      <c r="T19" s="153"/>
    </row>
    <row r="20" spans="1:20" s="152" customFormat="1" ht="2.25" hidden="1" customHeight="1">
      <c r="A20" s="175"/>
      <c r="B20" s="176"/>
      <c r="C20" s="177"/>
      <c r="D20" s="178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7"/>
      <c r="T20" s="153"/>
    </row>
    <row r="21" spans="1:20" s="152" customFormat="1" ht="20.25" hidden="1" customHeight="1">
      <c r="A21" s="712" t="s">
        <v>57</v>
      </c>
      <c r="B21" s="715" t="s">
        <v>58</v>
      </c>
      <c r="C21" s="165" t="s">
        <v>5</v>
      </c>
      <c r="D21" s="166">
        <f>SUM(E21:Q21)</f>
        <v>312000</v>
      </c>
      <c r="E21" s="171">
        <v>0</v>
      </c>
      <c r="F21" s="171">
        <v>0</v>
      </c>
      <c r="G21" s="172">
        <v>0</v>
      </c>
      <c r="H21" s="171">
        <v>186000</v>
      </c>
      <c r="I21" s="172">
        <v>62000</v>
      </c>
      <c r="J21" s="171">
        <v>0</v>
      </c>
      <c r="K21" s="173">
        <v>0</v>
      </c>
      <c r="L21" s="174">
        <v>0</v>
      </c>
      <c r="M21" s="174">
        <v>0</v>
      </c>
      <c r="N21" s="171">
        <v>64000</v>
      </c>
      <c r="O21" s="171">
        <v>0</v>
      </c>
      <c r="P21" s="172">
        <v>0</v>
      </c>
      <c r="Q21" s="171">
        <v>0</v>
      </c>
      <c r="T21" s="153"/>
    </row>
    <row r="22" spans="1:20" s="152" customFormat="1" ht="20.25" hidden="1" customHeight="1">
      <c r="A22" s="713"/>
      <c r="B22" s="716"/>
      <c r="C22" s="165" t="s">
        <v>6</v>
      </c>
      <c r="D22" s="166">
        <f>SUM(E22:Q22)</f>
        <v>0</v>
      </c>
      <c r="E22" s="171">
        <v>0</v>
      </c>
      <c r="F22" s="171">
        <v>0</v>
      </c>
      <c r="G22" s="172">
        <v>0</v>
      </c>
      <c r="H22" s="171">
        <v>0</v>
      </c>
      <c r="I22" s="172">
        <v>0</v>
      </c>
      <c r="J22" s="171">
        <v>0</v>
      </c>
      <c r="K22" s="173">
        <v>0</v>
      </c>
      <c r="L22" s="174">
        <v>0</v>
      </c>
      <c r="M22" s="174">
        <v>0</v>
      </c>
      <c r="N22" s="171">
        <v>0</v>
      </c>
      <c r="O22" s="171">
        <v>0</v>
      </c>
      <c r="P22" s="172">
        <v>0</v>
      </c>
      <c r="Q22" s="171">
        <v>0</v>
      </c>
      <c r="T22" s="153"/>
    </row>
    <row r="23" spans="1:20" s="152" customFormat="1" ht="20.25" hidden="1" customHeight="1">
      <c r="A23" s="714"/>
      <c r="B23" s="717"/>
      <c r="C23" s="165" t="s">
        <v>7</v>
      </c>
      <c r="D23" s="166">
        <f>SUM(E23:Q23)</f>
        <v>312000</v>
      </c>
      <c r="E23" s="171">
        <f t="shared" ref="E23:P23" si="2">E21+E22</f>
        <v>0</v>
      </c>
      <c r="F23" s="171">
        <f t="shared" si="2"/>
        <v>0</v>
      </c>
      <c r="G23" s="171">
        <f t="shared" si="2"/>
        <v>0</v>
      </c>
      <c r="H23" s="171">
        <f t="shared" si="2"/>
        <v>186000</v>
      </c>
      <c r="I23" s="171">
        <f t="shared" si="2"/>
        <v>62000</v>
      </c>
      <c r="J23" s="171">
        <f t="shared" si="2"/>
        <v>0</v>
      </c>
      <c r="K23" s="171">
        <f t="shared" si="2"/>
        <v>0</v>
      </c>
      <c r="L23" s="171">
        <f t="shared" si="2"/>
        <v>0</v>
      </c>
      <c r="M23" s="171">
        <f>M21+M22</f>
        <v>0</v>
      </c>
      <c r="N23" s="171">
        <f t="shared" si="2"/>
        <v>64000</v>
      </c>
      <c r="O23" s="171">
        <f t="shared" si="2"/>
        <v>0</v>
      </c>
      <c r="P23" s="174">
        <f t="shared" si="2"/>
        <v>0</v>
      </c>
      <c r="Q23" s="171">
        <f>Q21+Q22</f>
        <v>0</v>
      </c>
      <c r="T23" s="153"/>
    </row>
    <row r="24" spans="1:20" s="152" customFormat="1" ht="5.25" hidden="1" customHeight="1">
      <c r="A24" s="175"/>
      <c r="B24" s="176"/>
      <c r="C24" s="176"/>
      <c r="D24" s="178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7"/>
      <c r="T24" s="153"/>
    </row>
    <row r="25" spans="1:20" s="152" customFormat="1" ht="18" hidden="1" customHeight="1">
      <c r="A25" s="712" t="s">
        <v>89</v>
      </c>
      <c r="B25" s="715" t="s">
        <v>90</v>
      </c>
      <c r="C25" s="165" t="s">
        <v>5</v>
      </c>
      <c r="D25" s="166">
        <f>SUM(E25:Q25)</f>
        <v>3690137</v>
      </c>
      <c r="E25" s="167">
        <v>0</v>
      </c>
      <c r="F25" s="167">
        <v>335</v>
      </c>
      <c r="G25" s="169">
        <v>0</v>
      </c>
      <c r="H25" s="167">
        <v>0</v>
      </c>
      <c r="I25" s="169">
        <v>0</v>
      </c>
      <c r="J25" s="167">
        <v>0</v>
      </c>
      <c r="K25" s="170">
        <v>0</v>
      </c>
      <c r="L25" s="168">
        <v>169861</v>
      </c>
      <c r="M25" s="167">
        <v>0</v>
      </c>
      <c r="N25" s="167">
        <v>0</v>
      </c>
      <c r="O25" s="167">
        <v>0</v>
      </c>
      <c r="P25" s="169">
        <v>0</v>
      </c>
      <c r="Q25" s="167">
        <v>3519941</v>
      </c>
      <c r="T25" s="153"/>
    </row>
    <row r="26" spans="1:20" s="152" customFormat="1" ht="18" hidden="1" customHeight="1">
      <c r="A26" s="713"/>
      <c r="B26" s="716"/>
      <c r="C26" s="165" t="s">
        <v>6</v>
      </c>
      <c r="D26" s="166">
        <f>SUM(E26:Q26)</f>
        <v>0</v>
      </c>
      <c r="E26" s="171">
        <v>0</v>
      </c>
      <c r="F26" s="171">
        <v>0</v>
      </c>
      <c r="G26" s="172">
        <v>0</v>
      </c>
      <c r="H26" s="171">
        <v>0</v>
      </c>
      <c r="I26" s="172">
        <v>0</v>
      </c>
      <c r="J26" s="171">
        <v>0</v>
      </c>
      <c r="K26" s="173">
        <v>0</v>
      </c>
      <c r="L26" s="174">
        <v>0</v>
      </c>
      <c r="M26" s="171">
        <v>0</v>
      </c>
      <c r="N26" s="171">
        <v>0</v>
      </c>
      <c r="O26" s="171">
        <v>0</v>
      </c>
      <c r="P26" s="172">
        <v>0</v>
      </c>
      <c r="Q26" s="171">
        <v>0</v>
      </c>
      <c r="T26" s="153"/>
    </row>
    <row r="27" spans="1:20" s="152" customFormat="1" ht="18" hidden="1" customHeight="1">
      <c r="A27" s="714"/>
      <c r="B27" s="717"/>
      <c r="C27" s="165" t="s">
        <v>7</v>
      </c>
      <c r="D27" s="166">
        <f>SUM(E27:Q27)</f>
        <v>3690137</v>
      </c>
      <c r="E27" s="171">
        <f t="shared" ref="E27:P27" si="3">E25+E26</f>
        <v>0</v>
      </c>
      <c r="F27" s="171">
        <f t="shared" si="3"/>
        <v>335</v>
      </c>
      <c r="G27" s="171">
        <f t="shared" si="3"/>
        <v>0</v>
      </c>
      <c r="H27" s="171">
        <f t="shared" si="3"/>
        <v>0</v>
      </c>
      <c r="I27" s="171">
        <f t="shared" si="3"/>
        <v>0</v>
      </c>
      <c r="J27" s="171">
        <f t="shared" si="3"/>
        <v>0</v>
      </c>
      <c r="K27" s="171">
        <f t="shared" si="3"/>
        <v>0</v>
      </c>
      <c r="L27" s="171">
        <f t="shared" si="3"/>
        <v>169861</v>
      </c>
      <c r="M27" s="171">
        <f>M25+M26</f>
        <v>0</v>
      </c>
      <c r="N27" s="171">
        <f t="shared" si="3"/>
        <v>0</v>
      </c>
      <c r="O27" s="171">
        <f t="shared" si="3"/>
        <v>0</v>
      </c>
      <c r="P27" s="174">
        <f t="shared" si="3"/>
        <v>0</v>
      </c>
      <c r="Q27" s="171">
        <f>Q25+Q26</f>
        <v>3519941</v>
      </c>
      <c r="T27" s="153"/>
    </row>
    <row r="28" spans="1:20" s="152" customFormat="1" ht="5.0999999999999996" hidden="1" customHeight="1">
      <c r="A28" s="179"/>
      <c r="B28" s="177"/>
      <c r="C28" s="176"/>
      <c r="D28" s="178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7"/>
      <c r="T28" s="153"/>
    </row>
    <row r="29" spans="1:20" s="183" customFormat="1" ht="18" hidden="1" customHeight="1">
      <c r="A29" s="695" t="s">
        <v>94</v>
      </c>
      <c r="B29" s="697" t="s">
        <v>95</v>
      </c>
      <c r="C29" s="165" t="s">
        <v>5</v>
      </c>
      <c r="D29" s="166">
        <f>SUM(E29:Q29)</f>
        <v>0</v>
      </c>
      <c r="E29" s="180">
        <v>0</v>
      </c>
      <c r="F29" s="180">
        <v>0</v>
      </c>
      <c r="G29" s="181">
        <v>0</v>
      </c>
      <c r="H29" s="180">
        <v>0</v>
      </c>
      <c r="I29" s="182">
        <v>0</v>
      </c>
      <c r="J29" s="180">
        <v>0</v>
      </c>
      <c r="K29" s="182">
        <v>0</v>
      </c>
      <c r="L29" s="180">
        <v>0</v>
      </c>
      <c r="M29" s="180">
        <v>0</v>
      </c>
      <c r="N29" s="180">
        <v>0</v>
      </c>
      <c r="O29" s="180">
        <v>0</v>
      </c>
      <c r="P29" s="181">
        <v>0</v>
      </c>
      <c r="Q29" s="180">
        <v>0</v>
      </c>
      <c r="T29" s="184"/>
    </row>
    <row r="30" spans="1:20" s="183" customFormat="1" ht="18" hidden="1" customHeight="1">
      <c r="A30" s="696"/>
      <c r="B30" s="698"/>
      <c r="C30" s="165" t="s">
        <v>6</v>
      </c>
      <c r="D30" s="166">
        <f>SUM(E30:Q30)</f>
        <v>0</v>
      </c>
      <c r="E30" s="171">
        <v>0</v>
      </c>
      <c r="F30" s="171">
        <v>0</v>
      </c>
      <c r="G30" s="172">
        <v>0</v>
      </c>
      <c r="H30" s="171">
        <v>0</v>
      </c>
      <c r="I30" s="172">
        <v>0</v>
      </c>
      <c r="J30" s="171">
        <v>0</v>
      </c>
      <c r="K30" s="173">
        <v>0</v>
      </c>
      <c r="L30" s="174">
        <v>0</v>
      </c>
      <c r="M30" s="174">
        <v>0</v>
      </c>
      <c r="N30" s="171">
        <v>0</v>
      </c>
      <c r="O30" s="171">
        <v>0</v>
      </c>
      <c r="P30" s="172">
        <v>0</v>
      </c>
      <c r="Q30" s="171">
        <v>0</v>
      </c>
      <c r="T30" s="184"/>
    </row>
    <row r="31" spans="1:20" s="183" customFormat="1" ht="18" hidden="1" customHeight="1">
      <c r="A31" s="699"/>
      <c r="B31" s="700"/>
      <c r="C31" s="165" t="s">
        <v>7</v>
      </c>
      <c r="D31" s="166">
        <f>SUM(E31:Q31)</f>
        <v>0</v>
      </c>
      <c r="E31" s="171">
        <f t="shared" ref="E31:P31" si="4">E29+E30</f>
        <v>0</v>
      </c>
      <c r="F31" s="171">
        <f t="shared" si="4"/>
        <v>0</v>
      </c>
      <c r="G31" s="171">
        <f t="shared" si="4"/>
        <v>0</v>
      </c>
      <c r="H31" s="171">
        <f t="shared" si="4"/>
        <v>0</v>
      </c>
      <c r="I31" s="171">
        <f t="shared" si="4"/>
        <v>0</v>
      </c>
      <c r="J31" s="171">
        <f t="shared" si="4"/>
        <v>0</v>
      </c>
      <c r="K31" s="171">
        <f t="shared" si="4"/>
        <v>0</v>
      </c>
      <c r="L31" s="171">
        <f t="shared" si="4"/>
        <v>0</v>
      </c>
      <c r="M31" s="171">
        <f>M29+M30</f>
        <v>0</v>
      </c>
      <c r="N31" s="171">
        <f t="shared" si="4"/>
        <v>0</v>
      </c>
      <c r="O31" s="171">
        <f t="shared" si="4"/>
        <v>0</v>
      </c>
      <c r="P31" s="174">
        <f t="shared" si="4"/>
        <v>0</v>
      </c>
      <c r="Q31" s="171">
        <f>Q29+Q30</f>
        <v>0</v>
      </c>
      <c r="T31" s="184"/>
    </row>
    <row r="32" spans="1:20" s="183" customFormat="1" ht="5.0999999999999996" customHeight="1">
      <c r="A32" s="185"/>
      <c r="B32" s="186"/>
      <c r="C32" s="186"/>
      <c r="D32" s="178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0"/>
      <c r="T32" s="184"/>
    </row>
    <row r="33" spans="1:20" s="183" customFormat="1" ht="19.5" customHeight="1">
      <c r="A33" s="695" t="s">
        <v>11</v>
      </c>
      <c r="B33" s="697" t="s">
        <v>12</v>
      </c>
      <c r="C33" s="165" t="s">
        <v>5</v>
      </c>
      <c r="D33" s="166">
        <f>SUM(E33:Q33)</f>
        <v>63639116</v>
      </c>
      <c r="E33" s="180">
        <v>0</v>
      </c>
      <c r="F33" s="180">
        <v>8584171</v>
      </c>
      <c r="G33" s="181">
        <v>0</v>
      </c>
      <c r="H33" s="180">
        <v>0</v>
      </c>
      <c r="I33" s="182">
        <v>0</v>
      </c>
      <c r="J33" s="180">
        <v>0</v>
      </c>
      <c r="K33" s="182">
        <v>0</v>
      </c>
      <c r="L33" s="180">
        <v>292587</v>
      </c>
      <c r="M33" s="180">
        <v>0</v>
      </c>
      <c r="N33" s="180">
        <v>35259000</v>
      </c>
      <c r="O33" s="180">
        <v>0</v>
      </c>
      <c r="P33" s="181">
        <v>19503358</v>
      </c>
      <c r="Q33" s="180">
        <v>0</v>
      </c>
      <c r="T33" s="184"/>
    </row>
    <row r="34" spans="1:20" s="183" customFormat="1" ht="19.5" customHeight="1">
      <c r="A34" s="696"/>
      <c r="B34" s="698"/>
      <c r="C34" s="165" t="s">
        <v>6</v>
      </c>
      <c r="D34" s="166">
        <f t="shared" ref="D34:D51" si="5">SUM(E34:Q34)</f>
        <v>1591599</v>
      </c>
      <c r="E34" s="171">
        <v>0</v>
      </c>
      <c r="F34" s="171">
        <v>0</v>
      </c>
      <c r="G34" s="172">
        <v>0</v>
      </c>
      <c r="H34" s="171">
        <v>0</v>
      </c>
      <c r="I34" s="172">
        <v>0</v>
      </c>
      <c r="J34" s="171">
        <v>0</v>
      </c>
      <c r="K34" s="173">
        <v>0</v>
      </c>
      <c r="L34" s="174">
        <v>0</v>
      </c>
      <c r="M34" s="174">
        <v>0</v>
      </c>
      <c r="N34" s="171">
        <v>0</v>
      </c>
      <c r="O34" s="171">
        <v>0</v>
      </c>
      <c r="P34" s="172">
        <v>1591599</v>
      </c>
      <c r="Q34" s="171">
        <v>0</v>
      </c>
      <c r="T34" s="184"/>
    </row>
    <row r="35" spans="1:20" s="183" customFormat="1" ht="19.5" customHeight="1">
      <c r="A35" s="699"/>
      <c r="B35" s="700"/>
      <c r="C35" s="165" t="s">
        <v>7</v>
      </c>
      <c r="D35" s="166">
        <f t="shared" si="5"/>
        <v>65230715</v>
      </c>
      <c r="E35" s="171">
        <f t="shared" ref="E35:P35" si="6">E33+E34</f>
        <v>0</v>
      </c>
      <c r="F35" s="171">
        <f t="shared" si="6"/>
        <v>8584171</v>
      </c>
      <c r="G35" s="171">
        <f t="shared" si="6"/>
        <v>0</v>
      </c>
      <c r="H35" s="171">
        <f t="shared" si="6"/>
        <v>0</v>
      </c>
      <c r="I35" s="171">
        <f t="shared" si="6"/>
        <v>0</v>
      </c>
      <c r="J35" s="171">
        <f t="shared" si="6"/>
        <v>0</v>
      </c>
      <c r="K35" s="171">
        <f t="shared" si="6"/>
        <v>0</v>
      </c>
      <c r="L35" s="171">
        <f t="shared" si="6"/>
        <v>292587</v>
      </c>
      <c r="M35" s="171">
        <f t="shared" si="6"/>
        <v>0</v>
      </c>
      <c r="N35" s="171">
        <f t="shared" si="6"/>
        <v>35259000</v>
      </c>
      <c r="O35" s="171">
        <f t="shared" si="6"/>
        <v>0</v>
      </c>
      <c r="P35" s="174">
        <f t="shared" si="6"/>
        <v>21094957</v>
      </c>
      <c r="Q35" s="171">
        <f>Q33+Q34</f>
        <v>0</v>
      </c>
      <c r="T35" s="184"/>
    </row>
    <row r="36" spans="1:20" s="183" customFormat="1" ht="5.0999999999999996" customHeight="1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9"/>
      <c r="Q36" s="190"/>
      <c r="T36" s="184"/>
    </row>
    <row r="37" spans="1:20" s="128" customFormat="1" ht="20.25" hidden="1" customHeight="1">
      <c r="A37" s="695" t="s">
        <v>59</v>
      </c>
      <c r="B37" s="697" t="s">
        <v>60</v>
      </c>
      <c r="C37" s="165" t="s">
        <v>5</v>
      </c>
      <c r="D37" s="166">
        <f>SUM(E37:Q37)</f>
        <v>604453</v>
      </c>
      <c r="E37" s="180">
        <v>0</v>
      </c>
      <c r="F37" s="180">
        <v>450</v>
      </c>
      <c r="G37" s="181">
        <v>0</v>
      </c>
      <c r="H37" s="180">
        <v>0</v>
      </c>
      <c r="I37" s="182">
        <v>0</v>
      </c>
      <c r="J37" s="180">
        <v>0</v>
      </c>
      <c r="K37" s="182">
        <v>0</v>
      </c>
      <c r="L37" s="180">
        <v>415003</v>
      </c>
      <c r="M37" s="180">
        <v>0</v>
      </c>
      <c r="N37" s="180">
        <v>189000</v>
      </c>
      <c r="O37" s="180">
        <v>0</v>
      </c>
      <c r="P37" s="181">
        <v>0</v>
      </c>
      <c r="Q37" s="180">
        <v>0</v>
      </c>
      <c r="T37" s="191"/>
    </row>
    <row r="38" spans="1:20" s="128" customFormat="1" ht="20.25" hidden="1" customHeight="1">
      <c r="A38" s="696"/>
      <c r="B38" s="698"/>
      <c r="C38" s="165" t="s">
        <v>6</v>
      </c>
      <c r="D38" s="166">
        <f t="shared" si="5"/>
        <v>0</v>
      </c>
      <c r="E38" s="171">
        <v>0</v>
      </c>
      <c r="F38" s="171">
        <v>0</v>
      </c>
      <c r="G38" s="172">
        <v>0</v>
      </c>
      <c r="H38" s="171">
        <v>0</v>
      </c>
      <c r="I38" s="172">
        <v>0</v>
      </c>
      <c r="J38" s="171">
        <v>0</v>
      </c>
      <c r="K38" s="173">
        <v>0</v>
      </c>
      <c r="L38" s="174">
        <v>0</v>
      </c>
      <c r="M38" s="174">
        <v>0</v>
      </c>
      <c r="N38" s="171">
        <v>0</v>
      </c>
      <c r="O38" s="171">
        <v>0</v>
      </c>
      <c r="P38" s="172">
        <v>0</v>
      </c>
      <c r="Q38" s="171">
        <v>0</v>
      </c>
      <c r="T38" s="191"/>
    </row>
    <row r="39" spans="1:20" s="128" customFormat="1" ht="20.25" hidden="1" customHeight="1">
      <c r="A39" s="699"/>
      <c r="B39" s="700"/>
      <c r="C39" s="165" t="s">
        <v>7</v>
      </c>
      <c r="D39" s="166">
        <f t="shared" si="5"/>
        <v>604453</v>
      </c>
      <c r="E39" s="171">
        <f t="shared" ref="E39:P39" si="7">E37+E38</f>
        <v>0</v>
      </c>
      <c r="F39" s="171">
        <f t="shared" si="7"/>
        <v>450</v>
      </c>
      <c r="G39" s="171">
        <f t="shared" si="7"/>
        <v>0</v>
      </c>
      <c r="H39" s="171">
        <f t="shared" si="7"/>
        <v>0</v>
      </c>
      <c r="I39" s="171">
        <f t="shared" si="7"/>
        <v>0</v>
      </c>
      <c r="J39" s="171">
        <f t="shared" si="7"/>
        <v>0</v>
      </c>
      <c r="K39" s="171">
        <f t="shared" si="7"/>
        <v>0</v>
      </c>
      <c r="L39" s="171">
        <f t="shared" si="7"/>
        <v>415003</v>
      </c>
      <c r="M39" s="171">
        <f t="shared" si="7"/>
        <v>0</v>
      </c>
      <c r="N39" s="171">
        <f t="shared" si="7"/>
        <v>189000</v>
      </c>
      <c r="O39" s="171">
        <f t="shared" si="7"/>
        <v>0</v>
      </c>
      <c r="P39" s="174">
        <f t="shared" si="7"/>
        <v>0</v>
      </c>
      <c r="Q39" s="171">
        <f>Q37+Q38</f>
        <v>0</v>
      </c>
      <c r="T39" s="191"/>
    </row>
    <row r="40" spans="1:20" s="183" customFormat="1" ht="3.75" hidden="1" customHeight="1">
      <c r="A40" s="192"/>
      <c r="B40" s="193"/>
      <c r="C40" s="194"/>
      <c r="D40" s="188"/>
      <c r="E40" s="194"/>
      <c r="F40" s="194"/>
      <c r="G40" s="194"/>
      <c r="H40" s="194"/>
      <c r="I40" s="194"/>
      <c r="J40" s="194"/>
      <c r="K40" s="194"/>
      <c r="L40" s="194"/>
      <c r="M40" s="188"/>
      <c r="N40" s="194"/>
      <c r="O40" s="194"/>
      <c r="P40" s="194"/>
      <c r="Q40" s="195"/>
      <c r="T40" s="184"/>
    </row>
    <row r="41" spans="1:20" s="128" customFormat="1" ht="20.25" hidden="1" customHeight="1">
      <c r="A41" s="695" t="s">
        <v>14</v>
      </c>
      <c r="B41" s="697" t="s">
        <v>15</v>
      </c>
      <c r="C41" s="165" t="s">
        <v>5</v>
      </c>
      <c r="D41" s="166">
        <f>SUM(E41:Q41)</f>
        <v>900000</v>
      </c>
      <c r="E41" s="180">
        <v>0</v>
      </c>
      <c r="F41" s="180">
        <v>900000</v>
      </c>
      <c r="G41" s="181">
        <v>0</v>
      </c>
      <c r="H41" s="180">
        <v>0</v>
      </c>
      <c r="I41" s="182">
        <v>0</v>
      </c>
      <c r="J41" s="180">
        <v>0</v>
      </c>
      <c r="K41" s="182">
        <v>0</v>
      </c>
      <c r="L41" s="180">
        <v>0</v>
      </c>
      <c r="M41" s="180">
        <v>0</v>
      </c>
      <c r="N41" s="180">
        <v>0</v>
      </c>
      <c r="O41" s="180">
        <v>0</v>
      </c>
      <c r="P41" s="181">
        <v>0</v>
      </c>
      <c r="Q41" s="180">
        <v>0</v>
      </c>
      <c r="T41" s="191"/>
    </row>
    <row r="42" spans="1:20" s="128" customFormat="1" ht="20.25" hidden="1" customHeight="1">
      <c r="A42" s="696"/>
      <c r="B42" s="698"/>
      <c r="C42" s="165" t="s">
        <v>6</v>
      </c>
      <c r="D42" s="166">
        <f t="shared" si="5"/>
        <v>0</v>
      </c>
      <c r="E42" s="171">
        <v>0</v>
      </c>
      <c r="F42" s="171">
        <v>0</v>
      </c>
      <c r="G42" s="172">
        <v>0</v>
      </c>
      <c r="H42" s="171">
        <v>0</v>
      </c>
      <c r="I42" s="172">
        <v>0</v>
      </c>
      <c r="J42" s="171">
        <v>0</v>
      </c>
      <c r="K42" s="173">
        <v>0</v>
      </c>
      <c r="L42" s="174">
        <v>0</v>
      </c>
      <c r="M42" s="174">
        <v>0</v>
      </c>
      <c r="N42" s="171">
        <v>0</v>
      </c>
      <c r="O42" s="171">
        <v>0</v>
      </c>
      <c r="P42" s="172">
        <v>0</v>
      </c>
      <c r="Q42" s="171">
        <v>0</v>
      </c>
      <c r="T42" s="191"/>
    </row>
    <row r="43" spans="1:20" s="128" customFormat="1" ht="20.25" hidden="1" customHeight="1">
      <c r="A43" s="699"/>
      <c r="B43" s="700"/>
      <c r="C43" s="165" t="s">
        <v>7</v>
      </c>
      <c r="D43" s="166">
        <f t="shared" si="5"/>
        <v>900000</v>
      </c>
      <c r="E43" s="171">
        <f t="shared" ref="E43:P43" si="8">E41+E42</f>
        <v>0</v>
      </c>
      <c r="F43" s="171">
        <f t="shared" si="8"/>
        <v>900000</v>
      </c>
      <c r="G43" s="171">
        <f t="shared" si="8"/>
        <v>0</v>
      </c>
      <c r="H43" s="171">
        <f t="shared" si="8"/>
        <v>0</v>
      </c>
      <c r="I43" s="171">
        <f t="shared" si="8"/>
        <v>0</v>
      </c>
      <c r="J43" s="171">
        <f t="shared" si="8"/>
        <v>0</v>
      </c>
      <c r="K43" s="171">
        <f t="shared" si="8"/>
        <v>0</v>
      </c>
      <c r="L43" s="171">
        <f t="shared" si="8"/>
        <v>0</v>
      </c>
      <c r="M43" s="171">
        <f t="shared" si="8"/>
        <v>0</v>
      </c>
      <c r="N43" s="171">
        <f t="shared" si="8"/>
        <v>0</v>
      </c>
      <c r="O43" s="171">
        <f t="shared" si="8"/>
        <v>0</v>
      </c>
      <c r="P43" s="174">
        <f t="shared" si="8"/>
        <v>0</v>
      </c>
      <c r="Q43" s="171">
        <f>Q41+Q42</f>
        <v>0</v>
      </c>
      <c r="T43" s="191"/>
    </row>
    <row r="44" spans="1:20" s="128" customFormat="1" ht="20.25" hidden="1" customHeight="1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96"/>
      <c r="T44" s="191"/>
    </row>
    <row r="45" spans="1:20" s="128" customFormat="1" ht="20.25" hidden="1" customHeight="1">
      <c r="A45" s="695" t="s">
        <v>17</v>
      </c>
      <c r="B45" s="697" t="s">
        <v>18</v>
      </c>
      <c r="C45" s="165" t="s">
        <v>5</v>
      </c>
      <c r="D45" s="166">
        <f>SUM(E45:Q45)</f>
        <v>384950</v>
      </c>
      <c r="E45" s="180">
        <v>0</v>
      </c>
      <c r="F45" s="180">
        <v>15950</v>
      </c>
      <c r="G45" s="181">
        <v>0</v>
      </c>
      <c r="H45" s="180">
        <v>0</v>
      </c>
      <c r="I45" s="182">
        <v>0</v>
      </c>
      <c r="J45" s="180">
        <v>0</v>
      </c>
      <c r="K45" s="182">
        <v>0</v>
      </c>
      <c r="L45" s="180">
        <v>0</v>
      </c>
      <c r="M45" s="180">
        <v>0</v>
      </c>
      <c r="N45" s="180">
        <v>369000</v>
      </c>
      <c r="O45" s="180">
        <v>0</v>
      </c>
      <c r="P45" s="181">
        <v>0</v>
      </c>
      <c r="Q45" s="180">
        <v>0</v>
      </c>
      <c r="T45" s="191"/>
    </row>
    <row r="46" spans="1:20" s="128" customFormat="1" ht="20.25" hidden="1" customHeight="1">
      <c r="A46" s="696"/>
      <c r="B46" s="698"/>
      <c r="C46" s="165" t="s">
        <v>6</v>
      </c>
      <c r="D46" s="166">
        <f t="shared" si="5"/>
        <v>0</v>
      </c>
      <c r="E46" s="171">
        <v>0</v>
      </c>
      <c r="F46" s="171">
        <v>0</v>
      </c>
      <c r="G46" s="172">
        <v>0</v>
      </c>
      <c r="H46" s="171">
        <v>0</v>
      </c>
      <c r="I46" s="172">
        <v>0</v>
      </c>
      <c r="J46" s="171">
        <v>0</v>
      </c>
      <c r="K46" s="173">
        <v>0</v>
      </c>
      <c r="L46" s="174">
        <v>0</v>
      </c>
      <c r="M46" s="174">
        <v>0</v>
      </c>
      <c r="N46" s="171">
        <v>0</v>
      </c>
      <c r="O46" s="171">
        <v>0</v>
      </c>
      <c r="P46" s="172">
        <v>0</v>
      </c>
      <c r="Q46" s="171">
        <v>0</v>
      </c>
      <c r="T46" s="191"/>
    </row>
    <row r="47" spans="1:20" s="128" customFormat="1" ht="20.25" hidden="1" customHeight="1">
      <c r="A47" s="699"/>
      <c r="B47" s="700"/>
      <c r="C47" s="165" t="s">
        <v>7</v>
      </c>
      <c r="D47" s="166">
        <f t="shared" si="5"/>
        <v>384950</v>
      </c>
      <c r="E47" s="171">
        <f t="shared" ref="E47:P47" si="9">E45+E46</f>
        <v>0</v>
      </c>
      <c r="F47" s="171">
        <f t="shared" si="9"/>
        <v>15950</v>
      </c>
      <c r="G47" s="171">
        <f t="shared" si="9"/>
        <v>0</v>
      </c>
      <c r="H47" s="171">
        <f t="shared" si="9"/>
        <v>0</v>
      </c>
      <c r="I47" s="171">
        <f t="shared" si="9"/>
        <v>0</v>
      </c>
      <c r="J47" s="171">
        <f t="shared" si="9"/>
        <v>0</v>
      </c>
      <c r="K47" s="171">
        <f t="shared" si="9"/>
        <v>0</v>
      </c>
      <c r="L47" s="171">
        <f t="shared" si="9"/>
        <v>0</v>
      </c>
      <c r="M47" s="171">
        <f t="shared" si="9"/>
        <v>0</v>
      </c>
      <c r="N47" s="171">
        <f t="shared" si="9"/>
        <v>369000</v>
      </c>
      <c r="O47" s="171">
        <f t="shared" si="9"/>
        <v>0</v>
      </c>
      <c r="P47" s="174">
        <f t="shared" si="9"/>
        <v>0</v>
      </c>
      <c r="Q47" s="171">
        <f>Q45+Q46</f>
        <v>0</v>
      </c>
      <c r="T47" s="191"/>
    </row>
    <row r="48" spans="1:20" s="128" customFormat="1" ht="20.25" hidden="1" customHeight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96"/>
      <c r="T48" s="191"/>
    </row>
    <row r="49" spans="1:20" s="128" customFormat="1" ht="18.75" hidden="1" customHeight="1">
      <c r="A49" s="695" t="s">
        <v>61</v>
      </c>
      <c r="B49" s="697" t="s">
        <v>62</v>
      </c>
      <c r="C49" s="165" t="s">
        <v>5</v>
      </c>
      <c r="D49" s="166">
        <f>SUM(E49:Q49)</f>
        <v>58000</v>
      </c>
      <c r="E49" s="180">
        <v>0</v>
      </c>
      <c r="F49" s="180">
        <v>0</v>
      </c>
      <c r="G49" s="181">
        <v>0</v>
      </c>
      <c r="H49" s="180">
        <v>0</v>
      </c>
      <c r="I49" s="182">
        <v>0</v>
      </c>
      <c r="J49" s="180">
        <v>57555</v>
      </c>
      <c r="K49" s="182">
        <v>0</v>
      </c>
      <c r="L49" s="180">
        <v>0</v>
      </c>
      <c r="M49" s="180">
        <v>445</v>
      </c>
      <c r="N49" s="180">
        <v>0</v>
      </c>
      <c r="O49" s="180">
        <v>0</v>
      </c>
      <c r="P49" s="181">
        <v>0</v>
      </c>
      <c r="Q49" s="180">
        <v>0</v>
      </c>
      <c r="T49" s="191"/>
    </row>
    <row r="50" spans="1:20" s="128" customFormat="1" ht="18.75" hidden="1" customHeight="1">
      <c r="A50" s="696"/>
      <c r="B50" s="698"/>
      <c r="C50" s="165" t="s">
        <v>6</v>
      </c>
      <c r="D50" s="166">
        <f t="shared" si="5"/>
        <v>0</v>
      </c>
      <c r="E50" s="171">
        <v>0</v>
      </c>
      <c r="F50" s="171">
        <v>0</v>
      </c>
      <c r="G50" s="172">
        <v>0</v>
      </c>
      <c r="H50" s="171">
        <v>0</v>
      </c>
      <c r="I50" s="172">
        <v>0</v>
      </c>
      <c r="J50" s="171">
        <v>0</v>
      </c>
      <c r="K50" s="173">
        <v>0</v>
      </c>
      <c r="L50" s="174">
        <v>0</v>
      </c>
      <c r="M50" s="174">
        <v>0</v>
      </c>
      <c r="N50" s="171">
        <v>0</v>
      </c>
      <c r="O50" s="171">
        <v>0</v>
      </c>
      <c r="P50" s="172">
        <v>0</v>
      </c>
      <c r="Q50" s="171">
        <v>0</v>
      </c>
      <c r="T50" s="191"/>
    </row>
    <row r="51" spans="1:20" s="128" customFormat="1" ht="18.75" hidden="1" customHeight="1">
      <c r="A51" s="699"/>
      <c r="B51" s="700"/>
      <c r="C51" s="165" t="s">
        <v>7</v>
      </c>
      <c r="D51" s="166">
        <f t="shared" si="5"/>
        <v>58000</v>
      </c>
      <c r="E51" s="171">
        <f t="shared" ref="E51:P51" si="10">E49+E50</f>
        <v>0</v>
      </c>
      <c r="F51" s="171">
        <f t="shared" si="10"/>
        <v>0</v>
      </c>
      <c r="G51" s="171">
        <f t="shared" si="10"/>
        <v>0</v>
      </c>
      <c r="H51" s="171">
        <f t="shared" si="10"/>
        <v>0</v>
      </c>
      <c r="I51" s="171">
        <f t="shared" si="10"/>
        <v>0</v>
      </c>
      <c r="J51" s="171">
        <f t="shared" si="10"/>
        <v>57555</v>
      </c>
      <c r="K51" s="171">
        <f t="shared" si="10"/>
        <v>0</v>
      </c>
      <c r="L51" s="171">
        <f t="shared" si="10"/>
        <v>0</v>
      </c>
      <c r="M51" s="171">
        <f t="shared" si="10"/>
        <v>445</v>
      </c>
      <c r="N51" s="171">
        <f t="shared" si="10"/>
        <v>0</v>
      </c>
      <c r="O51" s="171">
        <f t="shared" si="10"/>
        <v>0</v>
      </c>
      <c r="P51" s="174">
        <f t="shared" si="10"/>
        <v>0</v>
      </c>
      <c r="Q51" s="171">
        <f>Q49+Q50</f>
        <v>0</v>
      </c>
      <c r="T51" s="191"/>
    </row>
    <row r="52" spans="1:20" s="128" customFormat="1" ht="7.5" hidden="1" customHeight="1">
      <c r="A52" s="185"/>
      <c r="B52" s="186"/>
      <c r="C52" s="186"/>
      <c r="D52" s="188"/>
      <c r="E52" s="181"/>
      <c r="F52" s="181"/>
      <c r="G52" s="181"/>
      <c r="H52" s="181"/>
      <c r="I52" s="181"/>
      <c r="J52" s="181"/>
      <c r="K52" s="181"/>
      <c r="L52" s="181"/>
      <c r="M52" s="188"/>
      <c r="N52" s="181"/>
      <c r="O52" s="181"/>
      <c r="P52" s="181"/>
      <c r="Q52" s="180"/>
      <c r="T52" s="191"/>
    </row>
    <row r="53" spans="1:20" s="183" customFormat="1" ht="19.5" customHeight="1">
      <c r="A53" s="695" t="s">
        <v>20</v>
      </c>
      <c r="B53" s="697" t="s">
        <v>21</v>
      </c>
      <c r="C53" s="165" t="s">
        <v>5</v>
      </c>
      <c r="D53" s="166">
        <f t="shared" ref="D53:D103" si="11">SUM(E53:Q53)</f>
        <v>3548765</v>
      </c>
      <c r="E53" s="180">
        <v>0</v>
      </c>
      <c r="F53" s="180">
        <v>141300</v>
      </c>
      <c r="G53" s="197">
        <v>142594</v>
      </c>
      <c r="H53" s="180">
        <v>1593325</v>
      </c>
      <c r="I53" s="182">
        <v>290849</v>
      </c>
      <c r="J53" s="180">
        <v>1093697</v>
      </c>
      <c r="K53" s="182">
        <v>0</v>
      </c>
      <c r="L53" s="180">
        <v>0</v>
      </c>
      <c r="M53" s="180">
        <v>0</v>
      </c>
      <c r="N53" s="180">
        <v>287000</v>
      </c>
      <c r="O53" s="180">
        <v>0</v>
      </c>
      <c r="P53" s="181">
        <v>0</v>
      </c>
      <c r="Q53" s="180">
        <v>0</v>
      </c>
      <c r="T53" s="184"/>
    </row>
    <row r="54" spans="1:20" s="183" customFormat="1" ht="19.5" customHeight="1">
      <c r="A54" s="696"/>
      <c r="B54" s="698"/>
      <c r="C54" s="165" t="s">
        <v>6</v>
      </c>
      <c r="D54" s="166">
        <f t="shared" si="11"/>
        <v>92248</v>
      </c>
      <c r="E54" s="171">
        <v>0</v>
      </c>
      <c r="F54" s="171">
        <v>0</v>
      </c>
      <c r="G54" s="172">
        <v>57950</v>
      </c>
      <c r="H54" s="171">
        <v>25811</v>
      </c>
      <c r="I54" s="172">
        <v>8487</v>
      </c>
      <c r="J54" s="171">
        <v>0</v>
      </c>
      <c r="K54" s="173">
        <v>0</v>
      </c>
      <c r="L54" s="174">
        <v>0</v>
      </c>
      <c r="M54" s="174">
        <v>0</v>
      </c>
      <c r="N54" s="171">
        <v>0</v>
      </c>
      <c r="O54" s="171">
        <v>0</v>
      </c>
      <c r="P54" s="172">
        <v>0</v>
      </c>
      <c r="Q54" s="171">
        <v>0</v>
      </c>
      <c r="T54" s="184"/>
    </row>
    <row r="55" spans="1:20" s="183" customFormat="1" ht="19.5" customHeight="1">
      <c r="A55" s="699"/>
      <c r="B55" s="700"/>
      <c r="C55" s="165" t="s">
        <v>7</v>
      </c>
      <c r="D55" s="166">
        <f t="shared" si="11"/>
        <v>3641013</v>
      </c>
      <c r="E55" s="171">
        <f t="shared" ref="E55:P55" si="12">E53+E54</f>
        <v>0</v>
      </c>
      <c r="F55" s="171">
        <f t="shared" si="12"/>
        <v>141300</v>
      </c>
      <c r="G55" s="171">
        <f t="shared" si="12"/>
        <v>200544</v>
      </c>
      <c r="H55" s="171">
        <f t="shared" si="12"/>
        <v>1619136</v>
      </c>
      <c r="I55" s="171">
        <f t="shared" si="12"/>
        <v>299336</v>
      </c>
      <c r="J55" s="171">
        <f t="shared" si="12"/>
        <v>1093697</v>
      </c>
      <c r="K55" s="171">
        <f t="shared" si="12"/>
        <v>0</v>
      </c>
      <c r="L55" s="171">
        <f t="shared" si="12"/>
        <v>0</v>
      </c>
      <c r="M55" s="171">
        <f t="shared" si="12"/>
        <v>0</v>
      </c>
      <c r="N55" s="171">
        <f t="shared" si="12"/>
        <v>287000</v>
      </c>
      <c r="O55" s="171">
        <f t="shared" si="12"/>
        <v>0</v>
      </c>
      <c r="P55" s="174">
        <f t="shared" si="12"/>
        <v>0</v>
      </c>
      <c r="Q55" s="171">
        <f>Q53+Q54</f>
        <v>0</v>
      </c>
      <c r="T55" s="184"/>
    </row>
    <row r="56" spans="1:20" s="183" customFormat="1" ht="5.0999999999999996" customHeight="1">
      <c r="A56" s="185"/>
      <c r="B56" s="186"/>
      <c r="C56" s="186"/>
      <c r="D56" s="188"/>
      <c r="E56" s="181"/>
      <c r="F56" s="181"/>
      <c r="G56" s="181"/>
      <c r="H56" s="181"/>
      <c r="I56" s="181"/>
      <c r="J56" s="181"/>
      <c r="K56" s="181"/>
      <c r="L56" s="181"/>
      <c r="M56" s="188"/>
      <c r="N56" s="181"/>
      <c r="O56" s="181"/>
      <c r="P56" s="181"/>
      <c r="Q56" s="180"/>
      <c r="T56" s="184"/>
    </row>
    <row r="57" spans="1:20" s="183" customFormat="1" ht="20.25" hidden="1" customHeight="1">
      <c r="A57" s="695" t="s">
        <v>48</v>
      </c>
      <c r="B57" s="697" t="s">
        <v>49</v>
      </c>
      <c r="C57" s="165" t="s">
        <v>5</v>
      </c>
      <c r="D57" s="166">
        <f>SUM(E57:Q57)</f>
        <v>5000</v>
      </c>
      <c r="E57" s="180">
        <v>0</v>
      </c>
      <c r="F57" s="180">
        <v>0</v>
      </c>
      <c r="G57" s="197">
        <v>0</v>
      </c>
      <c r="H57" s="180">
        <v>0</v>
      </c>
      <c r="I57" s="182">
        <v>0</v>
      </c>
      <c r="J57" s="180">
        <v>0</v>
      </c>
      <c r="K57" s="182">
        <v>0</v>
      </c>
      <c r="L57" s="180">
        <v>0</v>
      </c>
      <c r="M57" s="180">
        <v>0</v>
      </c>
      <c r="N57" s="180">
        <v>5000</v>
      </c>
      <c r="O57" s="180">
        <v>0</v>
      </c>
      <c r="P57" s="181">
        <v>0</v>
      </c>
      <c r="Q57" s="180">
        <v>0</v>
      </c>
      <c r="T57" s="184"/>
    </row>
    <row r="58" spans="1:20" s="183" customFormat="1" ht="20.25" hidden="1" customHeight="1">
      <c r="A58" s="696"/>
      <c r="B58" s="698"/>
      <c r="C58" s="165" t="s">
        <v>6</v>
      </c>
      <c r="D58" s="166">
        <f t="shared" si="11"/>
        <v>0</v>
      </c>
      <c r="E58" s="171">
        <v>0</v>
      </c>
      <c r="F58" s="171">
        <v>0</v>
      </c>
      <c r="G58" s="172">
        <v>0</v>
      </c>
      <c r="H58" s="171">
        <v>0</v>
      </c>
      <c r="I58" s="172">
        <v>0</v>
      </c>
      <c r="J58" s="171">
        <v>0</v>
      </c>
      <c r="K58" s="173">
        <v>0</v>
      </c>
      <c r="L58" s="174">
        <v>0</v>
      </c>
      <c r="M58" s="174">
        <v>0</v>
      </c>
      <c r="N58" s="171">
        <v>0</v>
      </c>
      <c r="O58" s="171">
        <v>0</v>
      </c>
      <c r="P58" s="172">
        <v>0</v>
      </c>
      <c r="Q58" s="171">
        <v>0</v>
      </c>
      <c r="T58" s="184"/>
    </row>
    <row r="59" spans="1:20" s="183" customFormat="1" ht="20.25" hidden="1" customHeight="1">
      <c r="A59" s="699"/>
      <c r="B59" s="700"/>
      <c r="C59" s="165" t="s">
        <v>7</v>
      </c>
      <c r="D59" s="166">
        <f t="shared" si="11"/>
        <v>5000</v>
      </c>
      <c r="E59" s="171">
        <f t="shared" ref="E59:P59" si="13">E57+E58</f>
        <v>0</v>
      </c>
      <c r="F59" s="171">
        <f t="shared" si="13"/>
        <v>0</v>
      </c>
      <c r="G59" s="171">
        <f t="shared" si="13"/>
        <v>0</v>
      </c>
      <c r="H59" s="171">
        <f t="shared" si="13"/>
        <v>0</v>
      </c>
      <c r="I59" s="171">
        <f t="shared" si="13"/>
        <v>0</v>
      </c>
      <c r="J59" s="171">
        <f t="shared" si="13"/>
        <v>0</v>
      </c>
      <c r="K59" s="171">
        <f t="shared" si="13"/>
        <v>0</v>
      </c>
      <c r="L59" s="171">
        <f t="shared" si="13"/>
        <v>0</v>
      </c>
      <c r="M59" s="171">
        <f t="shared" si="13"/>
        <v>0</v>
      </c>
      <c r="N59" s="171">
        <f t="shared" si="13"/>
        <v>5000</v>
      </c>
      <c r="O59" s="171">
        <f t="shared" si="13"/>
        <v>0</v>
      </c>
      <c r="P59" s="174">
        <f t="shared" si="13"/>
        <v>0</v>
      </c>
      <c r="Q59" s="171">
        <f>Q57+Q58</f>
        <v>0</v>
      </c>
      <c r="T59" s="184"/>
    </row>
    <row r="60" spans="1:20" s="183" customFormat="1" ht="5.25" hidden="1" customHeight="1">
      <c r="A60" s="185"/>
      <c r="B60" s="186"/>
      <c r="C60" s="186"/>
      <c r="D60" s="188"/>
      <c r="E60" s="181"/>
      <c r="F60" s="181"/>
      <c r="G60" s="181"/>
      <c r="H60" s="181"/>
      <c r="I60" s="181"/>
      <c r="J60" s="181"/>
      <c r="K60" s="181"/>
      <c r="L60" s="181"/>
      <c r="M60" s="188"/>
      <c r="N60" s="181"/>
      <c r="O60" s="181"/>
      <c r="P60" s="181"/>
      <c r="Q60" s="180"/>
      <c r="T60" s="184"/>
    </row>
    <row r="61" spans="1:20" s="183" customFormat="1" ht="27" customHeight="1">
      <c r="A61" s="695" t="s">
        <v>429</v>
      </c>
      <c r="B61" s="697" t="s">
        <v>430</v>
      </c>
      <c r="C61" s="165" t="s">
        <v>5</v>
      </c>
      <c r="D61" s="166">
        <f>SUM(E61:Q61)</f>
        <v>281146827</v>
      </c>
      <c r="E61" s="180">
        <v>280226127</v>
      </c>
      <c r="F61" s="180">
        <v>920700</v>
      </c>
      <c r="G61" s="181">
        <v>0</v>
      </c>
      <c r="H61" s="180">
        <v>0</v>
      </c>
      <c r="I61" s="182">
        <v>0</v>
      </c>
      <c r="J61" s="180">
        <v>0</v>
      </c>
      <c r="K61" s="182">
        <v>0</v>
      </c>
      <c r="L61" s="180">
        <v>0</v>
      </c>
      <c r="M61" s="180">
        <v>0</v>
      </c>
      <c r="N61" s="180">
        <v>0</v>
      </c>
      <c r="O61" s="180">
        <v>0</v>
      </c>
      <c r="P61" s="181">
        <v>0</v>
      </c>
      <c r="Q61" s="180">
        <v>0</v>
      </c>
      <c r="T61" s="184"/>
    </row>
    <row r="62" spans="1:20" s="183" customFormat="1" ht="27" customHeight="1">
      <c r="A62" s="696"/>
      <c r="B62" s="698"/>
      <c r="C62" s="165" t="s">
        <v>6</v>
      </c>
      <c r="D62" s="166">
        <f t="shared" si="11"/>
        <v>14500000</v>
      </c>
      <c r="E62" s="171">
        <v>14500000</v>
      </c>
      <c r="F62" s="171">
        <v>0</v>
      </c>
      <c r="G62" s="172">
        <v>0</v>
      </c>
      <c r="H62" s="171">
        <v>0</v>
      </c>
      <c r="I62" s="172">
        <v>0</v>
      </c>
      <c r="J62" s="171">
        <v>0</v>
      </c>
      <c r="K62" s="173">
        <v>0</v>
      </c>
      <c r="L62" s="174">
        <v>0</v>
      </c>
      <c r="M62" s="174">
        <v>0</v>
      </c>
      <c r="N62" s="171">
        <v>0</v>
      </c>
      <c r="O62" s="171">
        <v>0</v>
      </c>
      <c r="P62" s="172">
        <v>0</v>
      </c>
      <c r="Q62" s="171">
        <v>0</v>
      </c>
      <c r="T62" s="184"/>
    </row>
    <row r="63" spans="1:20" s="183" customFormat="1" ht="27" customHeight="1">
      <c r="A63" s="699"/>
      <c r="B63" s="700"/>
      <c r="C63" s="165" t="s">
        <v>7</v>
      </c>
      <c r="D63" s="166">
        <f t="shared" si="11"/>
        <v>295646827</v>
      </c>
      <c r="E63" s="171">
        <f t="shared" ref="E63:P63" si="14">E61+E62</f>
        <v>294726127</v>
      </c>
      <c r="F63" s="171">
        <f t="shared" si="14"/>
        <v>920700</v>
      </c>
      <c r="G63" s="171">
        <f t="shared" si="14"/>
        <v>0</v>
      </c>
      <c r="H63" s="171">
        <f t="shared" si="14"/>
        <v>0</v>
      </c>
      <c r="I63" s="171">
        <f t="shared" si="14"/>
        <v>0</v>
      </c>
      <c r="J63" s="171">
        <f t="shared" si="14"/>
        <v>0</v>
      </c>
      <c r="K63" s="171">
        <f t="shared" si="14"/>
        <v>0</v>
      </c>
      <c r="L63" s="171">
        <f t="shared" si="14"/>
        <v>0</v>
      </c>
      <c r="M63" s="171">
        <f t="shared" si="14"/>
        <v>0</v>
      </c>
      <c r="N63" s="171">
        <f t="shared" si="14"/>
        <v>0</v>
      </c>
      <c r="O63" s="171">
        <f t="shared" si="14"/>
        <v>0</v>
      </c>
      <c r="P63" s="174">
        <f t="shared" si="14"/>
        <v>0</v>
      </c>
      <c r="Q63" s="171">
        <f>Q61+Q62</f>
        <v>0</v>
      </c>
      <c r="T63" s="184"/>
    </row>
    <row r="64" spans="1:20" s="183" customFormat="1" ht="5.0999999999999996" customHeight="1">
      <c r="A64" s="185"/>
      <c r="B64" s="186"/>
      <c r="C64" s="186"/>
      <c r="D64" s="188"/>
      <c r="E64" s="181"/>
      <c r="F64" s="181"/>
      <c r="G64" s="181"/>
      <c r="H64" s="181"/>
      <c r="I64" s="181"/>
      <c r="J64" s="181"/>
      <c r="K64" s="181"/>
      <c r="L64" s="181"/>
      <c r="M64" s="188"/>
      <c r="N64" s="181"/>
      <c r="O64" s="181"/>
      <c r="P64" s="181"/>
      <c r="Q64" s="180"/>
      <c r="T64" s="184"/>
    </row>
    <row r="65" spans="1:20" s="183" customFormat="1" ht="21" customHeight="1">
      <c r="A65" s="695" t="s">
        <v>126</v>
      </c>
      <c r="B65" s="697" t="s">
        <v>127</v>
      </c>
      <c r="C65" s="165" t="s">
        <v>5</v>
      </c>
      <c r="D65" s="166">
        <f>SUM(E65:Q65)</f>
        <v>514445814</v>
      </c>
      <c r="E65" s="180">
        <v>300881893</v>
      </c>
      <c r="F65" s="180">
        <v>0</v>
      </c>
      <c r="G65" s="197">
        <v>134329127</v>
      </c>
      <c r="H65" s="180">
        <v>53824337</v>
      </c>
      <c r="I65" s="182">
        <v>25410457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97">
        <v>0</v>
      </c>
      <c r="Q65" s="180">
        <v>0</v>
      </c>
      <c r="T65" s="184"/>
    </row>
    <row r="66" spans="1:20" s="183" customFormat="1" ht="21" customHeight="1">
      <c r="A66" s="696"/>
      <c r="B66" s="698"/>
      <c r="C66" s="165" t="s">
        <v>6</v>
      </c>
      <c r="D66" s="166">
        <f t="shared" si="11"/>
        <v>-15277422</v>
      </c>
      <c r="E66" s="171">
        <v>0</v>
      </c>
      <c r="F66" s="171">
        <v>50670</v>
      </c>
      <c r="G66" s="172">
        <f>-2221935-45620-11591988+5299425</f>
        <v>-8560118</v>
      </c>
      <c r="H66" s="171">
        <v>-6590836</v>
      </c>
      <c r="I66" s="172">
        <f>-778782-246881+23444+825081</f>
        <v>-177138</v>
      </c>
      <c r="J66" s="171">
        <v>0</v>
      </c>
      <c r="K66" s="173">
        <v>0</v>
      </c>
      <c r="L66" s="174">
        <v>0</v>
      </c>
      <c r="M66" s="174">
        <v>0</v>
      </c>
      <c r="N66" s="171">
        <v>0</v>
      </c>
      <c r="O66" s="171">
        <v>0</v>
      </c>
      <c r="P66" s="172">
        <v>0</v>
      </c>
      <c r="Q66" s="171">
        <v>0</v>
      </c>
      <c r="T66" s="184"/>
    </row>
    <row r="67" spans="1:20" s="183" customFormat="1" ht="21" customHeight="1">
      <c r="A67" s="699"/>
      <c r="B67" s="700"/>
      <c r="C67" s="165" t="s">
        <v>7</v>
      </c>
      <c r="D67" s="166">
        <f t="shared" si="11"/>
        <v>499168392</v>
      </c>
      <c r="E67" s="171">
        <f t="shared" ref="E67:P67" si="15">E65+E66</f>
        <v>300881893</v>
      </c>
      <c r="F67" s="171">
        <f t="shared" si="15"/>
        <v>50670</v>
      </c>
      <c r="G67" s="171">
        <f t="shared" si="15"/>
        <v>125769009</v>
      </c>
      <c r="H67" s="171">
        <f t="shared" si="15"/>
        <v>47233501</v>
      </c>
      <c r="I67" s="171">
        <f t="shared" si="15"/>
        <v>25233319</v>
      </c>
      <c r="J67" s="171">
        <f t="shared" si="15"/>
        <v>0</v>
      </c>
      <c r="K67" s="171">
        <f t="shared" si="15"/>
        <v>0</v>
      </c>
      <c r="L67" s="171">
        <f t="shared" si="15"/>
        <v>0</v>
      </c>
      <c r="M67" s="171">
        <f t="shared" si="15"/>
        <v>0</v>
      </c>
      <c r="N67" s="171">
        <f t="shared" si="15"/>
        <v>0</v>
      </c>
      <c r="O67" s="171">
        <f t="shared" si="15"/>
        <v>0</v>
      </c>
      <c r="P67" s="174">
        <f t="shared" si="15"/>
        <v>0</v>
      </c>
      <c r="Q67" s="171">
        <f>Q65+Q66</f>
        <v>0</v>
      </c>
      <c r="T67" s="184"/>
    </row>
    <row r="68" spans="1:20" s="183" customFormat="1" ht="5.0999999999999996" customHeight="1">
      <c r="A68" s="185"/>
      <c r="B68" s="186"/>
      <c r="C68" s="186"/>
      <c r="D68" s="188"/>
      <c r="E68" s="181"/>
      <c r="F68" s="181"/>
      <c r="G68" s="181"/>
      <c r="H68" s="181"/>
      <c r="I68" s="181"/>
      <c r="J68" s="181"/>
      <c r="K68" s="181"/>
      <c r="L68" s="181"/>
      <c r="M68" s="188"/>
      <c r="N68" s="181"/>
      <c r="O68" s="181"/>
      <c r="P68" s="181"/>
      <c r="Q68" s="180"/>
      <c r="T68" s="184"/>
    </row>
    <row r="69" spans="1:20" s="183" customFormat="1" ht="20.25" customHeight="1">
      <c r="A69" s="695" t="s">
        <v>23</v>
      </c>
      <c r="B69" s="697" t="s">
        <v>24</v>
      </c>
      <c r="C69" s="165" t="s">
        <v>5</v>
      </c>
      <c r="D69" s="166">
        <f>SUM(E69:Q69)</f>
        <v>2077454</v>
      </c>
      <c r="E69" s="180">
        <v>0</v>
      </c>
      <c r="F69" s="180">
        <v>594515</v>
      </c>
      <c r="G69" s="181">
        <v>93509</v>
      </c>
      <c r="H69" s="180">
        <v>0</v>
      </c>
      <c r="I69" s="182">
        <v>17441</v>
      </c>
      <c r="J69" s="180">
        <v>0</v>
      </c>
      <c r="K69" s="182">
        <v>0</v>
      </c>
      <c r="L69" s="180">
        <v>0</v>
      </c>
      <c r="M69" s="180">
        <v>0</v>
      </c>
      <c r="N69" s="180">
        <v>691989</v>
      </c>
      <c r="O69" s="180">
        <v>680000</v>
      </c>
      <c r="P69" s="181">
        <v>0</v>
      </c>
      <c r="Q69" s="180">
        <v>0</v>
      </c>
      <c r="T69" s="184"/>
    </row>
    <row r="70" spans="1:20" s="183" customFormat="1" ht="20.25" customHeight="1">
      <c r="A70" s="696"/>
      <c r="B70" s="698"/>
      <c r="C70" s="165" t="s">
        <v>6</v>
      </c>
      <c r="D70" s="166">
        <f t="shared" si="11"/>
        <v>11299</v>
      </c>
      <c r="E70" s="171">
        <v>0</v>
      </c>
      <c r="F70" s="171">
        <v>0</v>
      </c>
      <c r="G70" s="172">
        <v>9523</v>
      </c>
      <c r="H70" s="171">
        <v>0</v>
      </c>
      <c r="I70" s="172">
        <v>1776</v>
      </c>
      <c r="J70" s="171">
        <v>0</v>
      </c>
      <c r="K70" s="173">
        <v>0</v>
      </c>
      <c r="L70" s="174">
        <v>0</v>
      </c>
      <c r="M70" s="174">
        <v>0</v>
      </c>
      <c r="N70" s="171">
        <v>0</v>
      </c>
      <c r="O70" s="171">
        <v>0</v>
      </c>
      <c r="P70" s="172">
        <v>0</v>
      </c>
      <c r="Q70" s="171">
        <v>0</v>
      </c>
      <c r="T70" s="184"/>
    </row>
    <row r="71" spans="1:20" s="183" customFormat="1" ht="20.25" customHeight="1">
      <c r="A71" s="699"/>
      <c r="B71" s="700"/>
      <c r="C71" s="165" t="s">
        <v>7</v>
      </c>
      <c r="D71" s="166">
        <f>SUM(E71:Q71)</f>
        <v>2088753</v>
      </c>
      <c r="E71" s="171">
        <f t="shared" ref="E71:P71" si="16">E69+E70</f>
        <v>0</v>
      </c>
      <c r="F71" s="171">
        <f t="shared" si="16"/>
        <v>594515</v>
      </c>
      <c r="G71" s="171">
        <f t="shared" si="16"/>
        <v>103032</v>
      </c>
      <c r="H71" s="171">
        <f t="shared" si="16"/>
        <v>0</v>
      </c>
      <c r="I71" s="171">
        <f t="shared" si="16"/>
        <v>19217</v>
      </c>
      <c r="J71" s="171">
        <f t="shared" si="16"/>
        <v>0</v>
      </c>
      <c r="K71" s="171">
        <f t="shared" si="16"/>
        <v>0</v>
      </c>
      <c r="L71" s="171">
        <f t="shared" si="16"/>
        <v>0</v>
      </c>
      <c r="M71" s="171">
        <f t="shared" si="16"/>
        <v>0</v>
      </c>
      <c r="N71" s="171">
        <f t="shared" si="16"/>
        <v>691989</v>
      </c>
      <c r="O71" s="171">
        <f t="shared" si="16"/>
        <v>680000</v>
      </c>
      <c r="P71" s="174">
        <f t="shared" si="16"/>
        <v>0</v>
      </c>
      <c r="Q71" s="171">
        <f>Q69+Q70</f>
        <v>0</v>
      </c>
      <c r="T71" s="184"/>
    </row>
    <row r="72" spans="1:20" s="183" customFormat="1" ht="5.0999999999999996" customHeight="1">
      <c r="A72" s="185"/>
      <c r="B72" s="186"/>
      <c r="C72" s="186"/>
      <c r="D72" s="188"/>
      <c r="E72" s="181"/>
      <c r="F72" s="181"/>
      <c r="G72" s="181"/>
      <c r="H72" s="181"/>
      <c r="I72" s="181"/>
      <c r="J72" s="181"/>
      <c r="K72" s="181"/>
      <c r="L72" s="181"/>
      <c r="M72" s="188"/>
      <c r="N72" s="181"/>
      <c r="O72" s="181"/>
      <c r="P72" s="181"/>
      <c r="Q72" s="180"/>
      <c r="T72" s="184"/>
    </row>
    <row r="73" spans="1:20" s="183" customFormat="1" ht="18.75" hidden="1" customHeight="1">
      <c r="A73" s="695" t="s">
        <v>26</v>
      </c>
      <c r="B73" s="697" t="s">
        <v>27</v>
      </c>
      <c r="C73" s="165" t="s">
        <v>5</v>
      </c>
      <c r="D73" s="166">
        <f>SUM(E73:Q73)</f>
        <v>13706446</v>
      </c>
      <c r="E73" s="180">
        <v>0</v>
      </c>
      <c r="F73" s="180">
        <v>0</v>
      </c>
      <c r="G73" s="181">
        <v>0</v>
      </c>
      <c r="H73" s="180">
        <v>0</v>
      </c>
      <c r="I73" s="182">
        <v>0</v>
      </c>
      <c r="J73" s="180">
        <v>0</v>
      </c>
      <c r="K73" s="182">
        <v>0</v>
      </c>
      <c r="L73" s="180">
        <v>0</v>
      </c>
      <c r="M73" s="180">
        <v>0</v>
      </c>
      <c r="N73" s="180">
        <v>13672946</v>
      </c>
      <c r="O73" s="180">
        <v>33500</v>
      </c>
      <c r="P73" s="181">
        <v>0</v>
      </c>
      <c r="Q73" s="180">
        <v>0</v>
      </c>
      <c r="T73" s="184"/>
    </row>
    <row r="74" spans="1:20" s="183" customFormat="1" ht="18.75" hidden="1" customHeight="1">
      <c r="A74" s="696"/>
      <c r="B74" s="698"/>
      <c r="C74" s="165" t="s">
        <v>6</v>
      </c>
      <c r="D74" s="166">
        <f t="shared" si="11"/>
        <v>0</v>
      </c>
      <c r="E74" s="171">
        <v>0</v>
      </c>
      <c r="F74" s="171">
        <v>0</v>
      </c>
      <c r="G74" s="172">
        <v>0</v>
      </c>
      <c r="H74" s="171">
        <v>0</v>
      </c>
      <c r="I74" s="172">
        <v>0</v>
      </c>
      <c r="J74" s="171">
        <v>0</v>
      </c>
      <c r="K74" s="173">
        <v>0</v>
      </c>
      <c r="L74" s="174">
        <v>0</v>
      </c>
      <c r="M74" s="174">
        <v>0</v>
      </c>
      <c r="N74" s="171">
        <v>0</v>
      </c>
      <c r="O74" s="171">
        <v>0</v>
      </c>
      <c r="P74" s="172">
        <v>0</v>
      </c>
      <c r="Q74" s="171">
        <v>0</v>
      </c>
      <c r="T74" s="184"/>
    </row>
    <row r="75" spans="1:20" s="183" customFormat="1" ht="18.75" hidden="1" customHeight="1">
      <c r="A75" s="699"/>
      <c r="B75" s="700"/>
      <c r="C75" s="165" t="s">
        <v>7</v>
      </c>
      <c r="D75" s="166">
        <f t="shared" si="11"/>
        <v>13706446</v>
      </c>
      <c r="E75" s="171">
        <f t="shared" ref="E75:P75" si="17">E73+E74</f>
        <v>0</v>
      </c>
      <c r="F75" s="171">
        <f t="shared" si="17"/>
        <v>0</v>
      </c>
      <c r="G75" s="171">
        <f t="shared" si="17"/>
        <v>0</v>
      </c>
      <c r="H75" s="171">
        <f t="shared" si="17"/>
        <v>0</v>
      </c>
      <c r="I75" s="171">
        <f t="shared" si="17"/>
        <v>0</v>
      </c>
      <c r="J75" s="171">
        <f t="shared" si="17"/>
        <v>0</v>
      </c>
      <c r="K75" s="171">
        <f t="shared" si="17"/>
        <v>0</v>
      </c>
      <c r="L75" s="171">
        <f t="shared" si="17"/>
        <v>0</v>
      </c>
      <c r="M75" s="171">
        <f t="shared" si="17"/>
        <v>0</v>
      </c>
      <c r="N75" s="171">
        <f t="shared" si="17"/>
        <v>13672946</v>
      </c>
      <c r="O75" s="171">
        <f t="shared" si="17"/>
        <v>33500</v>
      </c>
      <c r="P75" s="174">
        <f t="shared" si="17"/>
        <v>0</v>
      </c>
      <c r="Q75" s="171">
        <f>Q73+Q74</f>
        <v>0</v>
      </c>
      <c r="T75" s="184"/>
    </row>
    <row r="76" spans="1:20" s="183" customFormat="1" ht="3.75" hidden="1" customHeight="1">
      <c r="A76" s="185"/>
      <c r="B76" s="186"/>
      <c r="C76" s="186"/>
      <c r="D76" s="188"/>
      <c r="E76" s="181"/>
      <c r="F76" s="181"/>
      <c r="G76" s="181"/>
      <c r="H76" s="181"/>
      <c r="I76" s="181"/>
      <c r="J76" s="181"/>
      <c r="K76" s="181"/>
      <c r="L76" s="181"/>
      <c r="M76" s="188"/>
      <c r="N76" s="181"/>
      <c r="O76" s="181"/>
      <c r="P76" s="181"/>
      <c r="Q76" s="180"/>
      <c r="T76" s="184"/>
    </row>
    <row r="77" spans="1:20" s="183" customFormat="1" ht="20.25" hidden="1" customHeight="1">
      <c r="A77" s="695" t="s">
        <v>248</v>
      </c>
      <c r="B77" s="697" t="s">
        <v>28</v>
      </c>
      <c r="C77" s="165" t="s">
        <v>5</v>
      </c>
      <c r="D77" s="166">
        <f>SUM(E77:Q77)</f>
        <v>13703436</v>
      </c>
      <c r="E77" s="180">
        <v>0</v>
      </c>
      <c r="F77" s="180">
        <v>3000</v>
      </c>
      <c r="G77" s="181">
        <v>11433809</v>
      </c>
      <c r="H77" s="180">
        <v>0</v>
      </c>
      <c r="I77" s="182">
        <v>2088627</v>
      </c>
      <c r="J77" s="180">
        <v>0</v>
      </c>
      <c r="K77" s="182">
        <v>0</v>
      </c>
      <c r="L77" s="180">
        <v>0</v>
      </c>
      <c r="M77" s="180">
        <v>0</v>
      </c>
      <c r="N77" s="180">
        <v>100000</v>
      </c>
      <c r="O77" s="180">
        <v>78000</v>
      </c>
      <c r="P77" s="181">
        <v>0</v>
      </c>
      <c r="Q77" s="180">
        <v>0</v>
      </c>
      <c r="T77" s="184"/>
    </row>
    <row r="78" spans="1:20" s="183" customFormat="1" ht="20.25" hidden="1" customHeight="1">
      <c r="A78" s="696"/>
      <c r="B78" s="698"/>
      <c r="C78" s="165" t="s">
        <v>6</v>
      </c>
      <c r="D78" s="166">
        <f t="shared" si="11"/>
        <v>0</v>
      </c>
      <c r="E78" s="171">
        <v>0</v>
      </c>
      <c r="F78" s="171">
        <v>0</v>
      </c>
      <c r="G78" s="172">
        <v>0</v>
      </c>
      <c r="H78" s="171">
        <v>0</v>
      </c>
      <c r="I78" s="172">
        <v>0</v>
      </c>
      <c r="J78" s="171">
        <v>0</v>
      </c>
      <c r="K78" s="173">
        <v>0</v>
      </c>
      <c r="L78" s="174">
        <v>0</v>
      </c>
      <c r="M78" s="174">
        <v>0</v>
      </c>
      <c r="N78" s="171">
        <v>0</v>
      </c>
      <c r="O78" s="171">
        <v>0</v>
      </c>
      <c r="P78" s="172">
        <v>0</v>
      </c>
      <c r="Q78" s="171">
        <v>0</v>
      </c>
      <c r="T78" s="184"/>
    </row>
    <row r="79" spans="1:20" s="183" customFormat="1" ht="20.25" hidden="1" customHeight="1">
      <c r="A79" s="699"/>
      <c r="B79" s="700"/>
      <c r="C79" s="165" t="s">
        <v>7</v>
      </c>
      <c r="D79" s="166">
        <f t="shared" si="11"/>
        <v>13703436</v>
      </c>
      <c r="E79" s="171">
        <f t="shared" ref="E79:P79" si="18">E77+E78</f>
        <v>0</v>
      </c>
      <c r="F79" s="171">
        <f t="shared" si="18"/>
        <v>3000</v>
      </c>
      <c r="G79" s="171">
        <f t="shared" si="18"/>
        <v>11433809</v>
      </c>
      <c r="H79" s="171">
        <f t="shared" si="18"/>
        <v>0</v>
      </c>
      <c r="I79" s="171">
        <f t="shared" si="18"/>
        <v>2088627</v>
      </c>
      <c r="J79" s="171">
        <f t="shared" si="18"/>
        <v>0</v>
      </c>
      <c r="K79" s="171">
        <f t="shared" si="18"/>
        <v>0</v>
      </c>
      <c r="L79" s="171">
        <f t="shared" si="18"/>
        <v>0</v>
      </c>
      <c r="M79" s="171">
        <f t="shared" si="18"/>
        <v>0</v>
      </c>
      <c r="N79" s="171">
        <f t="shared" si="18"/>
        <v>100000</v>
      </c>
      <c r="O79" s="171">
        <f t="shared" si="18"/>
        <v>78000</v>
      </c>
      <c r="P79" s="174">
        <f t="shared" si="18"/>
        <v>0</v>
      </c>
      <c r="Q79" s="171">
        <f>Q77+Q78</f>
        <v>0</v>
      </c>
      <c r="T79" s="184"/>
    </row>
    <row r="80" spans="1:20" s="183" customFormat="1" ht="3.75" hidden="1" customHeight="1">
      <c r="A80" s="185"/>
      <c r="B80" s="186"/>
      <c r="C80" s="186"/>
      <c r="D80" s="188"/>
      <c r="E80" s="181"/>
      <c r="F80" s="181"/>
      <c r="G80" s="181"/>
      <c r="H80" s="181"/>
      <c r="I80" s="181"/>
      <c r="J80" s="181"/>
      <c r="K80" s="181"/>
      <c r="L80" s="181"/>
      <c r="M80" s="188"/>
      <c r="N80" s="181"/>
      <c r="O80" s="181"/>
      <c r="P80" s="181"/>
      <c r="Q80" s="180"/>
      <c r="T80" s="184"/>
    </row>
    <row r="81" spans="1:20" s="183" customFormat="1" ht="20.25" hidden="1" customHeight="1">
      <c r="A81" s="695" t="s">
        <v>431</v>
      </c>
      <c r="B81" s="697" t="s">
        <v>432</v>
      </c>
      <c r="C81" s="165" t="s">
        <v>5</v>
      </c>
      <c r="D81" s="166">
        <f>SUM(E81:Q81)</f>
        <v>9022827</v>
      </c>
      <c r="E81" s="180">
        <v>0</v>
      </c>
      <c r="F81" s="180">
        <v>2700827</v>
      </c>
      <c r="G81" s="197">
        <v>0</v>
      </c>
      <c r="H81" s="180">
        <v>2651000</v>
      </c>
      <c r="I81" s="182">
        <v>3659000</v>
      </c>
      <c r="J81" s="180">
        <v>0</v>
      </c>
      <c r="K81" s="182">
        <v>0</v>
      </c>
      <c r="L81" s="180">
        <v>0</v>
      </c>
      <c r="M81" s="180">
        <v>0</v>
      </c>
      <c r="N81" s="180">
        <v>12000</v>
      </c>
      <c r="O81" s="180">
        <v>0</v>
      </c>
      <c r="P81" s="181">
        <v>0</v>
      </c>
      <c r="Q81" s="180">
        <v>0</v>
      </c>
      <c r="T81" s="184"/>
    </row>
    <row r="82" spans="1:20" s="183" customFormat="1" ht="20.25" hidden="1" customHeight="1">
      <c r="A82" s="696"/>
      <c r="B82" s="698"/>
      <c r="C82" s="165" t="s">
        <v>6</v>
      </c>
      <c r="D82" s="166">
        <f t="shared" si="11"/>
        <v>0</v>
      </c>
      <c r="E82" s="171">
        <v>0</v>
      </c>
      <c r="F82" s="171">
        <v>0</v>
      </c>
      <c r="G82" s="172">
        <v>0</v>
      </c>
      <c r="H82" s="171">
        <v>0</v>
      </c>
      <c r="I82" s="172">
        <v>0</v>
      </c>
      <c r="J82" s="171">
        <v>0</v>
      </c>
      <c r="K82" s="173">
        <v>0</v>
      </c>
      <c r="L82" s="174">
        <v>0</v>
      </c>
      <c r="M82" s="174">
        <v>0</v>
      </c>
      <c r="N82" s="171">
        <v>0</v>
      </c>
      <c r="O82" s="171">
        <v>0</v>
      </c>
      <c r="P82" s="172">
        <v>0</v>
      </c>
      <c r="Q82" s="167">
        <v>0</v>
      </c>
      <c r="T82" s="184"/>
    </row>
    <row r="83" spans="1:20" s="183" customFormat="1" ht="24" hidden="1" customHeight="1">
      <c r="A83" s="699"/>
      <c r="B83" s="700"/>
      <c r="C83" s="165" t="s">
        <v>7</v>
      </c>
      <c r="D83" s="166">
        <f t="shared" si="11"/>
        <v>9022827</v>
      </c>
      <c r="E83" s="171">
        <f t="shared" ref="E83:P83" si="19">E81+E82</f>
        <v>0</v>
      </c>
      <c r="F83" s="171">
        <f t="shared" si="19"/>
        <v>2700827</v>
      </c>
      <c r="G83" s="171">
        <f t="shared" si="19"/>
        <v>0</v>
      </c>
      <c r="H83" s="171">
        <f t="shared" si="19"/>
        <v>2651000</v>
      </c>
      <c r="I83" s="171">
        <f t="shared" si="19"/>
        <v>3659000</v>
      </c>
      <c r="J83" s="171">
        <f t="shared" si="19"/>
        <v>0</v>
      </c>
      <c r="K83" s="171">
        <f t="shared" si="19"/>
        <v>0</v>
      </c>
      <c r="L83" s="171">
        <f t="shared" si="19"/>
        <v>0</v>
      </c>
      <c r="M83" s="171">
        <f t="shared" si="19"/>
        <v>0</v>
      </c>
      <c r="N83" s="171">
        <f t="shared" si="19"/>
        <v>12000</v>
      </c>
      <c r="O83" s="171">
        <f t="shared" si="19"/>
        <v>0</v>
      </c>
      <c r="P83" s="174">
        <f t="shared" si="19"/>
        <v>0</v>
      </c>
      <c r="Q83" s="171">
        <f>Q81+Q82</f>
        <v>0</v>
      </c>
      <c r="T83" s="184"/>
    </row>
    <row r="84" spans="1:20" s="183" customFormat="1" ht="3.75" hidden="1" customHeight="1">
      <c r="A84" s="185"/>
      <c r="B84" s="186"/>
      <c r="C84" s="186"/>
      <c r="D84" s="188"/>
      <c r="E84" s="181"/>
      <c r="F84" s="181"/>
      <c r="G84" s="181"/>
      <c r="H84" s="181"/>
      <c r="I84" s="181"/>
      <c r="J84" s="181"/>
      <c r="K84" s="181"/>
      <c r="L84" s="181"/>
      <c r="M84" s="188"/>
      <c r="N84" s="181"/>
      <c r="O84" s="181"/>
      <c r="P84" s="181"/>
      <c r="Q84" s="180"/>
      <c r="T84" s="184"/>
    </row>
    <row r="85" spans="1:20" s="183" customFormat="1" ht="20.25" hidden="1" customHeight="1">
      <c r="A85" s="695" t="s">
        <v>253</v>
      </c>
      <c r="B85" s="697" t="s">
        <v>254</v>
      </c>
      <c r="C85" s="165" t="s">
        <v>5</v>
      </c>
      <c r="D85" s="166">
        <f>SUM(E85:Q85)</f>
        <v>4550</v>
      </c>
      <c r="E85" s="180">
        <v>0</v>
      </c>
      <c r="F85" s="180">
        <v>4550</v>
      </c>
      <c r="G85" s="197">
        <v>0</v>
      </c>
      <c r="H85" s="180">
        <v>0</v>
      </c>
      <c r="I85" s="181">
        <v>0</v>
      </c>
      <c r="J85" s="180">
        <v>0</v>
      </c>
      <c r="K85" s="182">
        <v>0</v>
      </c>
      <c r="L85" s="197">
        <v>0</v>
      </c>
      <c r="M85" s="180">
        <v>0</v>
      </c>
      <c r="N85" s="180">
        <v>0</v>
      </c>
      <c r="O85" s="180">
        <v>0</v>
      </c>
      <c r="P85" s="181">
        <v>0</v>
      </c>
      <c r="Q85" s="180">
        <v>0</v>
      </c>
      <c r="T85" s="184"/>
    </row>
    <row r="86" spans="1:20" s="183" customFormat="1" ht="20.25" hidden="1" customHeight="1">
      <c r="A86" s="696"/>
      <c r="B86" s="698"/>
      <c r="C86" s="165" t="s">
        <v>6</v>
      </c>
      <c r="D86" s="166">
        <f t="shared" si="11"/>
        <v>0</v>
      </c>
      <c r="E86" s="171">
        <v>0</v>
      </c>
      <c r="F86" s="171">
        <v>0</v>
      </c>
      <c r="G86" s="172">
        <v>0</v>
      </c>
      <c r="H86" s="171">
        <v>0</v>
      </c>
      <c r="I86" s="172">
        <v>0</v>
      </c>
      <c r="J86" s="171">
        <v>0</v>
      </c>
      <c r="K86" s="173">
        <v>0</v>
      </c>
      <c r="L86" s="174">
        <v>0</v>
      </c>
      <c r="M86" s="174">
        <v>0</v>
      </c>
      <c r="N86" s="171">
        <v>0</v>
      </c>
      <c r="O86" s="171">
        <v>0</v>
      </c>
      <c r="P86" s="172">
        <v>0</v>
      </c>
      <c r="Q86" s="171">
        <v>0</v>
      </c>
      <c r="T86" s="184"/>
    </row>
    <row r="87" spans="1:20" s="183" customFormat="1" ht="20.25" hidden="1" customHeight="1">
      <c r="A87" s="699"/>
      <c r="B87" s="700"/>
      <c r="C87" s="165" t="s">
        <v>7</v>
      </c>
      <c r="D87" s="166">
        <f t="shared" si="11"/>
        <v>4550</v>
      </c>
      <c r="E87" s="171">
        <f t="shared" ref="E87:P87" si="20">E85+E86</f>
        <v>0</v>
      </c>
      <c r="F87" s="171">
        <f t="shared" si="20"/>
        <v>4550</v>
      </c>
      <c r="G87" s="171">
        <f t="shared" si="20"/>
        <v>0</v>
      </c>
      <c r="H87" s="171">
        <f t="shared" si="20"/>
        <v>0</v>
      </c>
      <c r="I87" s="171">
        <f t="shared" si="20"/>
        <v>0</v>
      </c>
      <c r="J87" s="171">
        <f t="shared" si="20"/>
        <v>0</v>
      </c>
      <c r="K87" s="171">
        <f t="shared" si="20"/>
        <v>0</v>
      </c>
      <c r="L87" s="171">
        <f t="shared" si="20"/>
        <v>0</v>
      </c>
      <c r="M87" s="171">
        <f t="shared" si="20"/>
        <v>0</v>
      </c>
      <c r="N87" s="171">
        <f t="shared" si="20"/>
        <v>0</v>
      </c>
      <c r="O87" s="171">
        <f t="shared" si="20"/>
        <v>0</v>
      </c>
      <c r="P87" s="174">
        <f t="shared" si="20"/>
        <v>0</v>
      </c>
      <c r="Q87" s="171">
        <f>Q85+Q86</f>
        <v>0</v>
      </c>
      <c r="T87" s="184"/>
    </row>
    <row r="88" spans="1:20" s="183" customFormat="1" ht="20.25" hidden="1" customHeight="1">
      <c r="A88" s="185"/>
      <c r="B88" s="186"/>
      <c r="C88" s="186"/>
      <c r="D88" s="188"/>
      <c r="E88" s="181"/>
      <c r="F88" s="181"/>
      <c r="G88" s="181"/>
      <c r="H88" s="181"/>
      <c r="I88" s="181"/>
      <c r="J88" s="181"/>
      <c r="K88" s="181"/>
      <c r="L88" s="181"/>
      <c r="M88" s="188"/>
      <c r="N88" s="181"/>
      <c r="O88" s="181"/>
      <c r="P88" s="181"/>
      <c r="Q88" s="180"/>
      <c r="T88" s="184"/>
    </row>
    <row r="89" spans="1:20" s="183" customFormat="1" ht="20.25" hidden="1" customHeight="1">
      <c r="A89" s="695" t="s">
        <v>433</v>
      </c>
      <c r="B89" s="697" t="s">
        <v>54</v>
      </c>
      <c r="C89" s="165" t="s">
        <v>5</v>
      </c>
      <c r="D89" s="166">
        <f>SUM(E89:Q89)</f>
        <v>1963000</v>
      </c>
      <c r="E89" s="180">
        <v>0</v>
      </c>
      <c r="F89" s="180">
        <v>0</v>
      </c>
      <c r="G89" s="197">
        <v>0</v>
      </c>
      <c r="H89" s="180">
        <v>0</v>
      </c>
      <c r="I89" s="181">
        <v>0</v>
      </c>
      <c r="J89" s="180">
        <v>0</v>
      </c>
      <c r="K89" s="182">
        <v>0</v>
      </c>
      <c r="L89" s="197">
        <v>0</v>
      </c>
      <c r="M89" s="180">
        <v>0</v>
      </c>
      <c r="N89" s="180">
        <v>1963000</v>
      </c>
      <c r="O89" s="180">
        <v>0</v>
      </c>
      <c r="P89" s="181">
        <v>0</v>
      </c>
      <c r="Q89" s="180">
        <v>0</v>
      </c>
      <c r="T89" s="184"/>
    </row>
    <row r="90" spans="1:20" s="183" customFormat="1" ht="20.25" hidden="1" customHeight="1">
      <c r="A90" s="696"/>
      <c r="B90" s="698"/>
      <c r="C90" s="165" t="s">
        <v>6</v>
      </c>
      <c r="D90" s="166">
        <f t="shared" si="11"/>
        <v>0</v>
      </c>
      <c r="E90" s="171">
        <v>0</v>
      </c>
      <c r="F90" s="171">
        <v>0</v>
      </c>
      <c r="G90" s="172">
        <v>0</v>
      </c>
      <c r="H90" s="171">
        <v>0</v>
      </c>
      <c r="I90" s="172">
        <v>0</v>
      </c>
      <c r="J90" s="171">
        <v>0</v>
      </c>
      <c r="K90" s="173">
        <v>0</v>
      </c>
      <c r="L90" s="174">
        <v>0</v>
      </c>
      <c r="M90" s="174">
        <v>0</v>
      </c>
      <c r="N90" s="171">
        <v>0</v>
      </c>
      <c r="O90" s="171">
        <v>0</v>
      </c>
      <c r="P90" s="172">
        <v>0</v>
      </c>
      <c r="Q90" s="171">
        <v>0</v>
      </c>
      <c r="T90" s="184"/>
    </row>
    <row r="91" spans="1:20" s="183" customFormat="1" ht="20.25" hidden="1" customHeight="1">
      <c r="A91" s="699"/>
      <c r="B91" s="700"/>
      <c r="C91" s="165" t="s">
        <v>7</v>
      </c>
      <c r="D91" s="166">
        <f t="shared" si="11"/>
        <v>1963000</v>
      </c>
      <c r="E91" s="171">
        <f t="shared" ref="E91:P91" si="21">E89+E90</f>
        <v>0</v>
      </c>
      <c r="F91" s="171">
        <f t="shared" si="21"/>
        <v>0</v>
      </c>
      <c r="G91" s="171">
        <f t="shared" si="21"/>
        <v>0</v>
      </c>
      <c r="H91" s="171">
        <f t="shared" si="21"/>
        <v>0</v>
      </c>
      <c r="I91" s="171">
        <f t="shared" si="21"/>
        <v>0</v>
      </c>
      <c r="J91" s="171">
        <f t="shared" si="21"/>
        <v>0</v>
      </c>
      <c r="K91" s="171">
        <f t="shared" si="21"/>
        <v>0</v>
      </c>
      <c r="L91" s="171">
        <f t="shared" si="21"/>
        <v>0</v>
      </c>
      <c r="M91" s="171">
        <f t="shared" si="21"/>
        <v>0</v>
      </c>
      <c r="N91" s="171">
        <f t="shared" si="21"/>
        <v>1963000</v>
      </c>
      <c r="O91" s="171">
        <f t="shared" si="21"/>
        <v>0</v>
      </c>
      <c r="P91" s="174">
        <f t="shared" si="21"/>
        <v>0</v>
      </c>
      <c r="Q91" s="171">
        <f>Q89+Q90</f>
        <v>0</v>
      </c>
      <c r="T91" s="184"/>
    </row>
    <row r="92" spans="1:20" s="183" customFormat="1" ht="20.25" hidden="1" customHeight="1">
      <c r="A92" s="192"/>
      <c r="B92" s="198"/>
      <c r="C92" s="186"/>
      <c r="D92" s="188"/>
      <c r="E92" s="181"/>
      <c r="F92" s="181"/>
      <c r="G92" s="181"/>
      <c r="H92" s="181"/>
      <c r="I92" s="181"/>
      <c r="J92" s="181"/>
      <c r="K92" s="181"/>
      <c r="L92" s="181"/>
      <c r="M92" s="188"/>
      <c r="N92" s="181"/>
      <c r="O92" s="181"/>
      <c r="P92" s="181"/>
      <c r="Q92" s="180"/>
      <c r="T92" s="184"/>
    </row>
    <row r="93" spans="1:20" s="183" customFormat="1" ht="20.25" hidden="1" customHeight="1">
      <c r="A93" s="695" t="s">
        <v>370</v>
      </c>
      <c r="B93" s="697" t="s">
        <v>30</v>
      </c>
      <c r="C93" s="165" t="s">
        <v>5</v>
      </c>
      <c r="D93" s="166">
        <f>SUM(E93:Q93)</f>
        <v>2314315</v>
      </c>
      <c r="E93" s="180">
        <v>0</v>
      </c>
      <c r="F93" s="180">
        <v>1386315</v>
      </c>
      <c r="G93" s="197">
        <v>90000</v>
      </c>
      <c r="H93" s="180">
        <v>0</v>
      </c>
      <c r="I93" s="181">
        <v>0</v>
      </c>
      <c r="J93" s="180">
        <v>0</v>
      </c>
      <c r="K93" s="182">
        <v>58000</v>
      </c>
      <c r="L93" s="197">
        <v>0</v>
      </c>
      <c r="M93" s="180">
        <v>0</v>
      </c>
      <c r="N93" s="180">
        <v>780000</v>
      </c>
      <c r="O93" s="180">
        <v>0</v>
      </c>
      <c r="P93" s="181">
        <v>0</v>
      </c>
      <c r="Q93" s="180">
        <v>0</v>
      </c>
      <c r="T93" s="184"/>
    </row>
    <row r="94" spans="1:20" s="183" customFormat="1" ht="20.25" hidden="1" customHeight="1">
      <c r="A94" s="696"/>
      <c r="B94" s="698"/>
      <c r="C94" s="165" t="s">
        <v>6</v>
      </c>
      <c r="D94" s="166">
        <f t="shared" si="11"/>
        <v>0</v>
      </c>
      <c r="E94" s="171">
        <v>0</v>
      </c>
      <c r="F94" s="171">
        <v>0</v>
      </c>
      <c r="G94" s="172">
        <v>0</v>
      </c>
      <c r="H94" s="171">
        <v>0</v>
      </c>
      <c r="I94" s="172">
        <v>0</v>
      </c>
      <c r="J94" s="171">
        <v>0</v>
      </c>
      <c r="K94" s="173">
        <v>0</v>
      </c>
      <c r="L94" s="174">
        <v>0</v>
      </c>
      <c r="M94" s="174">
        <v>0</v>
      </c>
      <c r="N94" s="171">
        <v>0</v>
      </c>
      <c r="O94" s="171">
        <v>0</v>
      </c>
      <c r="P94" s="172">
        <v>0</v>
      </c>
      <c r="Q94" s="171">
        <v>0</v>
      </c>
      <c r="T94" s="184"/>
    </row>
    <row r="95" spans="1:20" s="183" customFormat="1" ht="3" hidden="1" customHeight="1">
      <c r="A95" s="699"/>
      <c r="B95" s="700"/>
      <c r="C95" s="165" t="s">
        <v>7</v>
      </c>
      <c r="D95" s="166">
        <f t="shared" si="11"/>
        <v>2314315</v>
      </c>
      <c r="E95" s="171">
        <f t="shared" ref="E95:P95" si="22">E93+E94</f>
        <v>0</v>
      </c>
      <c r="F95" s="171">
        <f t="shared" si="22"/>
        <v>1386315</v>
      </c>
      <c r="G95" s="171">
        <f t="shared" si="22"/>
        <v>90000</v>
      </c>
      <c r="H95" s="171">
        <f t="shared" si="22"/>
        <v>0</v>
      </c>
      <c r="I95" s="171">
        <f t="shared" si="22"/>
        <v>0</v>
      </c>
      <c r="J95" s="171">
        <f t="shared" si="22"/>
        <v>0</v>
      </c>
      <c r="K95" s="171">
        <f t="shared" si="22"/>
        <v>58000</v>
      </c>
      <c r="L95" s="171">
        <f t="shared" si="22"/>
        <v>0</v>
      </c>
      <c r="M95" s="171">
        <f t="shared" si="22"/>
        <v>0</v>
      </c>
      <c r="N95" s="171">
        <f t="shared" si="22"/>
        <v>780000</v>
      </c>
      <c r="O95" s="171">
        <f t="shared" si="22"/>
        <v>0</v>
      </c>
      <c r="P95" s="174">
        <f t="shared" si="22"/>
        <v>0</v>
      </c>
      <c r="Q95" s="171">
        <f>Q93+Q94</f>
        <v>0</v>
      </c>
      <c r="T95" s="184"/>
    </row>
    <row r="96" spans="1:20" s="183" customFormat="1" ht="11.25" hidden="1" customHeight="1">
      <c r="A96" s="185"/>
      <c r="B96" s="186"/>
      <c r="C96" s="186"/>
      <c r="D96" s="188"/>
      <c r="E96" s="181"/>
      <c r="F96" s="181"/>
      <c r="G96" s="181"/>
      <c r="H96" s="181"/>
      <c r="I96" s="181"/>
      <c r="J96" s="181"/>
      <c r="K96" s="181"/>
      <c r="L96" s="181"/>
      <c r="M96" s="188"/>
      <c r="N96" s="181"/>
      <c r="O96" s="181"/>
      <c r="P96" s="181"/>
      <c r="Q96" s="180"/>
      <c r="T96" s="184"/>
    </row>
    <row r="97" spans="1:63" s="183" customFormat="1" ht="20.25" customHeight="1">
      <c r="A97" s="695" t="s">
        <v>261</v>
      </c>
      <c r="B97" s="697" t="s">
        <v>31</v>
      </c>
      <c r="C97" s="165" t="s">
        <v>5</v>
      </c>
      <c r="D97" s="166">
        <f>SUM(E97:Q97)</f>
        <v>4288722</v>
      </c>
      <c r="E97" s="180">
        <v>0</v>
      </c>
      <c r="F97" s="180">
        <v>0</v>
      </c>
      <c r="G97" s="197">
        <v>0</v>
      </c>
      <c r="H97" s="180">
        <v>0</v>
      </c>
      <c r="I97" s="181">
        <v>0</v>
      </c>
      <c r="J97" s="180">
        <v>0</v>
      </c>
      <c r="K97" s="182">
        <v>0</v>
      </c>
      <c r="L97" s="197">
        <v>0</v>
      </c>
      <c r="M97" s="180">
        <v>0</v>
      </c>
      <c r="N97" s="180">
        <v>0</v>
      </c>
      <c r="O97" s="180">
        <v>4288722</v>
      </c>
      <c r="P97" s="181">
        <v>0</v>
      </c>
      <c r="Q97" s="180">
        <v>0</v>
      </c>
      <c r="T97" s="184"/>
    </row>
    <row r="98" spans="1:63" s="183" customFormat="1" ht="20.25" customHeight="1">
      <c r="A98" s="696"/>
      <c r="B98" s="698"/>
      <c r="C98" s="165" t="s">
        <v>6</v>
      </c>
      <c r="D98" s="166">
        <f t="shared" si="11"/>
        <v>-190000</v>
      </c>
      <c r="E98" s="171">
        <v>0</v>
      </c>
      <c r="F98" s="171">
        <v>0</v>
      </c>
      <c r="G98" s="172">
        <v>0</v>
      </c>
      <c r="H98" s="171">
        <v>0</v>
      </c>
      <c r="I98" s="172">
        <v>0</v>
      </c>
      <c r="J98" s="171">
        <v>0</v>
      </c>
      <c r="K98" s="173">
        <v>0</v>
      </c>
      <c r="L98" s="174">
        <v>0</v>
      </c>
      <c r="M98" s="174">
        <v>0</v>
      </c>
      <c r="N98" s="171">
        <v>0</v>
      </c>
      <c r="O98" s="171">
        <f>-240000+50000</f>
        <v>-190000</v>
      </c>
      <c r="P98" s="172">
        <v>0</v>
      </c>
      <c r="Q98" s="167">
        <v>0</v>
      </c>
      <c r="T98" s="184"/>
    </row>
    <row r="99" spans="1:63" s="183" customFormat="1" ht="20.25" customHeight="1">
      <c r="A99" s="699"/>
      <c r="B99" s="700"/>
      <c r="C99" s="165" t="s">
        <v>7</v>
      </c>
      <c r="D99" s="166">
        <f t="shared" si="11"/>
        <v>4098722</v>
      </c>
      <c r="E99" s="171">
        <f t="shared" ref="E99:P99" si="23">E97+E98</f>
        <v>0</v>
      </c>
      <c r="F99" s="171">
        <f t="shared" si="23"/>
        <v>0</v>
      </c>
      <c r="G99" s="171">
        <f t="shared" si="23"/>
        <v>0</v>
      </c>
      <c r="H99" s="171">
        <f t="shared" si="23"/>
        <v>0</v>
      </c>
      <c r="I99" s="171">
        <f t="shared" si="23"/>
        <v>0</v>
      </c>
      <c r="J99" s="171">
        <f t="shared" si="23"/>
        <v>0</v>
      </c>
      <c r="K99" s="171">
        <f t="shared" si="23"/>
        <v>0</v>
      </c>
      <c r="L99" s="171">
        <f t="shared" si="23"/>
        <v>0</v>
      </c>
      <c r="M99" s="171">
        <f t="shared" si="23"/>
        <v>0</v>
      </c>
      <c r="N99" s="171">
        <f t="shared" si="23"/>
        <v>0</v>
      </c>
      <c r="O99" s="171">
        <f t="shared" si="23"/>
        <v>4098722</v>
      </c>
      <c r="P99" s="174">
        <f t="shared" si="23"/>
        <v>0</v>
      </c>
      <c r="Q99" s="171">
        <f>Q97+Q98</f>
        <v>0</v>
      </c>
      <c r="T99" s="184"/>
    </row>
    <row r="100" spans="1:63" s="183" customFormat="1" ht="5.0999999999999996" customHeight="1">
      <c r="A100" s="185"/>
      <c r="B100" s="186"/>
      <c r="C100" s="186"/>
      <c r="D100" s="188"/>
      <c r="E100" s="181"/>
      <c r="F100" s="181"/>
      <c r="G100" s="181"/>
      <c r="H100" s="181"/>
      <c r="I100" s="181"/>
      <c r="J100" s="181"/>
      <c r="K100" s="181"/>
      <c r="L100" s="181"/>
      <c r="M100" s="188"/>
      <c r="N100" s="181"/>
      <c r="O100" s="181"/>
      <c r="P100" s="181"/>
      <c r="Q100" s="180"/>
      <c r="T100" s="184"/>
    </row>
    <row r="101" spans="1:63" s="183" customFormat="1" ht="23.25" hidden="1" customHeight="1">
      <c r="A101" s="695" t="s">
        <v>434</v>
      </c>
      <c r="B101" s="697" t="s">
        <v>32</v>
      </c>
      <c r="C101" s="165" t="s">
        <v>5</v>
      </c>
      <c r="D101" s="166">
        <f>SUM(E101:Q101)</f>
        <v>2308901</v>
      </c>
      <c r="E101" s="180">
        <v>0</v>
      </c>
      <c r="F101" s="180">
        <v>118901</v>
      </c>
      <c r="G101" s="197">
        <v>0</v>
      </c>
      <c r="H101" s="180">
        <v>0</v>
      </c>
      <c r="I101" s="182">
        <v>0</v>
      </c>
      <c r="J101" s="180">
        <v>0</v>
      </c>
      <c r="K101" s="180">
        <v>0</v>
      </c>
      <c r="L101" s="180">
        <v>0</v>
      </c>
      <c r="M101" s="180">
        <v>0</v>
      </c>
      <c r="N101" s="180">
        <v>2180000</v>
      </c>
      <c r="O101" s="180">
        <v>0</v>
      </c>
      <c r="P101" s="197">
        <v>0</v>
      </c>
      <c r="Q101" s="180">
        <v>10000</v>
      </c>
      <c r="T101" s="184"/>
    </row>
    <row r="102" spans="1:63" s="183" customFormat="1" ht="23.25" hidden="1" customHeight="1">
      <c r="A102" s="696"/>
      <c r="B102" s="698"/>
      <c r="C102" s="165" t="s">
        <v>6</v>
      </c>
      <c r="D102" s="166">
        <f t="shared" si="11"/>
        <v>0</v>
      </c>
      <c r="E102" s="171">
        <v>0</v>
      </c>
      <c r="F102" s="171">
        <v>0</v>
      </c>
      <c r="G102" s="172">
        <v>0</v>
      </c>
      <c r="H102" s="171">
        <v>0</v>
      </c>
      <c r="I102" s="172">
        <v>0</v>
      </c>
      <c r="J102" s="171">
        <v>0</v>
      </c>
      <c r="K102" s="173">
        <v>0</v>
      </c>
      <c r="L102" s="174">
        <v>0</v>
      </c>
      <c r="M102" s="174">
        <v>0</v>
      </c>
      <c r="N102" s="171">
        <v>0</v>
      </c>
      <c r="O102" s="171">
        <v>0</v>
      </c>
      <c r="P102" s="172">
        <v>0</v>
      </c>
      <c r="Q102" s="171">
        <v>0</v>
      </c>
      <c r="T102" s="184"/>
    </row>
    <row r="103" spans="1:63" s="183" customFormat="1" ht="23.25" hidden="1" customHeight="1">
      <c r="A103" s="699"/>
      <c r="B103" s="700"/>
      <c r="C103" s="165" t="s">
        <v>7</v>
      </c>
      <c r="D103" s="166">
        <f t="shared" si="11"/>
        <v>2308901</v>
      </c>
      <c r="E103" s="171">
        <f t="shared" ref="E103:Q103" si="24">E101+E102</f>
        <v>0</v>
      </c>
      <c r="F103" s="171">
        <f t="shared" si="24"/>
        <v>118901</v>
      </c>
      <c r="G103" s="171">
        <f t="shared" si="24"/>
        <v>0</v>
      </c>
      <c r="H103" s="171">
        <f t="shared" si="24"/>
        <v>0</v>
      </c>
      <c r="I103" s="171">
        <f t="shared" si="24"/>
        <v>0</v>
      </c>
      <c r="J103" s="171">
        <f t="shared" si="24"/>
        <v>0</v>
      </c>
      <c r="K103" s="171">
        <f t="shared" si="24"/>
        <v>0</v>
      </c>
      <c r="L103" s="171">
        <f t="shared" si="24"/>
        <v>0</v>
      </c>
      <c r="M103" s="171">
        <f t="shared" si="24"/>
        <v>0</v>
      </c>
      <c r="N103" s="171">
        <f t="shared" si="24"/>
        <v>2180000</v>
      </c>
      <c r="O103" s="171">
        <f t="shared" si="24"/>
        <v>0</v>
      </c>
      <c r="P103" s="174">
        <f t="shared" si="24"/>
        <v>0</v>
      </c>
      <c r="Q103" s="171">
        <f t="shared" si="24"/>
        <v>10000</v>
      </c>
      <c r="T103" s="184"/>
    </row>
    <row r="104" spans="1:63" s="164" customFormat="1" ht="3.75" hidden="1" customHeight="1">
      <c r="A104" s="155"/>
      <c r="B104" s="156"/>
      <c r="C104" s="198"/>
      <c r="D104" s="157"/>
      <c r="E104" s="158"/>
      <c r="F104" s="159"/>
      <c r="G104" s="159"/>
      <c r="H104" s="160"/>
      <c r="I104" s="159"/>
      <c r="J104" s="159"/>
      <c r="K104" s="161"/>
      <c r="L104" s="159"/>
      <c r="M104" s="159"/>
      <c r="N104" s="159"/>
      <c r="O104" s="159"/>
      <c r="P104" s="159"/>
      <c r="Q104" s="160"/>
      <c r="R104" s="162"/>
      <c r="S104" s="162"/>
      <c r="T104" s="163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</row>
    <row r="105" spans="1:63" s="154" customFormat="1" ht="21.75" customHeight="1">
      <c r="A105" s="701"/>
      <c r="B105" s="704" t="s">
        <v>435</v>
      </c>
      <c r="C105" s="199" t="s">
        <v>5</v>
      </c>
      <c r="D105" s="150">
        <f>SUM(E105:P105)</f>
        <v>435367246</v>
      </c>
      <c r="E105" s="200">
        <f t="shared" ref="E105:Q107" si="25">E109+E117+E121+E125+E129+E133+E141+E145+E153+E149+E137+E113</f>
        <v>0</v>
      </c>
      <c r="F105" s="200">
        <f t="shared" si="25"/>
        <v>2931746</v>
      </c>
      <c r="G105" s="200">
        <f t="shared" si="25"/>
        <v>365603781</v>
      </c>
      <c r="H105" s="200">
        <f t="shared" si="25"/>
        <v>2904736</v>
      </c>
      <c r="I105" s="200">
        <f t="shared" si="25"/>
        <v>45666470</v>
      </c>
      <c r="J105" s="200">
        <f t="shared" si="25"/>
        <v>13004097</v>
      </c>
      <c r="K105" s="200">
        <f t="shared" si="25"/>
        <v>0</v>
      </c>
      <c r="L105" s="200">
        <f t="shared" si="25"/>
        <v>0</v>
      </c>
      <c r="M105" s="200">
        <f t="shared" si="25"/>
        <v>25238</v>
      </c>
      <c r="N105" s="200">
        <f t="shared" si="25"/>
        <v>762360</v>
      </c>
      <c r="O105" s="200">
        <f t="shared" si="25"/>
        <v>3429974</v>
      </c>
      <c r="P105" s="200">
        <f t="shared" si="25"/>
        <v>1038844</v>
      </c>
      <c r="Q105" s="200">
        <f t="shared" si="25"/>
        <v>0</v>
      </c>
      <c r="R105" s="152"/>
      <c r="S105" s="152"/>
      <c r="T105" s="153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</row>
    <row r="106" spans="1:63" s="154" customFormat="1" ht="21.75" customHeight="1">
      <c r="A106" s="702"/>
      <c r="B106" s="705"/>
      <c r="C106" s="199" t="s">
        <v>6</v>
      </c>
      <c r="D106" s="150">
        <f>SUM(E106:P106)</f>
        <v>23496456</v>
      </c>
      <c r="E106" s="200">
        <f t="shared" si="25"/>
        <v>0</v>
      </c>
      <c r="F106" s="200">
        <f t="shared" si="25"/>
        <v>18355668</v>
      </c>
      <c r="G106" s="200">
        <f t="shared" si="25"/>
        <v>3825063</v>
      </c>
      <c r="H106" s="200">
        <f t="shared" si="25"/>
        <v>0</v>
      </c>
      <c r="I106" s="200">
        <f t="shared" si="25"/>
        <v>1004019</v>
      </c>
      <c r="J106" s="200">
        <f t="shared" si="25"/>
        <v>-63863</v>
      </c>
      <c r="K106" s="200">
        <f t="shared" si="25"/>
        <v>0</v>
      </c>
      <c r="L106" s="200">
        <f t="shared" si="25"/>
        <v>0</v>
      </c>
      <c r="M106" s="200">
        <f t="shared" si="25"/>
        <v>0</v>
      </c>
      <c r="N106" s="200">
        <f t="shared" si="25"/>
        <v>0</v>
      </c>
      <c r="O106" s="200">
        <f t="shared" si="25"/>
        <v>375569</v>
      </c>
      <c r="P106" s="200">
        <f t="shared" si="25"/>
        <v>0</v>
      </c>
      <c r="Q106" s="200">
        <f t="shared" si="25"/>
        <v>0</v>
      </c>
      <c r="R106" s="152"/>
      <c r="S106" s="152"/>
      <c r="T106" s="153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</row>
    <row r="107" spans="1:63" s="154" customFormat="1" ht="21.75" customHeight="1">
      <c r="A107" s="703"/>
      <c r="B107" s="706"/>
      <c r="C107" s="199" t="s">
        <v>7</v>
      </c>
      <c r="D107" s="150">
        <f>SUM(E107:P107)</f>
        <v>458863702</v>
      </c>
      <c r="E107" s="150">
        <f t="shared" si="25"/>
        <v>0</v>
      </c>
      <c r="F107" s="150">
        <f t="shared" si="25"/>
        <v>21287414</v>
      </c>
      <c r="G107" s="150">
        <f t="shared" si="25"/>
        <v>369428844</v>
      </c>
      <c r="H107" s="150">
        <f t="shared" si="25"/>
        <v>2904736</v>
      </c>
      <c r="I107" s="150">
        <f t="shared" si="25"/>
        <v>46670489</v>
      </c>
      <c r="J107" s="150">
        <f t="shared" si="25"/>
        <v>12940234</v>
      </c>
      <c r="K107" s="150">
        <f t="shared" si="25"/>
        <v>0</v>
      </c>
      <c r="L107" s="150">
        <f t="shared" si="25"/>
        <v>0</v>
      </c>
      <c r="M107" s="150">
        <f t="shared" si="25"/>
        <v>25238</v>
      </c>
      <c r="N107" s="150">
        <f t="shared" si="25"/>
        <v>762360</v>
      </c>
      <c r="O107" s="150">
        <f t="shared" si="25"/>
        <v>3805543</v>
      </c>
      <c r="P107" s="150">
        <f t="shared" si="25"/>
        <v>1038844</v>
      </c>
      <c r="Q107" s="150">
        <f t="shared" si="25"/>
        <v>0</v>
      </c>
      <c r="R107" s="152"/>
      <c r="S107" s="152"/>
      <c r="T107" s="153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</row>
    <row r="108" spans="1:63" s="164" customFormat="1" ht="5.0999999999999996" customHeight="1">
      <c r="A108" s="271"/>
      <c r="B108" s="272"/>
      <c r="C108" s="272"/>
      <c r="D108" s="273"/>
      <c r="E108" s="274"/>
      <c r="F108" s="275"/>
      <c r="G108" s="275"/>
      <c r="H108" s="276"/>
      <c r="I108" s="275"/>
      <c r="J108" s="275"/>
      <c r="K108" s="277"/>
      <c r="L108" s="275"/>
      <c r="M108" s="275"/>
      <c r="N108" s="275"/>
      <c r="O108" s="275"/>
      <c r="P108" s="275"/>
      <c r="Q108" s="276"/>
      <c r="R108" s="162"/>
      <c r="S108" s="162"/>
      <c r="T108" s="163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</row>
    <row r="109" spans="1:63" s="152" customFormat="1" ht="18" hidden="1" customHeight="1">
      <c r="A109" s="707" t="s">
        <v>8</v>
      </c>
      <c r="B109" s="708" t="s">
        <v>428</v>
      </c>
      <c r="C109" s="165" t="s">
        <v>5</v>
      </c>
      <c r="D109" s="166">
        <f t="shared" ref="D109:D155" si="26">SUM(E109:Q109)</f>
        <v>0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80">
        <v>0</v>
      </c>
      <c r="N109" s="167">
        <v>0</v>
      </c>
      <c r="O109" s="167">
        <v>0</v>
      </c>
      <c r="P109" s="168">
        <v>0</v>
      </c>
      <c r="Q109" s="167">
        <v>0</v>
      </c>
      <c r="T109" s="153"/>
    </row>
    <row r="110" spans="1:63" s="152" customFormat="1" ht="18" hidden="1" customHeight="1">
      <c r="A110" s="707"/>
      <c r="B110" s="708"/>
      <c r="C110" s="165" t="s">
        <v>6</v>
      </c>
      <c r="D110" s="166">
        <f t="shared" si="26"/>
        <v>0</v>
      </c>
      <c r="E110" s="171">
        <v>0</v>
      </c>
      <c r="F110" s="171">
        <v>0</v>
      </c>
      <c r="G110" s="172">
        <v>0</v>
      </c>
      <c r="H110" s="171">
        <v>0</v>
      </c>
      <c r="I110" s="172"/>
      <c r="J110" s="171">
        <v>0</v>
      </c>
      <c r="K110" s="173">
        <v>0</v>
      </c>
      <c r="L110" s="174">
        <v>0</v>
      </c>
      <c r="M110" s="174">
        <v>0</v>
      </c>
      <c r="N110" s="171">
        <v>0</v>
      </c>
      <c r="O110" s="171">
        <v>0</v>
      </c>
      <c r="P110" s="172">
        <v>0</v>
      </c>
      <c r="Q110" s="171">
        <v>0</v>
      </c>
      <c r="T110" s="153"/>
    </row>
    <row r="111" spans="1:63" s="152" customFormat="1" ht="18" hidden="1" customHeight="1">
      <c r="A111" s="707"/>
      <c r="B111" s="708"/>
      <c r="C111" s="165" t="s">
        <v>7</v>
      </c>
      <c r="D111" s="166">
        <f t="shared" si="26"/>
        <v>0</v>
      </c>
      <c r="E111" s="171">
        <f t="shared" ref="E111:P111" si="27">E109+E110</f>
        <v>0</v>
      </c>
      <c r="F111" s="171">
        <f t="shared" si="27"/>
        <v>0</v>
      </c>
      <c r="G111" s="171">
        <f t="shared" si="27"/>
        <v>0</v>
      </c>
      <c r="H111" s="171">
        <f t="shared" si="27"/>
        <v>0</v>
      </c>
      <c r="I111" s="171">
        <f t="shared" si="27"/>
        <v>0</v>
      </c>
      <c r="J111" s="171">
        <f t="shared" si="27"/>
        <v>0</v>
      </c>
      <c r="K111" s="171">
        <f t="shared" si="27"/>
        <v>0</v>
      </c>
      <c r="L111" s="171">
        <f t="shared" si="27"/>
        <v>0</v>
      </c>
      <c r="M111" s="171">
        <f t="shared" si="27"/>
        <v>0</v>
      </c>
      <c r="N111" s="171">
        <f t="shared" si="27"/>
        <v>0</v>
      </c>
      <c r="O111" s="171">
        <f t="shared" si="27"/>
        <v>0</v>
      </c>
      <c r="P111" s="174">
        <f t="shared" si="27"/>
        <v>0</v>
      </c>
      <c r="Q111" s="171">
        <f>Q109+Q110</f>
        <v>0</v>
      </c>
      <c r="T111" s="153"/>
    </row>
    <row r="112" spans="1:63" s="152" customFormat="1" ht="12.75" hidden="1" customHeight="1">
      <c r="A112" s="179"/>
      <c r="B112" s="201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3"/>
      <c r="T112" s="153"/>
    </row>
    <row r="113" spans="1:20" s="152" customFormat="1" ht="18" hidden="1" customHeight="1">
      <c r="A113" s="707" t="s">
        <v>89</v>
      </c>
      <c r="B113" s="708" t="s">
        <v>90</v>
      </c>
      <c r="C113" s="165" t="s">
        <v>5</v>
      </c>
      <c r="D113" s="166">
        <f t="shared" ref="D113:D115" si="28">SUM(E113:Q113)</f>
        <v>950215</v>
      </c>
      <c r="E113" s="167">
        <v>0</v>
      </c>
      <c r="F113" s="167">
        <v>950215</v>
      </c>
      <c r="G113" s="167">
        <v>0</v>
      </c>
      <c r="H113" s="167">
        <v>0</v>
      </c>
      <c r="I113" s="167">
        <v>0</v>
      </c>
      <c r="J113" s="167">
        <v>0</v>
      </c>
      <c r="K113" s="167">
        <v>0</v>
      </c>
      <c r="L113" s="167">
        <v>0</v>
      </c>
      <c r="M113" s="180">
        <v>0</v>
      </c>
      <c r="N113" s="167">
        <v>0</v>
      </c>
      <c r="O113" s="167">
        <v>0</v>
      </c>
      <c r="P113" s="168">
        <v>0</v>
      </c>
      <c r="Q113" s="167">
        <v>0</v>
      </c>
      <c r="T113" s="153"/>
    </row>
    <row r="114" spans="1:20" s="152" customFormat="1" ht="18" hidden="1" customHeight="1">
      <c r="A114" s="707"/>
      <c r="B114" s="708"/>
      <c r="C114" s="165" t="s">
        <v>6</v>
      </c>
      <c r="D114" s="166">
        <f t="shared" si="28"/>
        <v>0</v>
      </c>
      <c r="E114" s="171">
        <v>0</v>
      </c>
      <c r="F114" s="171">
        <v>0</v>
      </c>
      <c r="G114" s="172">
        <v>0</v>
      </c>
      <c r="H114" s="171">
        <v>0</v>
      </c>
      <c r="I114" s="172"/>
      <c r="J114" s="171">
        <v>0</v>
      </c>
      <c r="K114" s="173">
        <v>0</v>
      </c>
      <c r="L114" s="174">
        <v>0</v>
      </c>
      <c r="M114" s="174">
        <v>0</v>
      </c>
      <c r="N114" s="171">
        <v>0</v>
      </c>
      <c r="O114" s="171">
        <v>0</v>
      </c>
      <c r="P114" s="172">
        <v>0</v>
      </c>
      <c r="Q114" s="171">
        <v>0</v>
      </c>
      <c r="T114" s="153"/>
    </row>
    <row r="115" spans="1:20" s="152" customFormat="1" ht="18" hidden="1" customHeight="1">
      <c r="A115" s="707"/>
      <c r="B115" s="708"/>
      <c r="C115" s="165" t="s">
        <v>7</v>
      </c>
      <c r="D115" s="166">
        <f t="shared" si="28"/>
        <v>950215</v>
      </c>
      <c r="E115" s="171">
        <f t="shared" ref="E115:P115" si="29">E113+E114</f>
        <v>0</v>
      </c>
      <c r="F115" s="171">
        <f t="shared" si="29"/>
        <v>950215</v>
      </c>
      <c r="G115" s="171">
        <f t="shared" si="29"/>
        <v>0</v>
      </c>
      <c r="H115" s="171">
        <f t="shared" si="29"/>
        <v>0</v>
      </c>
      <c r="I115" s="171">
        <f t="shared" si="29"/>
        <v>0</v>
      </c>
      <c r="J115" s="171">
        <f t="shared" si="29"/>
        <v>0</v>
      </c>
      <c r="K115" s="171">
        <f t="shared" si="29"/>
        <v>0</v>
      </c>
      <c r="L115" s="171">
        <f t="shared" si="29"/>
        <v>0</v>
      </c>
      <c r="M115" s="171">
        <f t="shared" si="29"/>
        <v>0</v>
      </c>
      <c r="N115" s="171">
        <f t="shared" si="29"/>
        <v>0</v>
      </c>
      <c r="O115" s="171">
        <f t="shared" si="29"/>
        <v>0</v>
      </c>
      <c r="P115" s="174">
        <f t="shared" si="29"/>
        <v>0</v>
      </c>
      <c r="Q115" s="171">
        <f>Q113+Q114</f>
        <v>0</v>
      </c>
      <c r="T115" s="153"/>
    </row>
    <row r="116" spans="1:20" s="152" customFormat="1" ht="6" hidden="1" customHeight="1">
      <c r="A116" s="709"/>
      <c r="B116" s="710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/>
      <c r="N116" s="710"/>
      <c r="O116" s="710"/>
      <c r="P116" s="710"/>
      <c r="Q116" s="711"/>
      <c r="T116" s="153"/>
    </row>
    <row r="117" spans="1:20" s="152" customFormat="1" ht="18.75" customHeight="1">
      <c r="A117" s="695" t="s">
        <v>11</v>
      </c>
      <c r="B117" s="697" t="s">
        <v>12</v>
      </c>
      <c r="C117" s="165" t="s">
        <v>5</v>
      </c>
      <c r="D117" s="166">
        <f t="shared" si="26"/>
        <v>17378915</v>
      </c>
      <c r="E117" s="180">
        <v>0</v>
      </c>
      <c r="F117" s="180">
        <v>60000</v>
      </c>
      <c r="G117" s="197">
        <v>0</v>
      </c>
      <c r="H117" s="180">
        <v>0</v>
      </c>
      <c r="I117" s="181">
        <v>0</v>
      </c>
      <c r="J117" s="180">
        <v>13004097</v>
      </c>
      <c r="K117" s="181">
        <v>0</v>
      </c>
      <c r="L117" s="197">
        <v>0</v>
      </c>
      <c r="M117" s="180">
        <v>0</v>
      </c>
      <c r="N117" s="180">
        <v>0</v>
      </c>
      <c r="O117" s="180">
        <v>3275974</v>
      </c>
      <c r="P117" s="181">
        <v>1038844</v>
      </c>
      <c r="Q117" s="180">
        <v>0</v>
      </c>
      <c r="T117" s="153"/>
    </row>
    <row r="118" spans="1:20" s="183" customFormat="1" ht="20.25" customHeight="1">
      <c r="A118" s="696"/>
      <c r="B118" s="698"/>
      <c r="C118" s="165" t="s">
        <v>6</v>
      </c>
      <c r="D118" s="166">
        <f t="shared" si="26"/>
        <v>130220</v>
      </c>
      <c r="E118" s="171">
        <v>0</v>
      </c>
      <c r="F118" s="171">
        <v>0</v>
      </c>
      <c r="G118" s="172">
        <v>0</v>
      </c>
      <c r="H118" s="171">
        <v>0</v>
      </c>
      <c r="I118" s="172">
        <v>0</v>
      </c>
      <c r="J118" s="171">
        <f>72000-44723-91140</f>
        <v>-63863</v>
      </c>
      <c r="K118" s="173">
        <v>0</v>
      </c>
      <c r="L118" s="174">
        <v>0</v>
      </c>
      <c r="M118" s="174">
        <v>0</v>
      </c>
      <c r="N118" s="171">
        <v>0</v>
      </c>
      <c r="O118" s="171">
        <f>-1000000+540112+653971</f>
        <v>194083</v>
      </c>
      <c r="P118" s="172">
        <v>0</v>
      </c>
      <c r="Q118" s="171">
        <v>0</v>
      </c>
      <c r="T118" s="184"/>
    </row>
    <row r="119" spans="1:20" s="183" customFormat="1" ht="20.25" customHeight="1">
      <c r="A119" s="699"/>
      <c r="B119" s="700"/>
      <c r="C119" s="165" t="s">
        <v>7</v>
      </c>
      <c r="D119" s="166">
        <f t="shared" si="26"/>
        <v>17509135</v>
      </c>
      <c r="E119" s="171">
        <f t="shared" ref="E119:P119" si="30">E117+E118</f>
        <v>0</v>
      </c>
      <c r="F119" s="171">
        <f t="shared" si="30"/>
        <v>60000</v>
      </c>
      <c r="G119" s="171">
        <f t="shared" si="30"/>
        <v>0</v>
      </c>
      <c r="H119" s="171">
        <f t="shared" si="30"/>
        <v>0</v>
      </c>
      <c r="I119" s="171">
        <f t="shared" si="30"/>
        <v>0</v>
      </c>
      <c r="J119" s="171">
        <f t="shared" si="30"/>
        <v>12940234</v>
      </c>
      <c r="K119" s="171">
        <f t="shared" si="30"/>
        <v>0</v>
      </c>
      <c r="L119" s="171">
        <f t="shared" si="30"/>
        <v>0</v>
      </c>
      <c r="M119" s="171">
        <f t="shared" si="30"/>
        <v>0</v>
      </c>
      <c r="N119" s="171">
        <f t="shared" si="30"/>
        <v>0</v>
      </c>
      <c r="O119" s="171">
        <f t="shared" si="30"/>
        <v>3470057</v>
      </c>
      <c r="P119" s="174">
        <f t="shared" si="30"/>
        <v>1038844</v>
      </c>
      <c r="Q119" s="171">
        <f>Q117+Q118</f>
        <v>0</v>
      </c>
      <c r="T119" s="184"/>
    </row>
    <row r="120" spans="1:20" s="183" customFormat="1" ht="5.0999999999999996" customHeight="1">
      <c r="A120" s="185"/>
      <c r="B120" s="186"/>
      <c r="C120" s="176"/>
      <c r="D120" s="157"/>
      <c r="E120" s="181"/>
      <c r="F120" s="181"/>
      <c r="G120" s="181"/>
      <c r="H120" s="181"/>
      <c r="I120" s="181"/>
      <c r="J120" s="181"/>
      <c r="K120" s="181"/>
      <c r="L120" s="181"/>
      <c r="M120" s="159"/>
      <c r="N120" s="181"/>
      <c r="O120" s="181"/>
      <c r="P120" s="181"/>
      <c r="Q120" s="180"/>
      <c r="T120" s="184"/>
    </row>
    <row r="121" spans="1:20" s="128" customFormat="1" ht="20.25" hidden="1" customHeight="1">
      <c r="A121" s="695" t="s">
        <v>14</v>
      </c>
      <c r="B121" s="697" t="s">
        <v>15</v>
      </c>
      <c r="C121" s="165" t="s">
        <v>5</v>
      </c>
      <c r="D121" s="166">
        <f t="shared" si="26"/>
        <v>410000</v>
      </c>
      <c r="E121" s="180">
        <v>0</v>
      </c>
      <c r="F121" s="180">
        <v>410000</v>
      </c>
      <c r="G121" s="197">
        <v>0</v>
      </c>
      <c r="H121" s="180">
        <v>0</v>
      </c>
      <c r="I121" s="182">
        <v>0</v>
      </c>
      <c r="J121" s="180">
        <v>0</v>
      </c>
      <c r="K121" s="182">
        <v>0</v>
      </c>
      <c r="L121" s="180">
        <v>0</v>
      </c>
      <c r="M121" s="180">
        <v>0</v>
      </c>
      <c r="N121" s="180">
        <v>0</v>
      </c>
      <c r="O121" s="180">
        <v>0</v>
      </c>
      <c r="P121" s="181">
        <v>0</v>
      </c>
      <c r="Q121" s="180">
        <v>0</v>
      </c>
      <c r="T121" s="191"/>
    </row>
    <row r="122" spans="1:20" s="128" customFormat="1" ht="20.25" hidden="1" customHeight="1">
      <c r="A122" s="696"/>
      <c r="B122" s="698"/>
      <c r="C122" s="165" t="s">
        <v>6</v>
      </c>
      <c r="D122" s="166">
        <f t="shared" si="26"/>
        <v>0</v>
      </c>
      <c r="E122" s="171">
        <v>0</v>
      </c>
      <c r="F122" s="171">
        <v>0</v>
      </c>
      <c r="G122" s="172">
        <v>0</v>
      </c>
      <c r="H122" s="171">
        <v>0</v>
      </c>
      <c r="I122" s="172">
        <v>0</v>
      </c>
      <c r="J122" s="171">
        <v>0</v>
      </c>
      <c r="K122" s="173">
        <v>0</v>
      </c>
      <c r="L122" s="174">
        <v>0</v>
      </c>
      <c r="M122" s="174">
        <v>0</v>
      </c>
      <c r="N122" s="171">
        <v>0</v>
      </c>
      <c r="O122" s="171">
        <v>0</v>
      </c>
      <c r="P122" s="172">
        <v>0</v>
      </c>
      <c r="Q122" s="171">
        <v>0</v>
      </c>
      <c r="T122" s="191"/>
    </row>
    <row r="123" spans="1:20" s="128" customFormat="1" ht="20.25" hidden="1" customHeight="1">
      <c r="A123" s="699"/>
      <c r="B123" s="700"/>
      <c r="C123" s="165" t="s">
        <v>7</v>
      </c>
      <c r="D123" s="166">
        <f t="shared" si="26"/>
        <v>410000</v>
      </c>
      <c r="E123" s="171">
        <f t="shared" ref="E123:P123" si="31">E121+E122</f>
        <v>0</v>
      </c>
      <c r="F123" s="171">
        <f t="shared" si="31"/>
        <v>410000</v>
      </c>
      <c r="G123" s="171">
        <f t="shared" si="31"/>
        <v>0</v>
      </c>
      <c r="H123" s="171">
        <f t="shared" si="31"/>
        <v>0</v>
      </c>
      <c r="I123" s="171">
        <f t="shared" si="31"/>
        <v>0</v>
      </c>
      <c r="J123" s="171">
        <f t="shared" si="31"/>
        <v>0</v>
      </c>
      <c r="K123" s="171">
        <f t="shared" si="31"/>
        <v>0</v>
      </c>
      <c r="L123" s="171">
        <f t="shared" si="31"/>
        <v>0</v>
      </c>
      <c r="M123" s="171">
        <f t="shared" si="31"/>
        <v>0</v>
      </c>
      <c r="N123" s="171">
        <f t="shared" si="31"/>
        <v>0</v>
      </c>
      <c r="O123" s="171">
        <f t="shared" si="31"/>
        <v>0</v>
      </c>
      <c r="P123" s="174">
        <f t="shared" si="31"/>
        <v>0</v>
      </c>
      <c r="Q123" s="171">
        <f>Q121+Q122</f>
        <v>0</v>
      </c>
      <c r="T123" s="191"/>
    </row>
    <row r="124" spans="1:20" s="128" customFormat="1" ht="9" hidden="1" customHeight="1">
      <c r="A124" s="185"/>
      <c r="B124" s="186"/>
      <c r="C124" s="176"/>
      <c r="D124" s="157"/>
      <c r="E124" s="181"/>
      <c r="F124" s="181"/>
      <c r="G124" s="181"/>
      <c r="H124" s="181"/>
      <c r="I124" s="181"/>
      <c r="J124" s="181"/>
      <c r="K124" s="181"/>
      <c r="L124" s="181"/>
      <c r="M124" s="159"/>
      <c r="N124" s="181"/>
      <c r="O124" s="181"/>
      <c r="P124" s="181"/>
      <c r="Q124" s="180"/>
      <c r="T124" s="191"/>
    </row>
    <row r="125" spans="1:20" s="128" customFormat="1" ht="20.25" hidden="1" customHeight="1">
      <c r="A125" s="695" t="s">
        <v>61</v>
      </c>
      <c r="B125" s="697" t="s">
        <v>62</v>
      </c>
      <c r="C125" s="165" t="s">
        <v>5</v>
      </c>
      <c r="D125" s="166">
        <f t="shared" si="26"/>
        <v>25238</v>
      </c>
      <c r="E125" s="180">
        <v>0</v>
      </c>
      <c r="F125" s="180">
        <v>0</v>
      </c>
      <c r="G125" s="197">
        <v>0</v>
      </c>
      <c r="H125" s="180">
        <v>0</v>
      </c>
      <c r="I125" s="181">
        <v>0</v>
      </c>
      <c r="J125" s="180">
        <v>0</v>
      </c>
      <c r="K125" s="182">
        <v>0</v>
      </c>
      <c r="L125" s="197">
        <v>0</v>
      </c>
      <c r="M125" s="180">
        <v>25238</v>
      </c>
      <c r="N125" s="180">
        <v>0</v>
      </c>
      <c r="O125" s="180">
        <v>0</v>
      </c>
      <c r="P125" s="181">
        <v>0</v>
      </c>
      <c r="Q125" s="180">
        <v>0</v>
      </c>
      <c r="T125" s="191"/>
    </row>
    <row r="126" spans="1:20" s="128" customFormat="1" ht="20.25" hidden="1" customHeight="1">
      <c r="A126" s="696"/>
      <c r="B126" s="698"/>
      <c r="C126" s="165" t="s">
        <v>6</v>
      </c>
      <c r="D126" s="166">
        <f t="shared" si="26"/>
        <v>0</v>
      </c>
      <c r="E126" s="171">
        <v>0</v>
      </c>
      <c r="F126" s="171">
        <v>0</v>
      </c>
      <c r="G126" s="172">
        <v>0</v>
      </c>
      <c r="H126" s="171">
        <v>0</v>
      </c>
      <c r="I126" s="172">
        <v>0</v>
      </c>
      <c r="J126" s="171">
        <v>0</v>
      </c>
      <c r="K126" s="173">
        <v>0</v>
      </c>
      <c r="L126" s="174">
        <v>0</v>
      </c>
      <c r="M126" s="174">
        <v>0</v>
      </c>
      <c r="N126" s="171">
        <v>0</v>
      </c>
      <c r="O126" s="171">
        <v>0</v>
      </c>
      <c r="P126" s="172">
        <v>0</v>
      </c>
      <c r="Q126" s="171">
        <v>0</v>
      </c>
      <c r="T126" s="191"/>
    </row>
    <row r="127" spans="1:20" s="128" customFormat="1" ht="20.25" hidden="1" customHeight="1">
      <c r="A127" s="699"/>
      <c r="B127" s="700"/>
      <c r="C127" s="165" t="s">
        <v>7</v>
      </c>
      <c r="D127" s="166">
        <f t="shared" si="26"/>
        <v>25238</v>
      </c>
      <c r="E127" s="171">
        <f t="shared" ref="E127:P127" si="32">E125+E126</f>
        <v>0</v>
      </c>
      <c r="F127" s="171">
        <f t="shared" si="32"/>
        <v>0</v>
      </c>
      <c r="G127" s="171">
        <f t="shared" si="32"/>
        <v>0</v>
      </c>
      <c r="H127" s="171">
        <f t="shared" si="32"/>
        <v>0</v>
      </c>
      <c r="I127" s="171">
        <f t="shared" si="32"/>
        <v>0</v>
      </c>
      <c r="J127" s="171">
        <f t="shared" si="32"/>
        <v>0</v>
      </c>
      <c r="K127" s="171">
        <f t="shared" si="32"/>
        <v>0</v>
      </c>
      <c r="L127" s="171">
        <f t="shared" si="32"/>
        <v>0</v>
      </c>
      <c r="M127" s="171">
        <f t="shared" si="32"/>
        <v>25238</v>
      </c>
      <c r="N127" s="171">
        <f t="shared" si="32"/>
        <v>0</v>
      </c>
      <c r="O127" s="171">
        <f t="shared" si="32"/>
        <v>0</v>
      </c>
      <c r="P127" s="174">
        <f t="shared" si="32"/>
        <v>0</v>
      </c>
      <c r="Q127" s="171">
        <f>Q125+Q126</f>
        <v>0</v>
      </c>
      <c r="T127" s="191"/>
    </row>
    <row r="128" spans="1:20" s="128" customFormat="1" ht="5.25" hidden="1" customHeight="1">
      <c r="A128" s="185"/>
      <c r="B128" s="186"/>
      <c r="C128" s="176"/>
      <c r="D128" s="157"/>
      <c r="E128" s="181"/>
      <c r="F128" s="181"/>
      <c r="G128" s="181"/>
      <c r="H128" s="181"/>
      <c r="I128" s="181"/>
      <c r="J128" s="181"/>
      <c r="K128" s="181"/>
      <c r="L128" s="181"/>
      <c r="M128" s="159"/>
      <c r="N128" s="181"/>
      <c r="O128" s="181"/>
      <c r="P128" s="181"/>
      <c r="Q128" s="180"/>
      <c r="T128" s="191"/>
    </row>
    <row r="129" spans="1:20" s="183" customFormat="1" ht="20.25" hidden="1" customHeight="1">
      <c r="A129" s="695" t="s">
        <v>20</v>
      </c>
      <c r="B129" s="697" t="s">
        <v>21</v>
      </c>
      <c r="C129" s="165" t="s">
        <v>5</v>
      </c>
      <c r="D129" s="166">
        <f t="shared" si="26"/>
        <v>0</v>
      </c>
      <c r="E129" s="180">
        <v>0</v>
      </c>
      <c r="F129" s="180">
        <v>0</v>
      </c>
      <c r="G129" s="197">
        <v>0</v>
      </c>
      <c r="H129" s="180">
        <v>0</v>
      </c>
      <c r="I129" s="182">
        <v>0</v>
      </c>
      <c r="J129" s="180">
        <v>0</v>
      </c>
      <c r="K129" s="182">
        <v>0</v>
      </c>
      <c r="L129" s="180">
        <v>0</v>
      </c>
      <c r="M129" s="180">
        <v>0</v>
      </c>
      <c r="N129" s="180">
        <v>0</v>
      </c>
      <c r="O129" s="180">
        <v>0</v>
      </c>
      <c r="P129" s="181">
        <v>0</v>
      </c>
      <c r="Q129" s="180">
        <v>0</v>
      </c>
      <c r="T129" s="184"/>
    </row>
    <row r="130" spans="1:20" s="183" customFormat="1" ht="20.25" hidden="1" customHeight="1">
      <c r="A130" s="696"/>
      <c r="B130" s="698"/>
      <c r="C130" s="165" t="s">
        <v>6</v>
      </c>
      <c r="D130" s="166">
        <f t="shared" si="26"/>
        <v>0</v>
      </c>
      <c r="E130" s="171">
        <v>0</v>
      </c>
      <c r="F130" s="171">
        <v>0</v>
      </c>
      <c r="G130" s="172">
        <v>0</v>
      </c>
      <c r="H130" s="171">
        <v>0</v>
      </c>
      <c r="I130" s="172">
        <v>0</v>
      </c>
      <c r="J130" s="171">
        <v>0</v>
      </c>
      <c r="K130" s="173">
        <v>0</v>
      </c>
      <c r="L130" s="174">
        <v>0</v>
      </c>
      <c r="M130" s="174">
        <v>0</v>
      </c>
      <c r="N130" s="171">
        <v>0</v>
      </c>
      <c r="O130" s="171">
        <v>0</v>
      </c>
      <c r="P130" s="172">
        <v>0</v>
      </c>
      <c r="Q130" s="171">
        <v>0</v>
      </c>
      <c r="T130" s="184"/>
    </row>
    <row r="131" spans="1:20" s="183" customFormat="1" ht="20.25" hidden="1" customHeight="1">
      <c r="A131" s="699"/>
      <c r="B131" s="700"/>
      <c r="C131" s="165" t="s">
        <v>7</v>
      </c>
      <c r="D131" s="166">
        <f t="shared" si="26"/>
        <v>0</v>
      </c>
      <c r="E131" s="171">
        <f t="shared" ref="E131:P131" si="33">E129+E130</f>
        <v>0</v>
      </c>
      <c r="F131" s="171">
        <f t="shared" si="33"/>
        <v>0</v>
      </c>
      <c r="G131" s="171">
        <f t="shared" si="33"/>
        <v>0</v>
      </c>
      <c r="H131" s="171">
        <f t="shared" si="33"/>
        <v>0</v>
      </c>
      <c r="I131" s="171">
        <f t="shared" si="33"/>
        <v>0</v>
      </c>
      <c r="J131" s="171">
        <f t="shared" si="33"/>
        <v>0</v>
      </c>
      <c r="K131" s="171">
        <f t="shared" si="33"/>
        <v>0</v>
      </c>
      <c r="L131" s="171">
        <f t="shared" si="33"/>
        <v>0</v>
      </c>
      <c r="M131" s="171">
        <f t="shared" si="33"/>
        <v>0</v>
      </c>
      <c r="N131" s="171">
        <f t="shared" si="33"/>
        <v>0</v>
      </c>
      <c r="O131" s="171">
        <f t="shared" si="33"/>
        <v>0</v>
      </c>
      <c r="P131" s="174">
        <f t="shared" si="33"/>
        <v>0</v>
      </c>
      <c r="Q131" s="171">
        <f>Q129+Q130</f>
        <v>0</v>
      </c>
      <c r="T131" s="184"/>
    </row>
    <row r="132" spans="1:20" s="183" customFormat="1" ht="20.25" hidden="1" customHeight="1">
      <c r="A132" s="185"/>
      <c r="B132" s="186"/>
      <c r="C132" s="176"/>
      <c r="D132" s="157"/>
      <c r="E132" s="181"/>
      <c r="F132" s="181"/>
      <c r="G132" s="181"/>
      <c r="H132" s="181"/>
      <c r="I132" s="181"/>
      <c r="J132" s="181"/>
      <c r="K132" s="181"/>
      <c r="L132" s="181"/>
      <c r="M132" s="159"/>
      <c r="N132" s="181"/>
      <c r="O132" s="181"/>
      <c r="P132" s="181"/>
      <c r="Q132" s="180"/>
      <c r="T132" s="184"/>
    </row>
    <row r="133" spans="1:20" s="183" customFormat="1" ht="19.5" customHeight="1">
      <c r="A133" s="695" t="s">
        <v>126</v>
      </c>
      <c r="B133" s="697" t="s">
        <v>127</v>
      </c>
      <c r="C133" s="165" t="s">
        <v>5</v>
      </c>
      <c r="D133" s="166">
        <f t="shared" si="26"/>
        <v>405214808</v>
      </c>
      <c r="E133" s="180">
        <v>0</v>
      </c>
      <c r="F133" s="180">
        <v>0</v>
      </c>
      <c r="G133" s="180">
        <v>356643602</v>
      </c>
      <c r="H133" s="197">
        <v>2904736</v>
      </c>
      <c r="I133" s="180">
        <v>45666470</v>
      </c>
      <c r="J133" s="180">
        <v>0</v>
      </c>
      <c r="K133" s="182">
        <v>0</v>
      </c>
      <c r="L133" s="197">
        <v>0</v>
      </c>
      <c r="M133" s="180">
        <v>0</v>
      </c>
      <c r="N133" s="180">
        <v>0</v>
      </c>
      <c r="O133" s="180">
        <v>0</v>
      </c>
      <c r="P133" s="197">
        <v>0</v>
      </c>
      <c r="Q133" s="180">
        <v>0</v>
      </c>
      <c r="T133" s="184"/>
    </row>
    <row r="134" spans="1:20" s="183" customFormat="1" ht="19.5" customHeight="1">
      <c r="A134" s="696"/>
      <c r="B134" s="698"/>
      <c r="C134" s="165" t="s">
        <v>6</v>
      </c>
      <c r="D134" s="166">
        <f t="shared" si="26"/>
        <v>23184750</v>
      </c>
      <c r="E134" s="171">
        <v>0</v>
      </c>
      <c r="F134" s="171">
        <v>18355668</v>
      </c>
      <c r="G134" s="172">
        <f>9789402-5964339</f>
        <v>3825063</v>
      </c>
      <c r="H134" s="171">
        <v>0</v>
      </c>
      <c r="I134" s="172">
        <f>-183692+100000+1087711</f>
        <v>1004019</v>
      </c>
      <c r="J134" s="171">
        <v>0</v>
      </c>
      <c r="K134" s="173">
        <v>0</v>
      </c>
      <c r="L134" s="174">
        <v>0</v>
      </c>
      <c r="M134" s="174">
        <v>0</v>
      </c>
      <c r="N134" s="171">
        <v>0</v>
      </c>
      <c r="O134" s="171">
        <v>0</v>
      </c>
      <c r="P134" s="172">
        <v>0</v>
      </c>
      <c r="Q134" s="171">
        <v>0</v>
      </c>
      <c r="T134" s="184"/>
    </row>
    <row r="135" spans="1:20" s="183" customFormat="1" ht="19.5" customHeight="1">
      <c r="A135" s="699"/>
      <c r="B135" s="700"/>
      <c r="C135" s="165" t="s">
        <v>7</v>
      </c>
      <c r="D135" s="166">
        <f t="shared" si="26"/>
        <v>428399558</v>
      </c>
      <c r="E135" s="171">
        <f t="shared" ref="E135:P135" si="34">E133+E134</f>
        <v>0</v>
      </c>
      <c r="F135" s="171">
        <f t="shared" si="34"/>
        <v>18355668</v>
      </c>
      <c r="G135" s="171">
        <f t="shared" si="34"/>
        <v>360468665</v>
      </c>
      <c r="H135" s="171">
        <f t="shared" si="34"/>
        <v>2904736</v>
      </c>
      <c r="I135" s="171">
        <f t="shared" si="34"/>
        <v>46670489</v>
      </c>
      <c r="J135" s="171">
        <f t="shared" si="34"/>
        <v>0</v>
      </c>
      <c r="K135" s="171">
        <f t="shared" si="34"/>
        <v>0</v>
      </c>
      <c r="L135" s="171">
        <f t="shared" si="34"/>
        <v>0</v>
      </c>
      <c r="M135" s="171">
        <f t="shared" si="34"/>
        <v>0</v>
      </c>
      <c r="N135" s="171">
        <f t="shared" si="34"/>
        <v>0</v>
      </c>
      <c r="O135" s="171">
        <f t="shared" si="34"/>
        <v>0</v>
      </c>
      <c r="P135" s="174">
        <f t="shared" si="34"/>
        <v>0</v>
      </c>
      <c r="Q135" s="171">
        <f>Q133+Q134</f>
        <v>0</v>
      </c>
      <c r="T135" s="184"/>
    </row>
    <row r="136" spans="1:20" s="183" customFormat="1" ht="5.0999999999999996" customHeight="1">
      <c r="A136" s="185"/>
      <c r="B136" s="186"/>
      <c r="C136" s="176"/>
      <c r="D136" s="157"/>
      <c r="E136" s="181"/>
      <c r="F136" s="181"/>
      <c r="G136" s="181"/>
      <c r="H136" s="181"/>
      <c r="I136" s="181"/>
      <c r="J136" s="181"/>
      <c r="K136" s="181"/>
      <c r="L136" s="181"/>
      <c r="M136" s="159"/>
      <c r="N136" s="181"/>
      <c r="O136" s="181"/>
      <c r="P136" s="181"/>
      <c r="Q136" s="180"/>
      <c r="T136" s="184"/>
    </row>
    <row r="137" spans="1:20" s="183" customFormat="1" ht="17.25" hidden="1" customHeight="1">
      <c r="A137" s="695" t="s">
        <v>26</v>
      </c>
      <c r="B137" s="697" t="s">
        <v>27</v>
      </c>
      <c r="C137" s="165" t="s">
        <v>5</v>
      </c>
      <c r="D137" s="166">
        <f>SUM(E137:Q137)</f>
        <v>762360</v>
      </c>
      <c r="E137" s="180">
        <v>0</v>
      </c>
      <c r="F137" s="180">
        <v>0</v>
      </c>
      <c r="G137" s="180">
        <v>0</v>
      </c>
      <c r="H137" s="197">
        <v>0</v>
      </c>
      <c r="I137" s="180">
        <v>0</v>
      </c>
      <c r="J137" s="180">
        <v>0</v>
      </c>
      <c r="K137" s="182">
        <v>0</v>
      </c>
      <c r="L137" s="197">
        <v>0</v>
      </c>
      <c r="M137" s="180">
        <v>0</v>
      </c>
      <c r="N137" s="180">
        <v>762360</v>
      </c>
      <c r="O137" s="180">
        <v>0</v>
      </c>
      <c r="P137" s="197">
        <v>0</v>
      </c>
      <c r="Q137" s="180">
        <v>0</v>
      </c>
      <c r="T137" s="184"/>
    </row>
    <row r="138" spans="1:20" s="183" customFormat="1" ht="17.25" hidden="1" customHeight="1">
      <c r="A138" s="696"/>
      <c r="B138" s="698"/>
      <c r="C138" s="165" t="s">
        <v>6</v>
      </c>
      <c r="D138" s="166">
        <f>SUM(E138:Q138)</f>
        <v>0</v>
      </c>
      <c r="E138" s="171">
        <v>0</v>
      </c>
      <c r="F138" s="171">
        <v>0</v>
      </c>
      <c r="G138" s="172">
        <v>0</v>
      </c>
      <c r="H138" s="171">
        <v>0</v>
      </c>
      <c r="I138" s="172">
        <v>0</v>
      </c>
      <c r="J138" s="171">
        <v>0</v>
      </c>
      <c r="K138" s="173">
        <v>0</v>
      </c>
      <c r="L138" s="174">
        <v>0</v>
      </c>
      <c r="M138" s="174">
        <v>0</v>
      </c>
      <c r="N138" s="171">
        <v>0</v>
      </c>
      <c r="O138" s="171">
        <v>0</v>
      </c>
      <c r="P138" s="172">
        <v>0</v>
      </c>
      <c r="Q138" s="171">
        <v>0</v>
      </c>
      <c r="T138" s="184"/>
    </row>
    <row r="139" spans="1:20" s="183" customFormat="1" ht="17.25" hidden="1" customHeight="1">
      <c r="A139" s="699"/>
      <c r="B139" s="700"/>
      <c r="C139" s="165" t="s">
        <v>7</v>
      </c>
      <c r="D139" s="166">
        <f>SUM(E139:Q139)</f>
        <v>762360</v>
      </c>
      <c r="E139" s="171">
        <f t="shared" ref="E139:P139" si="35">E137+E138</f>
        <v>0</v>
      </c>
      <c r="F139" s="171">
        <f t="shared" si="35"/>
        <v>0</v>
      </c>
      <c r="G139" s="171">
        <f t="shared" si="35"/>
        <v>0</v>
      </c>
      <c r="H139" s="171">
        <f t="shared" si="35"/>
        <v>0</v>
      </c>
      <c r="I139" s="171">
        <f t="shared" si="35"/>
        <v>0</v>
      </c>
      <c r="J139" s="171">
        <f t="shared" si="35"/>
        <v>0</v>
      </c>
      <c r="K139" s="171">
        <f t="shared" si="35"/>
        <v>0</v>
      </c>
      <c r="L139" s="171">
        <f t="shared" si="35"/>
        <v>0</v>
      </c>
      <c r="M139" s="171">
        <f t="shared" si="35"/>
        <v>0</v>
      </c>
      <c r="N139" s="171">
        <f t="shared" si="35"/>
        <v>762360</v>
      </c>
      <c r="O139" s="171">
        <f t="shared" si="35"/>
        <v>0</v>
      </c>
      <c r="P139" s="174">
        <f t="shared" si="35"/>
        <v>0</v>
      </c>
      <c r="Q139" s="171">
        <f>Q137+Q138</f>
        <v>0</v>
      </c>
      <c r="T139" s="184"/>
    </row>
    <row r="140" spans="1:20" s="183" customFormat="1" ht="5.0999999999999996" hidden="1" customHeight="1">
      <c r="A140" s="192"/>
      <c r="B140" s="198"/>
      <c r="C140" s="176"/>
      <c r="D140" s="157"/>
      <c r="E140" s="181"/>
      <c r="F140" s="181"/>
      <c r="G140" s="181"/>
      <c r="H140" s="181"/>
      <c r="I140" s="181"/>
      <c r="J140" s="181"/>
      <c r="K140" s="181"/>
      <c r="L140" s="181"/>
      <c r="M140" s="159"/>
      <c r="N140" s="181"/>
      <c r="O140" s="181"/>
      <c r="P140" s="181"/>
      <c r="Q140" s="180"/>
      <c r="T140" s="184"/>
    </row>
    <row r="141" spans="1:20" s="183" customFormat="1" ht="20.25" hidden="1" customHeight="1">
      <c r="A141" s="695" t="s">
        <v>431</v>
      </c>
      <c r="B141" s="697" t="s">
        <v>432</v>
      </c>
      <c r="C141" s="165" t="s">
        <v>5</v>
      </c>
      <c r="D141" s="166">
        <f t="shared" si="26"/>
        <v>5000</v>
      </c>
      <c r="E141" s="180">
        <v>0</v>
      </c>
      <c r="F141" s="180">
        <v>5000</v>
      </c>
      <c r="G141" s="197">
        <v>0</v>
      </c>
      <c r="H141" s="180">
        <v>0</v>
      </c>
      <c r="I141" s="181">
        <v>0</v>
      </c>
      <c r="J141" s="180">
        <v>0</v>
      </c>
      <c r="K141" s="182">
        <v>0</v>
      </c>
      <c r="L141" s="197">
        <v>0</v>
      </c>
      <c r="M141" s="180">
        <v>0</v>
      </c>
      <c r="N141" s="180">
        <v>0</v>
      </c>
      <c r="O141" s="180">
        <v>0</v>
      </c>
      <c r="P141" s="181">
        <v>0</v>
      </c>
      <c r="Q141" s="180">
        <v>0</v>
      </c>
      <c r="T141" s="184"/>
    </row>
    <row r="142" spans="1:20" s="183" customFormat="1" ht="20.25" hidden="1" customHeight="1">
      <c r="A142" s="696"/>
      <c r="B142" s="698"/>
      <c r="C142" s="165" t="s">
        <v>6</v>
      </c>
      <c r="D142" s="166">
        <f t="shared" si="26"/>
        <v>0</v>
      </c>
      <c r="E142" s="171">
        <v>0</v>
      </c>
      <c r="F142" s="171">
        <v>0</v>
      </c>
      <c r="G142" s="172">
        <v>0</v>
      </c>
      <c r="H142" s="171">
        <v>0</v>
      </c>
      <c r="I142" s="172">
        <v>0</v>
      </c>
      <c r="J142" s="167">
        <v>0</v>
      </c>
      <c r="K142" s="173">
        <v>0</v>
      </c>
      <c r="L142" s="174">
        <v>0</v>
      </c>
      <c r="M142" s="174">
        <v>0</v>
      </c>
      <c r="N142" s="171">
        <v>0</v>
      </c>
      <c r="O142" s="171">
        <v>0</v>
      </c>
      <c r="P142" s="172">
        <v>0</v>
      </c>
      <c r="Q142" s="171">
        <v>0</v>
      </c>
      <c r="T142" s="184"/>
    </row>
    <row r="143" spans="1:20" s="183" customFormat="1" ht="20.25" hidden="1" customHeight="1">
      <c r="A143" s="699"/>
      <c r="B143" s="700"/>
      <c r="C143" s="165" t="s">
        <v>7</v>
      </c>
      <c r="D143" s="166">
        <f t="shared" si="26"/>
        <v>5000</v>
      </c>
      <c r="E143" s="171">
        <f t="shared" ref="E143:P143" si="36">E141+E142</f>
        <v>0</v>
      </c>
      <c r="F143" s="171">
        <f t="shared" si="36"/>
        <v>5000</v>
      </c>
      <c r="G143" s="171">
        <f t="shared" si="36"/>
        <v>0</v>
      </c>
      <c r="H143" s="171">
        <f t="shared" si="36"/>
        <v>0</v>
      </c>
      <c r="I143" s="171">
        <f t="shared" si="36"/>
        <v>0</v>
      </c>
      <c r="J143" s="171">
        <f t="shared" si="36"/>
        <v>0</v>
      </c>
      <c r="K143" s="171">
        <f t="shared" si="36"/>
        <v>0</v>
      </c>
      <c r="L143" s="171">
        <f t="shared" si="36"/>
        <v>0</v>
      </c>
      <c r="M143" s="171">
        <f t="shared" si="36"/>
        <v>0</v>
      </c>
      <c r="N143" s="171">
        <f t="shared" si="36"/>
        <v>0</v>
      </c>
      <c r="O143" s="171">
        <f t="shared" si="36"/>
        <v>0</v>
      </c>
      <c r="P143" s="174">
        <f t="shared" si="36"/>
        <v>0</v>
      </c>
      <c r="Q143" s="171">
        <f>Q141+Q142</f>
        <v>0</v>
      </c>
      <c r="T143" s="184"/>
    </row>
    <row r="144" spans="1:20" s="183" customFormat="1" ht="20.25" hidden="1" customHeight="1">
      <c r="A144" s="185"/>
      <c r="B144" s="186"/>
      <c r="C144" s="176"/>
      <c r="D144" s="157"/>
      <c r="E144" s="181"/>
      <c r="F144" s="181"/>
      <c r="G144" s="181"/>
      <c r="H144" s="181"/>
      <c r="I144" s="181"/>
      <c r="J144" s="181"/>
      <c r="K144" s="181"/>
      <c r="L144" s="181"/>
      <c r="M144" s="159"/>
      <c r="N144" s="181"/>
      <c r="O144" s="181"/>
      <c r="P144" s="181"/>
      <c r="Q144" s="180"/>
      <c r="T144" s="184"/>
    </row>
    <row r="145" spans="1:63" s="183" customFormat="1" ht="20.25" hidden="1" customHeight="1">
      <c r="A145" s="695" t="s">
        <v>370</v>
      </c>
      <c r="B145" s="697" t="s">
        <v>30</v>
      </c>
      <c r="C145" s="165" t="s">
        <v>5</v>
      </c>
      <c r="D145" s="166">
        <f t="shared" si="26"/>
        <v>0</v>
      </c>
      <c r="E145" s="180">
        <v>0</v>
      </c>
      <c r="F145" s="180">
        <v>0</v>
      </c>
      <c r="G145" s="197">
        <v>0</v>
      </c>
      <c r="H145" s="180">
        <v>0</v>
      </c>
      <c r="I145" s="181">
        <v>0</v>
      </c>
      <c r="J145" s="180">
        <v>0</v>
      </c>
      <c r="K145" s="182">
        <v>0</v>
      </c>
      <c r="L145" s="197">
        <v>0</v>
      </c>
      <c r="M145" s="180">
        <v>0</v>
      </c>
      <c r="N145" s="180">
        <v>0</v>
      </c>
      <c r="O145" s="180">
        <v>0</v>
      </c>
      <c r="P145" s="181">
        <v>0</v>
      </c>
      <c r="Q145" s="180">
        <v>0</v>
      </c>
      <c r="T145" s="184"/>
    </row>
    <row r="146" spans="1:63" s="183" customFormat="1" ht="20.25" hidden="1" customHeight="1">
      <c r="A146" s="696"/>
      <c r="B146" s="698"/>
      <c r="C146" s="165" t="s">
        <v>6</v>
      </c>
      <c r="D146" s="166">
        <f t="shared" si="26"/>
        <v>0</v>
      </c>
      <c r="E146" s="171">
        <v>0</v>
      </c>
      <c r="F146" s="171">
        <v>0</v>
      </c>
      <c r="G146" s="172">
        <v>0</v>
      </c>
      <c r="H146" s="171">
        <v>0</v>
      </c>
      <c r="I146" s="172">
        <v>0</v>
      </c>
      <c r="J146" s="171">
        <v>0</v>
      </c>
      <c r="K146" s="173">
        <v>0</v>
      </c>
      <c r="L146" s="174">
        <v>0</v>
      </c>
      <c r="M146" s="174">
        <v>0</v>
      </c>
      <c r="N146" s="171">
        <v>0</v>
      </c>
      <c r="O146" s="171">
        <v>0</v>
      </c>
      <c r="P146" s="172">
        <v>0</v>
      </c>
      <c r="Q146" s="171">
        <v>0</v>
      </c>
      <c r="T146" s="184"/>
    </row>
    <row r="147" spans="1:63" s="183" customFormat="1" ht="20.25" hidden="1" customHeight="1">
      <c r="A147" s="696"/>
      <c r="B147" s="698"/>
      <c r="C147" s="165" t="s">
        <v>7</v>
      </c>
      <c r="D147" s="166">
        <f t="shared" si="26"/>
        <v>0</v>
      </c>
      <c r="E147" s="171">
        <f t="shared" ref="E147:P147" si="37">E145+E146</f>
        <v>0</v>
      </c>
      <c r="F147" s="171">
        <f t="shared" si="37"/>
        <v>0</v>
      </c>
      <c r="G147" s="171">
        <f t="shared" si="37"/>
        <v>0</v>
      </c>
      <c r="H147" s="171">
        <f t="shared" si="37"/>
        <v>0</v>
      </c>
      <c r="I147" s="171">
        <f t="shared" si="37"/>
        <v>0</v>
      </c>
      <c r="J147" s="171">
        <f t="shared" si="37"/>
        <v>0</v>
      </c>
      <c r="K147" s="171">
        <f t="shared" si="37"/>
        <v>0</v>
      </c>
      <c r="L147" s="171">
        <f t="shared" si="37"/>
        <v>0</v>
      </c>
      <c r="M147" s="171">
        <f t="shared" si="37"/>
        <v>0</v>
      </c>
      <c r="N147" s="171">
        <f t="shared" si="37"/>
        <v>0</v>
      </c>
      <c r="O147" s="171">
        <f t="shared" si="37"/>
        <v>0</v>
      </c>
      <c r="P147" s="174">
        <f t="shared" si="37"/>
        <v>0</v>
      </c>
      <c r="Q147" s="171">
        <f>Q145+Q146</f>
        <v>0</v>
      </c>
      <c r="T147" s="184"/>
    </row>
    <row r="148" spans="1:63" s="183" customFormat="1" ht="10.5" hidden="1" customHeight="1">
      <c r="A148" s="185"/>
      <c r="B148" s="186"/>
      <c r="C148" s="176"/>
      <c r="D148" s="157"/>
      <c r="E148" s="181"/>
      <c r="F148" s="181"/>
      <c r="G148" s="181"/>
      <c r="H148" s="181"/>
      <c r="I148" s="181"/>
      <c r="J148" s="181"/>
      <c r="K148" s="181"/>
      <c r="L148" s="181"/>
      <c r="M148" s="159"/>
      <c r="N148" s="181"/>
      <c r="O148" s="181"/>
      <c r="P148" s="181"/>
      <c r="Q148" s="180"/>
      <c r="T148" s="184"/>
    </row>
    <row r="149" spans="1:63" s="183" customFormat="1" ht="20.25" customHeight="1">
      <c r="A149" s="695" t="s">
        <v>261</v>
      </c>
      <c r="B149" s="697" t="s">
        <v>31</v>
      </c>
      <c r="C149" s="165" t="s">
        <v>5</v>
      </c>
      <c r="D149" s="166">
        <f t="shared" si="26"/>
        <v>10620710</v>
      </c>
      <c r="E149" s="180">
        <v>0</v>
      </c>
      <c r="F149" s="180">
        <v>1506531</v>
      </c>
      <c r="G149" s="197">
        <v>8960179</v>
      </c>
      <c r="H149" s="180">
        <v>0</v>
      </c>
      <c r="I149" s="181">
        <v>0</v>
      </c>
      <c r="J149" s="180">
        <v>0</v>
      </c>
      <c r="K149" s="182">
        <v>0</v>
      </c>
      <c r="L149" s="197">
        <v>0</v>
      </c>
      <c r="M149" s="180">
        <v>0</v>
      </c>
      <c r="N149" s="180">
        <v>0</v>
      </c>
      <c r="O149" s="180">
        <v>154000</v>
      </c>
      <c r="P149" s="181">
        <v>0</v>
      </c>
      <c r="Q149" s="180">
        <v>0</v>
      </c>
      <c r="T149" s="184"/>
    </row>
    <row r="150" spans="1:63" s="183" customFormat="1" ht="20.25" customHeight="1">
      <c r="A150" s="696"/>
      <c r="B150" s="698"/>
      <c r="C150" s="165" t="s">
        <v>6</v>
      </c>
      <c r="D150" s="166">
        <f t="shared" si="26"/>
        <v>21486</v>
      </c>
      <c r="E150" s="171">
        <v>0</v>
      </c>
      <c r="F150" s="171">
        <v>0</v>
      </c>
      <c r="G150" s="172">
        <v>0</v>
      </c>
      <c r="H150" s="171">
        <v>0</v>
      </c>
      <c r="I150" s="172">
        <v>0</v>
      </c>
      <c r="J150" s="171">
        <v>0</v>
      </c>
      <c r="K150" s="173">
        <v>0</v>
      </c>
      <c r="L150" s="174">
        <v>0</v>
      </c>
      <c r="M150" s="174">
        <v>0</v>
      </c>
      <c r="N150" s="171">
        <v>0</v>
      </c>
      <c r="O150" s="171">
        <v>21486</v>
      </c>
      <c r="P150" s="172">
        <v>0</v>
      </c>
      <c r="Q150" s="171">
        <v>0</v>
      </c>
      <c r="T150" s="184"/>
    </row>
    <row r="151" spans="1:63" s="183" customFormat="1" ht="20.25" customHeight="1">
      <c r="A151" s="699"/>
      <c r="B151" s="700"/>
      <c r="C151" s="165" t="s">
        <v>7</v>
      </c>
      <c r="D151" s="166">
        <f t="shared" si="26"/>
        <v>10642196</v>
      </c>
      <c r="E151" s="171">
        <f t="shared" ref="E151:P151" si="38">E149+E150</f>
        <v>0</v>
      </c>
      <c r="F151" s="171">
        <f t="shared" si="38"/>
        <v>1506531</v>
      </c>
      <c r="G151" s="171">
        <f t="shared" si="38"/>
        <v>8960179</v>
      </c>
      <c r="H151" s="171">
        <f t="shared" si="38"/>
        <v>0</v>
      </c>
      <c r="I151" s="171">
        <f t="shared" si="38"/>
        <v>0</v>
      </c>
      <c r="J151" s="171">
        <f t="shared" si="38"/>
        <v>0</v>
      </c>
      <c r="K151" s="171">
        <f t="shared" si="38"/>
        <v>0</v>
      </c>
      <c r="L151" s="171">
        <f t="shared" si="38"/>
        <v>0</v>
      </c>
      <c r="M151" s="171">
        <f t="shared" si="38"/>
        <v>0</v>
      </c>
      <c r="N151" s="171">
        <f t="shared" si="38"/>
        <v>0</v>
      </c>
      <c r="O151" s="171">
        <f t="shared" si="38"/>
        <v>175486</v>
      </c>
      <c r="P151" s="174">
        <f t="shared" si="38"/>
        <v>0</v>
      </c>
      <c r="Q151" s="171">
        <f>Q149+Q150</f>
        <v>0</v>
      </c>
      <c r="T151" s="184"/>
    </row>
    <row r="152" spans="1:63" s="183" customFormat="1" ht="5.0999999999999996" customHeight="1">
      <c r="A152" s="192"/>
      <c r="B152" s="198"/>
      <c r="C152" s="177"/>
      <c r="D152" s="157"/>
      <c r="E152" s="204"/>
      <c r="F152" s="204"/>
      <c r="G152" s="204"/>
      <c r="H152" s="204"/>
      <c r="I152" s="204"/>
      <c r="J152" s="204"/>
      <c r="K152" s="204"/>
      <c r="L152" s="204"/>
      <c r="M152" s="159"/>
      <c r="N152" s="204"/>
      <c r="O152" s="204"/>
      <c r="P152" s="204"/>
      <c r="Q152" s="205"/>
      <c r="T152" s="184"/>
    </row>
    <row r="153" spans="1:63" s="183" customFormat="1" ht="19.5" customHeight="1">
      <c r="A153" s="695" t="s">
        <v>434</v>
      </c>
      <c r="B153" s="697" t="s">
        <v>32</v>
      </c>
      <c r="C153" s="165" t="s">
        <v>5</v>
      </c>
      <c r="D153" s="166">
        <f t="shared" si="26"/>
        <v>0</v>
      </c>
      <c r="E153" s="206">
        <v>0</v>
      </c>
      <c r="F153" s="206">
        <v>0</v>
      </c>
      <c r="G153" s="207">
        <v>0</v>
      </c>
      <c r="H153" s="206">
        <v>0</v>
      </c>
      <c r="I153" s="208">
        <v>0</v>
      </c>
      <c r="J153" s="206">
        <v>0</v>
      </c>
      <c r="K153" s="209">
        <v>0</v>
      </c>
      <c r="L153" s="207">
        <v>0</v>
      </c>
      <c r="M153" s="180">
        <v>0</v>
      </c>
      <c r="N153" s="206">
        <v>0</v>
      </c>
      <c r="O153" s="206">
        <v>0</v>
      </c>
      <c r="P153" s="208">
        <v>0</v>
      </c>
      <c r="Q153" s="206">
        <v>0</v>
      </c>
      <c r="T153" s="184"/>
    </row>
    <row r="154" spans="1:63" s="183" customFormat="1" ht="19.5" customHeight="1">
      <c r="A154" s="696"/>
      <c r="B154" s="698"/>
      <c r="C154" s="165" t="s">
        <v>6</v>
      </c>
      <c r="D154" s="166">
        <f t="shared" si="26"/>
        <v>160000</v>
      </c>
      <c r="E154" s="167">
        <v>0</v>
      </c>
      <c r="F154" s="167">
        <v>0</v>
      </c>
      <c r="G154" s="167">
        <v>0</v>
      </c>
      <c r="H154" s="167">
        <v>0</v>
      </c>
      <c r="I154" s="167">
        <v>0</v>
      </c>
      <c r="J154" s="167">
        <v>0</v>
      </c>
      <c r="K154" s="167">
        <v>0</v>
      </c>
      <c r="L154" s="167">
        <v>0</v>
      </c>
      <c r="M154" s="174">
        <v>0</v>
      </c>
      <c r="N154" s="167">
        <v>0</v>
      </c>
      <c r="O154" s="167">
        <v>160000</v>
      </c>
      <c r="P154" s="168">
        <v>0</v>
      </c>
      <c r="Q154" s="167">
        <v>0</v>
      </c>
      <c r="T154" s="184"/>
    </row>
    <row r="155" spans="1:63" s="183" customFormat="1" ht="19.5" customHeight="1">
      <c r="A155" s="699"/>
      <c r="B155" s="700"/>
      <c r="C155" s="165" t="s">
        <v>7</v>
      </c>
      <c r="D155" s="166">
        <f t="shared" si="26"/>
        <v>160000</v>
      </c>
      <c r="E155" s="171">
        <f t="shared" ref="E155:P155" si="39">E153+E154</f>
        <v>0</v>
      </c>
      <c r="F155" s="171">
        <f t="shared" si="39"/>
        <v>0</v>
      </c>
      <c r="G155" s="171">
        <f t="shared" si="39"/>
        <v>0</v>
      </c>
      <c r="H155" s="171">
        <f t="shared" si="39"/>
        <v>0</v>
      </c>
      <c r="I155" s="171">
        <f t="shared" si="39"/>
        <v>0</v>
      </c>
      <c r="J155" s="171">
        <f t="shared" si="39"/>
        <v>0</v>
      </c>
      <c r="K155" s="171">
        <f t="shared" si="39"/>
        <v>0</v>
      </c>
      <c r="L155" s="171">
        <f t="shared" si="39"/>
        <v>0</v>
      </c>
      <c r="M155" s="171">
        <f t="shared" si="39"/>
        <v>0</v>
      </c>
      <c r="N155" s="171">
        <f t="shared" si="39"/>
        <v>0</v>
      </c>
      <c r="O155" s="171">
        <f t="shared" si="39"/>
        <v>160000</v>
      </c>
      <c r="P155" s="174">
        <f t="shared" si="39"/>
        <v>0</v>
      </c>
      <c r="Q155" s="171">
        <f>Q153+Q154</f>
        <v>0</v>
      </c>
      <c r="T155" s="184"/>
    </row>
    <row r="156" spans="1:63" s="183" customFormat="1" ht="5.0999999999999996" customHeight="1">
      <c r="A156" s="192"/>
      <c r="B156" s="198"/>
      <c r="C156" s="198"/>
      <c r="D156" s="210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6"/>
      <c r="T156" s="184"/>
    </row>
    <row r="157" spans="1:63" s="216" customFormat="1" ht="22.5" customHeight="1">
      <c r="A157" s="689" t="s">
        <v>436</v>
      </c>
      <c r="B157" s="690"/>
      <c r="C157" s="211" t="s">
        <v>5</v>
      </c>
      <c r="D157" s="212">
        <f t="shared" ref="D157:Q158" si="40">D13+D105</f>
        <v>1365740805</v>
      </c>
      <c r="E157" s="212">
        <f t="shared" si="40"/>
        <v>581108020</v>
      </c>
      <c r="F157" s="212">
        <f t="shared" si="40"/>
        <v>24394760</v>
      </c>
      <c r="G157" s="212">
        <f t="shared" si="40"/>
        <v>511692820</v>
      </c>
      <c r="H157" s="212">
        <f t="shared" si="40"/>
        <v>65073398</v>
      </c>
      <c r="I157" s="212">
        <f t="shared" si="40"/>
        <v>79430844</v>
      </c>
      <c r="J157" s="212">
        <f t="shared" si="40"/>
        <v>14155349</v>
      </c>
      <c r="K157" s="212">
        <f t="shared" si="40"/>
        <v>58000</v>
      </c>
      <c r="L157" s="212">
        <f t="shared" si="40"/>
        <v>877451</v>
      </c>
      <c r="M157" s="212">
        <f t="shared" si="40"/>
        <v>25683</v>
      </c>
      <c r="N157" s="212">
        <f t="shared" si="40"/>
        <v>56342141</v>
      </c>
      <c r="O157" s="212">
        <f t="shared" si="40"/>
        <v>8510196</v>
      </c>
      <c r="P157" s="213">
        <f t="shared" si="40"/>
        <v>20542202</v>
      </c>
      <c r="Q157" s="212">
        <f t="shared" si="40"/>
        <v>3529941</v>
      </c>
      <c r="R157" s="214"/>
      <c r="S157" s="214"/>
      <c r="T157" s="215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  <c r="BI157" s="214"/>
      <c r="BJ157" s="214"/>
      <c r="BK157" s="214"/>
    </row>
    <row r="158" spans="1:63" ht="22.5" customHeight="1">
      <c r="A158" s="691"/>
      <c r="B158" s="692"/>
      <c r="C158" s="211" t="s">
        <v>6</v>
      </c>
      <c r="D158" s="212">
        <f t="shared" si="40"/>
        <v>24224180</v>
      </c>
      <c r="E158" s="212">
        <f t="shared" si="40"/>
        <v>14500000</v>
      </c>
      <c r="F158" s="212">
        <f t="shared" si="40"/>
        <v>18406338</v>
      </c>
      <c r="G158" s="212">
        <f t="shared" si="40"/>
        <v>-4667582</v>
      </c>
      <c r="H158" s="212">
        <f t="shared" si="40"/>
        <v>-6565025</v>
      </c>
      <c r="I158" s="212">
        <f t="shared" si="40"/>
        <v>837144</v>
      </c>
      <c r="J158" s="212">
        <f t="shared" si="40"/>
        <v>-63863</v>
      </c>
      <c r="K158" s="212">
        <f t="shared" si="40"/>
        <v>0</v>
      </c>
      <c r="L158" s="212">
        <f t="shared" si="40"/>
        <v>0</v>
      </c>
      <c r="M158" s="212">
        <f t="shared" si="40"/>
        <v>0</v>
      </c>
      <c r="N158" s="212">
        <f t="shared" si="40"/>
        <v>0</v>
      </c>
      <c r="O158" s="212">
        <f t="shared" si="40"/>
        <v>185569</v>
      </c>
      <c r="P158" s="213">
        <f t="shared" si="40"/>
        <v>1591599</v>
      </c>
      <c r="Q158" s="212">
        <f t="shared" si="40"/>
        <v>0</v>
      </c>
    </row>
    <row r="159" spans="1:63" ht="22.5" customHeight="1">
      <c r="A159" s="693"/>
      <c r="B159" s="694"/>
      <c r="C159" s="211" t="s">
        <v>7</v>
      </c>
      <c r="D159" s="212">
        <f>D157+D158</f>
        <v>1389964985</v>
      </c>
      <c r="E159" s="212">
        <f>E15+E107</f>
        <v>595608020</v>
      </c>
      <c r="F159" s="212">
        <f t="shared" ref="F159:P159" si="41">F157+F158</f>
        <v>42801098</v>
      </c>
      <c r="G159" s="212">
        <f t="shared" si="41"/>
        <v>507025238</v>
      </c>
      <c r="H159" s="212">
        <f t="shared" si="41"/>
        <v>58508373</v>
      </c>
      <c r="I159" s="212">
        <f t="shared" si="41"/>
        <v>80267988</v>
      </c>
      <c r="J159" s="212">
        <f t="shared" si="41"/>
        <v>14091486</v>
      </c>
      <c r="K159" s="212">
        <f t="shared" si="41"/>
        <v>58000</v>
      </c>
      <c r="L159" s="212">
        <f t="shared" si="41"/>
        <v>877451</v>
      </c>
      <c r="M159" s="212">
        <f>M157+M158</f>
        <v>25683</v>
      </c>
      <c r="N159" s="212">
        <f t="shared" si="41"/>
        <v>56342141</v>
      </c>
      <c r="O159" s="212">
        <f t="shared" si="41"/>
        <v>8695765</v>
      </c>
      <c r="P159" s="213">
        <f t="shared" si="41"/>
        <v>22133801</v>
      </c>
      <c r="Q159" s="212">
        <f>Q157+Q158</f>
        <v>3529941</v>
      </c>
    </row>
    <row r="160" spans="1:63" s="129" customFormat="1" ht="12" customHeight="1">
      <c r="A160" s="217" t="s">
        <v>3</v>
      </c>
      <c r="B160" s="217"/>
      <c r="C160" s="217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</row>
    <row r="161" spans="1:17" s="221" customFormat="1" ht="15" customHeight="1">
      <c r="A161" s="219" t="s">
        <v>5</v>
      </c>
      <c r="B161" s="70" t="s">
        <v>437</v>
      </c>
      <c r="C161" s="220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</row>
    <row r="162" spans="1:17" s="221" customFormat="1" ht="15" customHeight="1">
      <c r="A162" s="219" t="s">
        <v>6</v>
      </c>
      <c r="B162" s="222" t="s">
        <v>438</v>
      </c>
      <c r="C162" s="220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</row>
    <row r="163" spans="1:17" s="221" customFormat="1" ht="15" customHeight="1">
      <c r="A163" s="219" t="s">
        <v>7</v>
      </c>
      <c r="B163" s="222" t="s">
        <v>439</v>
      </c>
      <c r="C163" s="220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</row>
    <row r="164" spans="1:17" s="221" customFormat="1" ht="15" customHeight="1">
      <c r="A164" s="219"/>
      <c r="B164" s="222"/>
      <c r="C164" s="220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</row>
    <row r="165" spans="1:17" s="129" customFormat="1">
      <c r="A165" s="126"/>
      <c r="B165" s="127"/>
      <c r="C165" s="127"/>
      <c r="D165" s="128"/>
    </row>
    <row r="166" spans="1:17" s="129" customFormat="1">
      <c r="A166" s="126"/>
      <c r="B166" s="127"/>
      <c r="C166" s="127"/>
      <c r="D166" s="128"/>
    </row>
    <row r="167" spans="1:17" s="129" customFormat="1">
      <c r="A167" s="126"/>
      <c r="B167" s="127"/>
      <c r="C167" s="127"/>
      <c r="D167" s="128"/>
    </row>
    <row r="168" spans="1:17" s="129" customFormat="1">
      <c r="A168" s="126"/>
      <c r="B168" s="127"/>
      <c r="C168" s="127"/>
      <c r="D168" s="128"/>
    </row>
    <row r="169" spans="1:17" s="129" customFormat="1">
      <c r="A169" s="126"/>
      <c r="B169" s="127"/>
      <c r="C169" s="127"/>
      <c r="D169" s="128"/>
    </row>
    <row r="170" spans="1:17" s="129" customFormat="1">
      <c r="A170" s="126"/>
      <c r="B170" s="127"/>
      <c r="C170" s="127"/>
      <c r="D170" s="128"/>
    </row>
    <row r="171" spans="1:17" s="129" customFormat="1">
      <c r="A171" s="126"/>
      <c r="B171" s="127"/>
      <c r="C171" s="127"/>
      <c r="D171" s="128"/>
    </row>
    <row r="172" spans="1:17" s="129" customFormat="1">
      <c r="A172" s="126"/>
      <c r="B172" s="127"/>
      <c r="C172" s="127"/>
      <c r="D172" s="128"/>
    </row>
    <row r="173" spans="1:17" s="129" customFormat="1">
      <c r="A173" s="126"/>
      <c r="B173" s="127"/>
      <c r="C173" s="127"/>
      <c r="D173" s="128"/>
    </row>
    <row r="174" spans="1:17" s="129" customFormat="1">
      <c r="A174" s="126"/>
      <c r="B174" s="127"/>
      <c r="C174" s="127"/>
      <c r="D174" s="128"/>
    </row>
    <row r="175" spans="1:17" s="129" customFormat="1">
      <c r="A175" s="126"/>
      <c r="B175" s="127"/>
      <c r="C175" s="127"/>
      <c r="D175" s="128"/>
    </row>
    <row r="176" spans="1:17" s="129" customFormat="1">
      <c r="A176" s="126"/>
      <c r="B176" s="127"/>
      <c r="C176" s="127"/>
      <c r="D176" s="128"/>
    </row>
    <row r="177" spans="1:4" s="129" customFormat="1">
      <c r="A177" s="126"/>
      <c r="B177" s="127"/>
      <c r="C177" s="127"/>
      <c r="D177" s="128"/>
    </row>
    <row r="178" spans="1:4" s="129" customFormat="1">
      <c r="A178" s="126"/>
      <c r="B178" s="127"/>
      <c r="C178" s="127"/>
      <c r="D178" s="128"/>
    </row>
    <row r="179" spans="1:4" s="129" customFormat="1">
      <c r="A179" s="126"/>
      <c r="B179" s="127"/>
      <c r="C179" s="127"/>
      <c r="D179" s="128"/>
    </row>
    <row r="180" spans="1:4" s="129" customFormat="1">
      <c r="A180" s="126"/>
      <c r="B180" s="127"/>
      <c r="C180" s="127"/>
      <c r="D180" s="128"/>
    </row>
    <row r="181" spans="1:4" s="129" customFormat="1">
      <c r="A181" s="126"/>
      <c r="B181" s="127"/>
      <c r="C181" s="127"/>
      <c r="D181" s="128"/>
    </row>
    <row r="182" spans="1:4" s="129" customFormat="1">
      <c r="A182" s="126"/>
      <c r="B182" s="127"/>
      <c r="C182" s="127"/>
      <c r="D182" s="128"/>
    </row>
    <row r="183" spans="1:4" s="129" customFormat="1">
      <c r="A183" s="126"/>
      <c r="B183" s="127"/>
      <c r="C183" s="127"/>
      <c r="D183" s="128"/>
    </row>
    <row r="184" spans="1:4" s="129" customFormat="1">
      <c r="A184" s="126"/>
      <c r="B184" s="127"/>
      <c r="C184" s="127"/>
      <c r="D184" s="128"/>
    </row>
    <row r="185" spans="1:4" s="129" customFormat="1">
      <c r="A185" s="126"/>
      <c r="B185" s="127"/>
      <c r="C185" s="127"/>
      <c r="D185" s="128"/>
    </row>
    <row r="186" spans="1:4" s="129" customFormat="1">
      <c r="A186" s="126"/>
      <c r="B186" s="127"/>
      <c r="C186" s="127"/>
      <c r="D186" s="128"/>
    </row>
    <row r="187" spans="1:4" s="129" customFormat="1">
      <c r="A187" s="126"/>
      <c r="B187" s="127"/>
      <c r="C187" s="127"/>
      <c r="D187" s="128"/>
    </row>
    <row r="188" spans="1:4" s="129" customFormat="1">
      <c r="A188" s="126"/>
      <c r="B188" s="127"/>
      <c r="C188" s="127"/>
      <c r="D188" s="128"/>
    </row>
    <row r="189" spans="1:4" s="129" customFormat="1">
      <c r="A189" s="126"/>
      <c r="B189" s="127"/>
      <c r="C189" s="127"/>
      <c r="D189" s="128"/>
    </row>
    <row r="190" spans="1:4" s="129" customFormat="1">
      <c r="A190" s="126"/>
      <c r="B190" s="127"/>
      <c r="C190" s="127"/>
      <c r="D190" s="128"/>
    </row>
    <row r="191" spans="1:4" s="129" customFormat="1">
      <c r="A191" s="126"/>
      <c r="B191" s="127"/>
      <c r="C191" s="127"/>
      <c r="D191" s="128"/>
    </row>
    <row r="192" spans="1:4" s="129" customFormat="1">
      <c r="A192" s="126"/>
      <c r="B192" s="127"/>
      <c r="C192" s="127"/>
      <c r="D192" s="128"/>
    </row>
    <row r="193" spans="1:4" s="129" customFormat="1">
      <c r="A193" s="126"/>
      <c r="B193" s="127"/>
      <c r="C193" s="127"/>
      <c r="D193" s="128"/>
    </row>
    <row r="194" spans="1:4" s="129" customFormat="1">
      <c r="A194" s="126"/>
      <c r="B194" s="127"/>
      <c r="C194" s="127"/>
      <c r="D194" s="128"/>
    </row>
    <row r="195" spans="1:4" s="129" customFormat="1">
      <c r="A195" s="126"/>
      <c r="B195" s="127"/>
      <c r="C195" s="127"/>
      <c r="D195" s="128"/>
    </row>
    <row r="196" spans="1:4" s="129" customFormat="1">
      <c r="A196" s="126"/>
      <c r="B196" s="127"/>
      <c r="C196" s="127"/>
      <c r="D196" s="128"/>
    </row>
    <row r="197" spans="1:4" s="129" customFormat="1">
      <c r="A197" s="126"/>
      <c r="B197" s="127"/>
      <c r="C197" s="127"/>
      <c r="D197" s="128"/>
    </row>
    <row r="198" spans="1:4" s="129" customFormat="1">
      <c r="A198" s="126"/>
      <c r="B198" s="127"/>
      <c r="C198" s="127"/>
      <c r="D198" s="128"/>
    </row>
    <row r="199" spans="1:4" s="129" customFormat="1">
      <c r="A199" s="126"/>
      <c r="B199" s="127"/>
      <c r="C199" s="127"/>
      <c r="D199" s="128"/>
    </row>
    <row r="200" spans="1:4" s="129" customFormat="1">
      <c r="A200" s="126"/>
      <c r="B200" s="127"/>
      <c r="C200" s="127"/>
      <c r="D200" s="128"/>
    </row>
    <row r="201" spans="1:4" s="129" customFormat="1">
      <c r="A201" s="126"/>
      <c r="B201" s="127"/>
      <c r="C201" s="127"/>
      <c r="D201" s="128"/>
    </row>
    <row r="202" spans="1:4" s="129" customFormat="1">
      <c r="A202" s="126"/>
      <c r="B202" s="127"/>
      <c r="C202" s="127"/>
      <c r="D202" s="128"/>
    </row>
    <row r="203" spans="1:4" s="129" customFormat="1">
      <c r="A203" s="126"/>
      <c r="B203" s="127"/>
      <c r="C203" s="127"/>
      <c r="D203" s="128"/>
    </row>
    <row r="204" spans="1:4" s="129" customFormat="1">
      <c r="A204" s="126"/>
      <c r="B204" s="127"/>
      <c r="C204" s="127"/>
      <c r="D204" s="128"/>
    </row>
    <row r="205" spans="1:4" s="129" customFormat="1">
      <c r="A205" s="126"/>
      <c r="B205" s="127"/>
      <c r="C205" s="127"/>
      <c r="D205" s="128"/>
    </row>
    <row r="206" spans="1:4" s="129" customFormat="1">
      <c r="A206" s="126"/>
      <c r="B206" s="127"/>
      <c r="C206" s="127"/>
      <c r="D206" s="128"/>
    </row>
    <row r="207" spans="1:4" s="129" customFormat="1">
      <c r="A207" s="126"/>
      <c r="B207" s="127"/>
      <c r="C207" s="127"/>
      <c r="D207" s="128"/>
    </row>
    <row r="208" spans="1:4" s="129" customFormat="1">
      <c r="A208" s="126"/>
      <c r="B208" s="127"/>
      <c r="C208" s="127"/>
      <c r="D208" s="128"/>
    </row>
    <row r="209" spans="1:4" s="129" customFormat="1">
      <c r="A209" s="126"/>
      <c r="B209" s="127"/>
      <c r="C209" s="127"/>
      <c r="D209" s="128"/>
    </row>
    <row r="210" spans="1:4" s="129" customFormat="1">
      <c r="A210" s="126"/>
      <c r="B210" s="127"/>
      <c r="C210" s="127"/>
      <c r="D210" s="128"/>
    </row>
    <row r="211" spans="1:4" s="129" customFormat="1">
      <c r="A211" s="126"/>
      <c r="B211" s="127"/>
      <c r="C211" s="127"/>
      <c r="D211" s="128"/>
    </row>
    <row r="212" spans="1:4" s="129" customFormat="1">
      <c r="A212" s="126"/>
      <c r="B212" s="127"/>
      <c r="C212" s="127"/>
      <c r="D212" s="128"/>
    </row>
    <row r="213" spans="1:4" s="129" customFormat="1">
      <c r="A213" s="126"/>
      <c r="B213" s="127"/>
      <c r="C213" s="127"/>
      <c r="D213" s="128"/>
    </row>
    <row r="214" spans="1:4" s="129" customFormat="1">
      <c r="A214" s="126"/>
      <c r="B214" s="127"/>
      <c r="C214" s="127"/>
      <c r="D214" s="128"/>
    </row>
    <row r="215" spans="1:4" s="129" customFormat="1">
      <c r="A215" s="126"/>
      <c r="B215" s="127"/>
      <c r="C215" s="127"/>
      <c r="D215" s="128"/>
    </row>
    <row r="216" spans="1:4" s="129" customFormat="1">
      <c r="A216" s="126"/>
      <c r="B216" s="127"/>
      <c r="C216" s="127"/>
      <c r="D216" s="128"/>
    </row>
    <row r="217" spans="1:4" s="129" customFormat="1">
      <c r="A217" s="126"/>
      <c r="B217" s="127"/>
      <c r="C217" s="127"/>
      <c r="D217" s="128"/>
    </row>
    <row r="218" spans="1:4" s="129" customFormat="1">
      <c r="A218" s="126"/>
      <c r="B218" s="127"/>
      <c r="C218" s="127"/>
      <c r="D218" s="128"/>
    </row>
    <row r="219" spans="1:4" s="129" customFormat="1">
      <c r="A219" s="126"/>
      <c r="B219" s="127"/>
      <c r="C219" s="127"/>
      <c r="D219" s="128"/>
    </row>
    <row r="220" spans="1:4" s="129" customFormat="1">
      <c r="A220" s="126"/>
      <c r="B220" s="127"/>
      <c r="C220" s="127"/>
      <c r="D220" s="128"/>
    </row>
    <row r="221" spans="1:4" s="129" customFormat="1">
      <c r="A221" s="126"/>
      <c r="B221" s="127"/>
      <c r="C221" s="127"/>
      <c r="D221" s="128"/>
    </row>
    <row r="222" spans="1:4" s="129" customFormat="1">
      <c r="A222" s="126"/>
      <c r="B222" s="127"/>
      <c r="C222" s="127"/>
      <c r="D222" s="128"/>
    </row>
    <row r="223" spans="1:4" s="129" customFormat="1">
      <c r="A223" s="126"/>
      <c r="B223" s="127"/>
      <c r="C223" s="127"/>
      <c r="D223" s="128"/>
    </row>
    <row r="224" spans="1:4" s="129" customFormat="1">
      <c r="A224" s="126"/>
      <c r="B224" s="127"/>
      <c r="C224" s="127"/>
      <c r="D224" s="128"/>
    </row>
    <row r="225" spans="1:4" s="129" customFormat="1">
      <c r="A225" s="126"/>
      <c r="B225" s="127"/>
      <c r="C225" s="127"/>
      <c r="D225" s="128"/>
    </row>
    <row r="226" spans="1:4" s="129" customFormat="1">
      <c r="A226" s="126"/>
      <c r="B226" s="127"/>
      <c r="C226" s="127"/>
      <c r="D226" s="128"/>
    </row>
    <row r="227" spans="1:4" s="129" customFormat="1">
      <c r="A227" s="126"/>
      <c r="B227" s="127"/>
      <c r="C227" s="127"/>
      <c r="D227" s="128"/>
    </row>
    <row r="228" spans="1:4" s="129" customFormat="1">
      <c r="A228" s="126"/>
      <c r="B228" s="127"/>
      <c r="C228" s="127"/>
      <c r="D228" s="128"/>
    </row>
    <row r="229" spans="1:4" s="129" customFormat="1">
      <c r="A229" s="126"/>
      <c r="B229" s="127"/>
      <c r="C229" s="127"/>
      <c r="D229" s="128"/>
    </row>
    <row r="230" spans="1:4" s="129" customFormat="1">
      <c r="A230" s="126"/>
      <c r="B230" s="127"/>
      <c r="C230" s="127"/>
      <c r="D230" s="128"/>
    </row>
    <row r="231" spans="1:4" s="129" customFormat="1">
      <c r="A231" s="126"/>
      <c r="B231" s="127"/>
      <c r="C231" s="127"/>
      <c r="D231" s="128"/>
    </row>
    <row r="232" spans="1:4" s="129" customFormat="1">
      <c r="A232" s="126"/>
      <c r="B232" s="127"/>
      <c r="C232" s="127"/>
      <c r="D232" s="128"/>
    </row>
    <row r="233" spans="1:4" s="129" customFormat="1">
      <c r="A233" s="126"/>
      <c r="B233" s="127"/>
      <c r="C233" s="127"/>
      <c r="D233" s="128"/>
    </row>
    <row r="234" spans="1:4" s="129" customFormat="1">
      <c r="A234" s="126"/>
      <c r="B234" s="127"/>
      <c r="C234" s="127"/>
      <c r="D234" s="128"/>
    </row>
    <row r="235" spans="1:4" s="129" customFormat="1">
      <c r="A235" s="126"/>
      <c r="B235" s="127"/>
      <c r="C235" s="127"/>
      <c r="D235" s="128"/>
    </row>
    <row r="236" spans="1:4" s="129" customFormat="1">
      <c r="A236" s="126"/>
      <c r="B236" s="127"/>
      <c r="C236" s="127"/>
      <c r="D236" s="128"/>
    </row>
    <row r="237" spans="1:4" s="129" customFormat="1">
      <c r="A237" s="126"/>
      <c r="B237" s="127"/>
      <c r="C237" s="127"/>
      <c r="D237" s="128"/>
    </row>
    <row r="238" spans="1:4" s="129" customFormat="1">
      <c r="A238" s="126"/>
      <c r="B238" s="127"/>
      <c r="C238" s="127"/>
      <c r="D238" s="128"/>
    </row>
    <row r="239" spans="1:4" s="129" customFormat="1">
      <c r="A239" s="126"/>
      <c r="B239" s="127"/>
      <c r="C239" s="127"/>
      <c r="D239" s="128"/>
    </row>
    <row r="240" spans="1:4" s="129" customFormat="1">
      <c r="A240" s="126"/>
      <c r="B240" s="127"/>
      <c r="C240" s="127"/>
      <c r="D240" s="128"/>
    </row>
    <row r="241" spans="1:4" s="129" customFormat="1">
      <c r="A241" s="126"/>
      <c r="B241" s="127"/>
      <c r="C241" s="127"/>
      <c r="D241" s="128"/>
    </row>
    <row r="242" spans="1:4" s="129" customFormat="1">
      <c r="A242" s="126"/>
      <c r="B242" s="127"/>
      <c r="C242" s="127"/>
      <c r="D242" s="128"/>
    </row>
    <row r="243" spans="1:4" s="129" customFormat="1">
      <c r="A243" s="126"/>
      <c r="B243" s="127"/>
      <c r="C243" s="127"/>
      <c r="D243" s="128"/>
    </row>
    <row r="244" spans="1:4" s="129" customFormat="1">
      <c r="A244" s="126"/>
      <c r="B244" s="127"/>
      <c r="C244" s="127"/>
      <c r="D244" s="128"/>
    </row>
    <row r="245" spans="1:4" s="129" customFormat="1">
      <c r="A245" s="126"/>
      <c r="B245" s="127"/>
      <c r="C245" s="127"/>
      <c r="D245" s="128"/>
    </row>
    <row r="246" spans="1:4" s="129" customFormat="1">
      <c r="A246" s="126"/>
      <c r="B246" s="127"/>
      <c r="C246" s="127"/>
      <c r="D246" s="128"/>
    </row>
    <row r="247" spans="1:4" s="129" customFormat="1">
      <c r="A247" s="126"/>
      <c r="B247" s="127"/>
      <c r="C247" s="127"/>
      <c r="D247" s="128"/>
    </row>
    <row r="248" spans="1:4" s="129" customFormat="1">
      <c r="A248" s="126"/>
      <c r="B248" s="127"/>
      <c r="C248" s="127"/>
      <c r="D248" s="128"/>
    </row>
    <row r="249" spans="1:4" s="129" customFormat="1">
      <c r="A249" s="126"/>
      <c r="B249" s="127"/>
      <c r="C249" s="127"/>
      <c r="D249" s="128"/>
    </row>
    <row r="250" spans="1:4" s="129" customFormat="1">
      <c r="A250" s="126"/>
      <c r="B250" s="127"/>
      <c r="C250" s="127"/>
      <c r="D250" s="128"/>
    </row>
    <row r="251" spans="1:4" s="129" customFormat="1">
      <c r="A251" s="126"/>
      <c r="B251" s="127"/>
      <c r="C251" s="127"/>
      <c r="D251" s="128"/>
    </row>
    <row r="252" spans="1:4" s="129" customFormat="1">
      <c r="A252" s="126"/>
      <c r="B252" s="127"/>
      <c r="C252" s="127"/>
      <c r="D252" s="128"/>
    </row>
    <row r="253" spans="1:4" s="129" customFormat="1">
      <c r="A253" s="126"/>
      <c r="B253" s="127"/>
      <c r="C253" s="127"/>
      <c r="D253" s="128"/>
    </row>
    <row r="254" spans="1:4" s="129" customFormat="1">
      <c r="A254" s="126"/>
      <c r="B254" s="127"/>
      <c r="C254" s="127"/>
      <c r="D254" s="128"/>
    </row>
  </sheetData>
  <sheetProtection password="C25B" sheet="1" objects="1" scenarios="1"/>
  <mergeCells count="94">
    <mergeCell ref="A4:P4"/>
    <mergeCell ref="A5:Q5"/>
    <mergeCell ref="A7:A10"/>
    <mergeCell ref="B7:B10"/>
    <mergeCell ref="C7:C10"/>
    <mergeCell ref="D7:D10"/>
    <mergeCell ref="E7:E10"/>
    <mergeCell ref="F7:F10"/>
    <mergeCell ref="G7:Q7"/>
    <mergeCell ref="G8:M8"/>
    <mergeCell ref="N8:Q8"/>
    <mergeCell ref="G9:G10"/>
    <mergeCell ref="H9:I9"/>
    <mergeCell ref="J9:J10"/>
    <mergeCell ref="K9:K10"/>
    <mergeCell ref="L9:L10"/>
    <mergeCell ref="M9:M10"/>
    <mergeCell ref="N9:N10"/>
    <mergeCell ref="O9:O10"/>
    <mergeCell ref="P9:P10"/>
    <mergeCell ref="Q9:Q10"/>
    <mergeCell ref="A13:B15"/>
    <mergeCell ref="A17:A19"/>
    <mergeCell ref="B17:B19"/>
    <mergeCell ref="A21:A23"/>
    <mergeCell ref="B21:B23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117:A119"/>
    <mergeCell ref="B117:B119"/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6:Q116"/>
    <mergeCell ref="A121:A123"/>
    <mergeCell ref="B121:B123"/>
    <mergeCell ref="A125:A127"/>
    <mergeCell ref="B125:B127"/>
    <mergeCell ref="A129:A131"/>
    <mergeCell ref="B129:B131"/>
    <mergeCell ref="A133:A135"/>
    <mergeCell ref="B133:B135"/>
    <mergeCell ref="A137:A139"/>
    <mergeCell ref="B137:B139"/>
    <mergeCell ref="A141:A143"/>
    <mergeCell ref="B141:B143"/>
    <mergeCell ref="A157:B159"/>
    <mergeCell ref="A145:A147"/>
    <mergeCell ref="B145:B147"/>
    <mergeCell ref="A149:A151"/>
    <mergeCell ref="B149:B151"/>
    <mergeCell ref="A153:A155"/>
    <mergeCell ref="B153:B15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1" orientation="landscape" r:id="rId1"/>
  <headerFooter alignWithMargins="0"/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8"/>
  <sheetViews>
    <sheetView view="pageBreakPreview" zoomScaleNormal="100" workbookViewId="0">
      <selection activeCell="F33" sqref="F33"/>
    </sheetView>
  </sheetViews>
  <sheetFormatPr defaultColWidth="8" defaultRowHeight="12.75"/>
  <cols>
    <col min="1" max="1" width="5.375" style="601" customWidth="1"/>
    <col min="2" max="2" width="7.625" style="601" customWidth="1"/>
    <col min="3" max="3" width="16" style="602" customWidth="1"/>
    <col min="4" max="4" width="34.625" style="602" customWidth="1"/>
    <col min="5" max="5" width="2.25" style="603" customWidth="1"/>
    <col min="6" max="6" width="12.875" style="631" customWidth="1"/>
    <col min="7" max="7" width="14.375" style="602" customWidth="1"/>
    <col min="8" max="8" width="8.25" style="602" bestFit="1" customWidth="1"/>
    <col min="9" max="256" width="8" style="606"/>
    <col min="257" max="257" width="5.375" style="606" customWidth="1"/>
    <col min="258" max="258" width="7.625" style="606" customWidth="1"/>
    <col min="259" max="259" width="16" style="606" customWidth="1"/>
    <col min="260" max="260" width="34.625" style="606" customWidth="1"/>
    <col min="261" max="261" width="2.25" style="606" customWidth="1"/>
    <col min="262" max="262" width="12.875" style="606" customWidth="1"/>
    <col min="263" max="263" width="14.375" style="606" customWidth="1"/>
    <col min="264" max="264" width="8.25" style="606" bestFit="1" customWidth="1"/>
    <col min="265" max="512" width="8" style="606"/>
    <col min="513" max="513" width="5.375" style="606" customWidth="1"/>
    <col min="514" max="514" width="7.625" style="606" customWidth="1"/>
    <col min="515" max="515" width="16" style="606" customWidth="1"/>
    <col min="516" max="516" width="34.625" style="606" customWidth="1"/>
    <col min="517" max="517" width="2.25" style="606" customWidth="1"/>
    <col min="518" max="518" width="12.875" style="606" customWidth="1"/>
    <col min="519" max="519" width="14.375" style="606" customWidth="1"/>
    <col min="520" max="520" width="8.25" style="606" bestFit="1" customWidth="1"/>
    <col min="521" max="768" width="8" style="606"/>
    <col min="769" max="769" width="5.375" style="606" customWidth="1"/>
    <col min="770" max="770" width="7.625" style="606" customWidth="1"/>
    <col min="771" max="771" width="16" style="606" customWidth="1"/>
    <col min="772" max="772" width="34.625" style="606" customWidth="1"/>
    <col min="773" max="773" width="2.25" style="606" customWidth="1"/>
    <col min="774" max="774" width="12.875" style="606" customWidth="1"/>
    <col min="775" max="775" width="14.375" style="606" customWidth="1"/>
    <col min="776" max="776" width="8.25" style="606" bestFit="1" customWidth="1"/>
    <col min="777" max="1024" width="8" style="606"/>
    <col min="1025" max="1025" width="5.375" style="606" customWidth="1"/>
    <col min="1026" max="1026" width="7.625" style="606" customWidth="1"/>
    <col min="1027" max="1027" width="16" style="606" customWidth="1"/>
    <col min="1028" max="1028" width="34.625" style="606" customWidth="1"/>
    <col min="1029" max="1029" width="2.25" style="606" customWidth="1"/>
    <col min="1030" max="1030" width="12.875" style="606" customWidth="1"/>
    <col min="1031" max="1031" width="14.375" style="606" customWidth="1"/>
    <col min="1032" max="1032" width="8.25" style="606" bestFit="1" customWidth="1"/>
    <col min="1033" max="1280" width="8" style="606"/>
    <col min="1281" max="1281" width="5.375" style="606" customWidth="1"/>
    <col min="1282" max="1282" width="7.625" style="606" customWidth="1"/>
    <col min="1283" max="1283" width="16" style="606" customWidth="1"/>
    <col min="1284" max="1284" width="34.625" style="606" customWidth="1"/>
    <col min="1285" max="1285" width="2.25" style="606" customWidth="1"/>
    <col min="1286" max="1286" width="12.875" style="606" customWidth="1"/>
    <col min="1287" max="1287" width="14.375" style="606" customWidth="1"/>
    <col min="1288" max="1288" width="8.25" style="606" bestFit="1" customWidth="1"/>
    <col min="1289" max="1536" width="8" style="606"/>
    <col min="1537" max="1537" width="5.375" style="606" customWidth="1"/>
    <col min="1538" max="1538" width="7.625" style="606" customWidth="1"/>
    <col min="1539" max="1539" width="16" style="606" customWidth="1"/>
    <col min="1540" max="1540" width="34.625" style="606" customWidth="1"/>
    <col min="1541" max="1541" width="2.25" style="606" customWidth="1"/>
    <col min="1542" max="1542" width="12.875" style="606" customWidth="1"/>
    <col min="1543" max="1543" width="14.375" style="606" customWidth="1"/>
    <col min="1544" max="1544" width="8.25" style="606" bestFit="1" customWidth="1"/>
    <col min="1545" max="1792" width="8" style="606"/>
    <col min="1793" max="1793" width="5.375" style="606" customWidth="1"/>
    <col min="1794" max="1794" width="7.625" style="606" customWidth="1"/>
    <col min="1795" max="1795" width="16" style="606" customWidth="1"/>
    <col min="1796" max="1796" width="34.625" style="606" customWidth="1"/>
    <col min="1797" max="1797" width="2.25" style="606" customWidth="1"/>
    <col min="1798" max="1798" width="12.875" style="606" customWidth="1"/>
    <col min="1799" max="1799" width="14.375" style="606" customWidth="1"/>
    <col min="1800" max="1800" width="8.25" style="606" bestFit="1" customWidth="1"/>
    <col min="1801" max="2048" width="8" style="606"/>
    <col min="2049" max="2049" width="5.375" style="606" customWidth="1"/>
    <col min="2050" max="2050" width="7.625" style="606" customWidth="1"/>
    <col min="2051" max="2051" width="16" style="606" customWidth="1"/>
    <col min="2052" max="2052" width="34.625" style="606" customWidth="1"/>
    <col min="2053" max="2053" width="2.25" style="606" customWidth="1"/>
    <col min="2054" max="2054" width="12.875" style="606" customWidth="1"/>
    <col min="2055" max="2055" width="14.375" style="606" customWidth="1"/>
    <col min="2056" max="2056" width="8.25" style="606" bestFit="1" customWidth="1"/>
    <col min="2057" max="2304" width="8" style="606"/>
    <col min="2305" max="2305" width="5.375" style="606" customWidth="1"/>
    <col min="2306" max="2306" width="7.625" style="606" customWidth="1"/>
    <col min="2307" max="2307" width="16" style="606" customWidth="1"/>
    <col min="2308" max="2308" width="34.625" style="606" customWidth="1"/>
    <col min="2309" max="2309" width="2.25" style="606" customWidth="1"/>
    <col min="2310" max="2310" width="12.875" style="606" customWidth="1"/>
    <col min="2311" max="2311" width="14.375" style="606" customWidth="1"/>
    <col min="2312" max="2312" width="8.25" style="606" bestFit="1" customWidth="1"/>
    <col min="2313" max="2560" width="8" style="606"/>
    <col min="2561" max="2561" width="5.375" style="606" customWidth="1"/>
    <col min="2562" max="2562" width="7.625" style="606" customWidth="1"/>
    <col min="2563" max="2563" width="16" style="606" customWidth="1"/>
    <col min="2564" max="2564" width="34.625" style="606" customWidth="1"/>
    <col min="2565" max="2565" width="2.25" style="606" customWidth="1"/>
    <col min="2566" max="2566" width="12.875" style="606" customWidth="1"/>
    <col min="2567" max="2567" width="14.375" style="606" customWidth="1"/>
    <col min="2568" max="2568" width="8.25" style="606" bestFit="1" customWidth="1"/>
    <col min="2569" max="2816" width="8" style="606"/>
    <col min="2817" max="2817" width="5.375" style="606" customWidth="1"/>
    <col min="2818" max="2818" width="7.625" style="606" customWidth="1"/>
    <col min="2819" max="2819" width="16" style="606" customWidth="1"/>
    <col min="2820" max="2820" width="34.625" style="606" customWidth="1"/>
    <col min="2821" max="2821" width="2.25" style="606" customWidth="1"/>
    <col min="2822" max="2822" width="12.875" style="606" customWidth="1"/>
    <col min="2823" max="2823" width="14.375" style="606" customWidth="1"/>
    <col min="2824" max="2824" width="8.25" style="606" bestFit="1" customWidth="1"/>
    <col min="2825" max="3072" width="8" style="606"/>
    <col min="3073" max="3073" width="5.375" style="606" customWidth="1"/>
    <col min="3074" max="3074" width="7.625" style="606" customWidth="1"/>
    <col min="3075" max="3075" width="16" style="606" customWidth="1"/>
    <col min="3076" max="3076" width="34.625" style="606" customWidth="1"/>
    <col min="3077" max="3077" width="2.25" style="606" customWidth="1"/>
    <col min="3078" max="3078" width="12.875" style="606" customWidth="1"/>
    <col min="3079" max="3079" width="14.375" style="606" customWidth="1"/>
    <col min="3080" max="3080" width="8.25" style="606" bestFit="1" customWidth="1"/>
    <col min="3081" max="3328" width="8" style="606"/>
    <col min="3329" max="3329" width="5.375" style="606" customWidth="1"/>
    <col min="3330" max="3330" width="7.625" style="606" customWidth="1"/>
    <col min="3331" max="3331" width="16" style="606" customWidth="1"/>
    <col min="3332" max="3332" width="34.625" style="606" customWidth="1"/>
    <col min="3333" max="3333" width="2.25" style="606" customWidth="1"/>
    <col min="3334" max="3334" width="12.875" style="606" customWidth="1"/>
    <col min="3335" max="3335" width="14.375" style="606" customWidth="1"/>
    <col min="3336" max="3336" width="8.25" style="606" bestFit="1" customWidth="1"/>
    <col min="3337" max="3584" width="8" style="606"/>
    <col min="3585" max="3585" width="5.375" style="606" customWidth="1"/>
    <col min="3586" max="3586" width="7.625" style="606" customWidth="1"/>
    <col min="3587" max="3587" width="16" style="606" customWidth="1"/>
    <col min="3588" max="3588" width="34.625" style="606" customWidth="1"/>
    <col min="3589" max="3589" width="2.25" style="606" customWidth="1"/>
    <col min="3590" max="3590" width="12.875" style="606" customWidth="1"/>
    <col min="3591" max="3591" width="14.375" style="606" customWidth="1"/>
    <col min="3592" max="3592" width="8.25" style="606" bestFit="1" customWidth="1"/>
    <col min="3593" max="3840" width="8" style="606"/>
    <col min="3841" max="3841" width="5.375" style="606" customWidth="1"/>
    <col min="3842" max="3842" width="7.625" style="606" customWidth="1"/>
    <col min="3843" max="3843" width="16" style="606" customWidth="1"/>
    <col min="3844" max="3844" width="34.625" style="606" customWidth="1"/>
    <col min="3845" max="3845" width="2.25" style="606" customWidth="1"/>
    <col min="3846" max="3846" width="12.875" style="606" customWidth="1"/>
    <col min="3847" max="3847" width="14.375" style="606" customWidth="1"/>
    <col min="3848" max="3848" width="8.25" style="606" bestFit="1" customWidth="1"/>
    <col min="3849" max="4096" width="8" style="606"/>
    <col min="4097" max="4097" width="5.375" style="606" customWidth="1"/>
    <col min="4098" max="4098" width="7.625" style="606" customWidth="1"/>
    <col min="4099" max="4099" width="16" style="606" customWidth="1"/>
    <col min="4100" max="4100" width="34.625" style="606" customWidth="1"/>
    <col min="4101" max="4101" width="2.25" style="606" customWidth="1"/>
    <col min="4102" max="4102" width="12.875" style="606" customWidth="1"/>
    <col min="4103" max="4103" width="14.375" style="606" customWidth="1"/>
    <col min="4104" max="4104" width="8.25" style="606" bestFit="1" customWidth="1"/>
    <col min="4105" max="4352" width="8" style="606"/>
    <col min="4353" max="4353" width="5.375" style="606" customWidth="1"/>
    <col min="4354" max="4354" width="7.625" style="606" customWidth="1"/>
    <col min="4355" max="4355" width="16" style="606" customWidth="1"/>
    <col min="4356" max="4356" width="34.625" style="606" customWidth="1"/>
    <col min="4357" max="4357" width="2.25" style="606" customWidth="1"/>
    <col min="4358" max="4358" width="12.875" style="606" customWidth="1"/>
    <col min="4359" max="4359" width="14.375" style="606" customWidth="1"/>
    <col min="4360" max="4360" width="8.25" style="606" bestFit="1" customWidth="1"/>
    <col min="4361" max="4608" width="8" style="606"/>
    <col min="4609" max="4609" width="5.375" style="606" customWidth="1"/>
    <col min="4610" max="4610" width="7.625" style="606" customWidth="1"/>
    <col min="4611" max="4611" width="16" style="606" customWidth="1"/>
    <col min="4612" max="4612" width="34.625" style="606" customWidth="1"/>
    <col min="4613" max="4613" width="2.25" style="606" customWidth="1"/>
    <col min="4614" max="4614" width="12.875" style="606" customWidth="1"/>
    <col min="4615" max="4615" width="14.375" style="606" customWidth="1"/>
    <col min="4616" max="4616" width="8.25" style="606" bestFit="1" customWidth="1"/>
    <col min="4617" max="4864" width="8" style="606"/>
    <col min="4865" max="4865" width="5.375" style="606" customWidth="1"/>
    <col min="4866" max="4866" width="7.625" style="606" customWidth="1"/>
    <col min="4867" max="4867" width="16" style="606" customWidth="1"/>
    <col min="4868" max="4868" width="34.625" style="606" customWidth="1"/>
    <col min="4869" max="4869" width="2.25" style="606" customWidth="1"/>
    <col min="4870" max="4870" width="12.875" style="606" customWidth="1"/>
    <col min="4871" max="4871" width="14.375" style="606" customWidth="1"/>
    <col min="4872" max="4872" width="8.25" style="606" bestFit="1" customWidth="1"/>
    <col min="4873" max="5120" width="8" style="606"/>
    <col min="5121" max="5121" width="5.375" style="606" customWidth="1"/>
    <col min="5122" max="5122" width="7.625" style="606" customWidth="1"/>
    <col min="5123" max="5123" width="16" style="606" customWidth="1"/>
    <col min="5124" max="5124" width="34.625" style="606" customWidth="1"/>
    <col min="5125" max="5125" width="2.25" style="606" customWidth="1"/>
    <col min="5126" max="5126" width="12.875" style="606" customWidth="1"/>
    <col min="5127" max="5127" width="14.375" style="606" customWidth="1"/>
    <col min="5128" max="5128" width="8.25" style="606" bestFit="1" customWidth="1"/>
    <col min="5129" max="5376" width="8" style="606"/>
    <col min="5377" max="5377" width="5.375" style="606" customWidth="1"/>
    <col min="5378" max="5378" width="7.625" style="606" customWidth="1"/>
    <col min="5379" max="5379" width="16" style="606" customWidth="1"/>
    <col min="5380" max="5380" width="34.625" style="606" customWidth="1"/>
    <col min="5381" max="5381" width="2.25" style="606" customWidth="1"/>
    <col min="5382" max="5382" width="12.875" style="606" customWidth="1"/>
    <col min="5383" max="5383" width="14.375" style="606" customWidth="1"/>
    <col min="5384" max="5384" width="8.25" style="606" bestFit="1" customWidth="1"/>
    <col min="5385" max="5632" width="8" style="606"/>
    <col min="5633" max="5633" width="5.375" style="606" customWidth="1"/>
    <col min="5634" max="5634" width="7.625" style="606" customWidth="1"/>
    <col min="5635" max="5635" width="16" style="606" customWidth="1"/>
    <col min="5636" max="5636" width="34.625" style="606" customWidth="1"/>
    <col min="5637" max="5637" width="2.25" style="606" customWidth="1"/>
    <col min="5638" max="5638" width="12.875" style="606" customWidth="1"/>
    <col min="5639" max="5639" width="14.375" style="606" customWidth="1"/>
    <col min="5640" max="5640" width="8.25" style="606" bestFit="1" customWidth="1"/>
    <col min="5641" max="5888" width="8" style="606"/>
    <col min="5889" max="5889" width="5.375" style="606" customWidth="1"/>
    <col min="5890" max="5890" width="7.625" style="606" customWidth="1"/>
    <col min="5891" max="5891" width="16" style="606" customWidth="1"/>
    <col min="5892" max="5892" width="34.625" style="606" customWidth="1"/>
    <col min="5893" max="5893" width="2.25" style="606" customWidth="1"/>
    <col min="5894" max="5894" width="12.875" style="606" customWidth="1"/>
    <col min="5895" max="5895" width="14.375" style="606" customWidth="1"/>
    <col min="5896" max="5896" width="8.25" style="606" bestFit="1" customWidth="1"/>
    <col min="5897" max="6144" width="8" style="606"/>
    <col min="6145" max="6145" width="5.375" style="606" customWidth="1"/>
    <col min="6146" max="6146" width="7.625" style="606" customWidth="1"/>
    <col min="6147" max="6147" width="16" style="606" customWidth="1"/>
    <col min="6148" max="6148" width="34.625" style="606" customWidth="1"/>
    <col min="6149" max="6149" width="2.25" style="606" customWidth="1"/>
    <col min="6150" max="6150" width="12.875" style="606" customWidth="1"/>
    <col min="6151" max="6151" width="14.375" style="606" customWidth="1"/>
    <col min="6152" max="6152" width="8.25" style="606" bestFit="1" customWidth="1"/>
    <col min="6153" max="6400" width="8" style="606"/>
    <col min="6401" max="6401" width="5.375" style="606" customWidth="1"/>
    <col min="6402" max="6402" width="7.625" style="606" customWidth="1"/>
    <col min="6403" max="6403" width="16" style="606" customWidth="1"/>
    <col min="6404" max="6404" width="34.625" style="606" customWidth="1"/>
    <col min="6405" max="6405" width="2.25" style="606" customWidth="1"/>
    <col min="6406" max="6406" width="12.875" style="606" customWidth="1"/>
    <col min="6407" max="6407" width="14.375" style="606" customWidth="1"/>
    <col min="6408" max="6408" width="8.25" style="606" bestFit="1" customWidth="1"/>
    <col min="6409" max="6656" width="8" style="606"/>
    <col min="6657" max="6657" width="5.375" style="606" customWidth="1"/>
    <col min="6658" max="6658" width="7.625" style="606" customWidth="1"/>
    <col min="6659" max="6659" width="16" style="606" customWidth="1"/>
    <col min="6660" max="6660" width="34.625" style="606" customWidth="1"/>
    <col min="6661" max="6661" width="2.25" style="606" customWidth="1"/>
    <col min="6662" max="6662" width="12.875" style="606" customWidth="1"/>
    <col min="6663" max="6663" width="14.375" style="606" customWidth="1"/>
    <col min="6664" max="6664" width="8.25" style="606" bestFit="1" customWidth="1"/>
    <col min="6665" max="6912" width="8" style="606"/>
    <col min="6913" max="6913" width="5.375" style="606" customWidth="1"/>
    <col min="6914" max="6914" width="7.625" style="606" customWidth="1"/>
    <col min="6915" max="6915" width="16" style="606" customWidth="1"/>
    <col min="6916" max="6916" width="34.625" style="606" customWidth="1"/>
    <col min="6917" max="6917" width="2.25" style="606" customWidth="1"/>
    <col min="6918" max="6918" width="12.875" style="606" customWidth="1"/>
    <col min="6919" max="6919" width="14.375" style="606" customWidth="1"/>
    <col min="6920" max="6920" width="8.25" style="606" bestFit="1" customWidth="1"/>
    <col min="6921" max="7168" width="8" style="606"/>
    <col min="7169" max="7169" width="5.375" style="606" customWidth="1"/>
    <col min="7170" max="7170" width="7.625" style="606" customWidth="1"/>
    <col min="7171" max="7171" width="16" style="606" customWidth="1"/>
    <col min="7172" max="7172" width="34.625" style="606" customWidth="1"/>
    <col min="7173" max="7173" width="2.25" style="606" customWidth="1"/>
    <col min="7174" max="7174" width="12.875" style="606" customWidth="1"/>
    <col min="7175" max="7175" width="14.375" style="606" customWidth="1"/>
    <col min="7176" max="7176" width="8.25" style="606" bestFit="1" customWidth="1"/>
    <col min="7177" max="7424" width="8" style="606"/>
    <col min="7425" max="7425" width="5.375" style="606" customWidth="1"/>
    <col min="7426" max="7426" width="7.625" style="606" customWidth="1"/>
    <col min="7427" max="7427" width="16" style="606" customWidth="1"/>
    <col min="7428" max="7428" width="34.625" style="606" customWidth="1"/>
    <col min="7429" max="7429" width="2.25" style="606" customWidth="1"/>
    <col min="7430" max="7430" width="12.875" style="606" customWidth="1"/>
    <col min="7431" max="7431" width="14.375" style="606" customWidth="1"/>
    <col min="7432" max="7432" width="8.25" style="606" bestFit="1" customWidth="1"/>
    <col min="7433" max="7680" width="8" style="606"/>
    <col min="7681" max="7681" width="5.375" style="606" customWidth="1"/>
    <col min="7682" max="7682" width="7.625" style="606" customWidth="1"/>
    <col min="7683" max="7683" width="16" style="606" customWidth="1"/>
    <col min="7684" max="7684" width="34.625" style="606" customWidth="1"/>
    <col min="7685" max="7685" width="2.25" style="606" customWidth="1"/>
    <col min="7686" max="7686" width="12.875" style="606" customWidth="1"/>
    <col min="7687" max="7687" width="14.375" style="606" customWidth="1"/>
    <col min="7688" max="7688" width="8.25" style="606" bestFit="1" customWidth="1"/>
    <col min="7689" max="7936" width="8" style="606"/>
    <col min="7937" max="7937" width="5.375" style="606" customWidth="1"/>
    <col min="7938" max="7938" width="7.625" style="606" customWidth="1"/>
    <col min="7939" max="7939" width="16" style="606" customWidth="1"/>
    <col min="7940" max="7940" width="34.625" style="606" customWidth="1"/>
    <col min="7941" max="7941" width="2.25" style="606" customWidth="1"/>
    <col min="7942" max="7942" width="12.875" style="606" customWidth="1"/>
    <col min="7943" max="7943" width="14.375" style="606" customWidth="1"/>
    <col min="7944" max="7944" width="8.25" style="606" bestFit="1" customWidth="1"/>
    <col min="7945" max="8192" width="8" style="606"/>
    <col min="8193" max="8193" width="5.375" style="606" customWidth="1"/>
    <col min="8194" max="8194" width="7.625" style="606" customWidth="1"/>
    <col min="8195" max="8195" width="16" style="606" customWidth="1"/>
    <col min="8196" max="8196" width="34.625" style="606" customWidth="1"/>
    <col min="8197" max="8197" width="2.25" style="606" customWidth="1"/>
    <col min="8198" max="8198" width="12.875" style="606" customWidth="1"/>
    <col min="8199" max="8199" width="14.375" style="606" customWidth="1"/>
    <col min="8200" max="8200" width="8.25" style="606" bestFit="1" customWidth="1"/>
    <col min="8201" max="8448" width="8" style="606"/>
    <col min="8449" max="8449" width="5.375" style="606" customWidth="1"/>
    <col min="8450" max="8450" width="7.625" style="606" customWidth="1"/>
    <col min="8451" max="8451" width="16" style="606" customWidth="1"/>
    <col min="8452" max="8452" width="34.625" style="606" customWidth="1"/>
    <col min="8453" max="8453" width="2.25" style="606" customWidth="1"/>
    <col min="8454" max="8454" width="12.875" style="606" customWidth="1"/>
    <col min="8455" max="8455" width="14.375" style="606" customWidth="1"/>
    <col min="8456" max="8456" width="8.25" style="606" bestFit="1" customWidth="1"/>
    <col min="8457" max="8704" width="8" style="606"/>
    <col min="8705" max="8705" width="5.375" style="606" customWidth="1"/>
    <col min="8706" max="8706" width="7.625" style="606" customWidth="1"/>
    <col min="8707" max="8707" width="16" style="606" customWidth="1"/>
    <col min="8708" max="8708" width="34.625" style="606" customWidth="1"/>
    <col min="8709" max="8709" width="2.25" style="606" customWidth="1"/>
    <col min="8710" max="8710" width="12.875" style="606" customWidth="1"/>
    <col min="8711" max="8711" width="14.375" style="606" customWidth="1"/>
    <col min="8712" max="8712" width="8.25" style="606" bestFit="1" customWidth="1"/>
    <col min="8713" max="8960" width="8" style="606"/>
    <col min="8961" max="8961" width="5.375" style="606" customWidth="1"/>
    <col min="8962" max="8962" width="7.625" style="606" customWidth="1"/>
    <col min="8963" max="8963" width="16" style="606" customWidth="1"/>
    <col min="8964" max="8964" width="34.625" style="606" customWidth="1"/>
    <col min="8965" max="8965" width="2.25" style="606" customWidth="1"/>
    <col min="8966" max="8966" width="12.875" style="606" customWidth="1"/>
    <col min="8967" max="8967" width="14.375" style="606" customWidth="1"/>
    <col min="8968" max="8968" width="8.25" style="606" bestFit="1" customWidth="1"/>
    <col min="8969" max="9216" width="8" style="606"/>
    <col min="9217" max="9217" width="5.375" style="606" customWidth="1"/>
    <col min="9218" max="9218" width="7.625" style="606" customWidth="1"/>
    <col min="9219" max="9219" width="16" style="606" customWidth="1"/>
    <col min="9220" max="9220" width="34.625" style="606" customWidth="1"/>
    <col min="9221" max="9221" width="2.25" style="606" customWidth="1"/>
    <col min="9222" max="9222" width="12.875" style="606" customWidth="1"/>
    <col min="9223" max="9223" width="14.375" style="606" customWidth="1"/>
    <col min="9224" max="9224" width="8.25" style="606" bestFit="1" customWidth="1"/>
    <col min="9225" max="9472" width="8" style="606"/>
    <col min="9473" max="9473" width="5.375" style="606" customWidth="1"/>
    <col min="9474" max="9474" width="7.625" style="606" customWidth="1"/>
    <col min="9475" max="9475" width="16" style="606" customWidth="1"/>
    <col min="9476" max="9476" width="34.625" style="606" customWidth="1"/>
    <col min="9477" max="9477" width="2.25" style="606" customWidth="1"/>
    <col min="9478" max="9478" width="12.875" style="606" customWidth="1"/>
    <col min="9479" max="9479" width="14.375" style="606" customWidth="1"/>
    <col min="9480" max="9480" width="8.25" style="606" bestFit="1" customWidth="1"/>
    <col min="9481" max="9728" width="8" style="606"/>
    <col min="9729" max="9729" width="5.375" style="606" customWidth="1"/>
    <col min="9730" max="9730" width="7.625" style="606" customWidth="1"/>
    <col min="9731" max="9731" width="16" style="606" customWidth="1"/>
    <col min="9732" max="9732" width="34.625" style="606" customWidth="1"/>
    <col min="9733" max="9733" width="2.25" style="606" customWidth="1"/>
    <col min="9734" max="9734" width="12.875" style="606" customWidth="1"/>
    <col min="9735" max="9735" width="14.375" style="606" customWidth="1"/>
    <col min="9736" max="9736" width="8.25" style="606" bestFit="1" customWidth="1"/>
    <col min="9737" max="9984" width="8" style="606"/>
    <col min="9985" max="9985" width="5.375" style="606" customWidth="1"/>
    <col min="9986" max="9986" width="7.625" style="606" customWidth="1"/>
    <col min="9987" max="9987" width="16" style="606" customWidth="1"/>
    <col min="9988" max="9988" width="34.625" style="606" customWidth="1"/>
    <col min="9989" max="9989" width="2.25" style="606" customWidth="1"/>
    <col min="9990" max="9990" width="12.875" style="606" customWidth="1"/>
    <col min="9991" max="9991" width="14.375" style="606" customWidth="1"/>
    <col min="9992" max="9992" width="8.25" style="606" bestFit="1" customWidth="1"/>
    <col min="9993" max="10240" width="8" style="606"/>
    <col min="10241" max="10241" width="5.375" style="606" customWidth="1"/>
    <col min="10242" max="10242" width="7.625" style="606" customWidth="1"/>
    <col min="10243" max="10243" width="16" style="606" customWidth="1"/>
    <col min="10244" max="10244" width="34.625" style="606" customWidth="1"/>
    <col min="10245" max="10245" width="2.25" style="606" customWidth="1"/>
    <col min="10246" max="10246" width="12.875" style="606" customWidth="1"/>
    <col min="10247" max="10247" width="14.375" style="606" customWidth="1"/>
    <col min="10248" max="10248" width="8.25" style="606" bestFit="1" customWidth="1"/>
    <col min="10249" max="10496" width="8" style="606"/>
    <col min="10497" max="10497" width="5.375" style="606" customWidth="1"/>
    <col min="10498" max="10498" width="7.625" style="606" customWidth="1"/>
    <col min="10499" max="10499" width="16" style="606" customWidth="1"/>
    <col min="10500" max="10500" width="34.625" style="606" customWidth="1"/>
    <col min="10501" max="10501" width="2.25" style="606" customWidth="1"/>
    <col min="10502" max="10502" width="12.875" style="606" customWidth="1"/>
    <col min="10503" max="10503" width="14.375" style="606" customWidth="1"/>
    <col min="10504" max="10504" width="8.25" style="606" bestFit="1" customWidth="1"/>
    <col min="10505" max="10752" width="8" style="606"/>
    <col min="10753" max="10753" width="5.375" style="606" customWidth="1"/>
    <col min="10754" max="10754" width="7.625" style="606" customWidth="1"/>
    <col min="10755" max="10755" width="16" style="606" customWidth="1"/>
    <col min="10756" max="10756" width="34.625" style="606" customWidth="1"/>
    <col min="10757" max="10757" width="2.25" style="606" customWidth="1"/>
    <col min="10758" max="10758" width="12.875" style="606" customWidth="1"/>
    <col min="10759" max="10759" width="14.375" style="606" customWidth="1"/>
    <col min="10760" max="10760" width="8.25" style="606" bestFit="1" customWidth="1"/>
    <col min="10761" max="11008" width="8" style="606"/>
    <col min="11009" max="11009" width="5.375" style="606" customWidth="1"/>
    <col min="11010" max="11010" width="7.625" style="606" customWidth="1"/>
    <col min="11011" max="11011" width="16" style="606" customWidth="1"/>
    <col min="11012" max="11012" width="34.625" style="606" customWidth="1"/>
    <col min="11013" max="11013" width="2.25" style="606" customWidth="1"/>
    <col min="11014" max="11014" width="12.875" style="606" customWidth="1"/>
    <col min="11015" max="11015" width="14.375" style="606" customWidth="1"/>
    <col min="11016" max="11016" width="8.25" style="606" bestFit="1" customWidth="1"/>
    <col min="11017" max="11264" width="8" style="606"/>
    <col min="11265" max="11265" width="5.375" style="606" customWidth="1"/>
    <col min="11266" max="11266" width="7.625" style="606" customWidth="1"/>
    <col min="11267" max="11267" width="16" style="606" customWidth="1"/>
    <col min="11268" max="11268" width="34.625" style="606" customWidth="1"/>
    <col min="11269" max="11269" width="2.25" style="606" customWidth="1"/>
    <col min="11270" max="11270" width="12.875" style="606" customWidth="1"/>
    <col min="11271" max="11271" width="14.375" style="606" customWidth="1"/>
    <col min="11272" max="11272" width="8.25" style="606" bestFit="1" customWidth="1"/>
    <col min="11273" max="11520" width="8" style="606"/>
    <col min="11521" max="11521" width="5.375" style="606" customWidth="1"/>
    <col min="11522" max="11522" width="7.625" style="606" customWidth="1"/>
    <col min="11523" max="11523" width="16" style="606" customWidth="1"/>
    <col min="11524" max="11524" width="34.625" style="606" customWidth="1"/>
    <col min="11525" max="11525" width="2.25" style="606" customWidth="1"/>
    <col min="11526" max="11526" width="12.875" style="606" customWidth="1"/>
    <col min="11527" max="11527" width="14.375" style="606" customWidth="1"/>
    <col min="11528" max="11528" width="8.25" style="606" bestFit="1" customWidth="1"/>
    <col min="11529" max="11776" width="8" style="606"/>
    <col min="11777" max="11777" width="5.375" style="606" customWidth="1"/>
    <col min="11778" max="11778" width="7.625" style="606" customWidth="1"/>
    <col min="11779" max="11779" width="16" style="606" customWidth="1"/>
    <col min="11780" max="11780" width="34.625" style="606" customWidth="1"/>
    <col min="11781" max="11781" width="2.25" style="606" customWidth="1"/>
    <col min="11782" max="11782" width="12.875" style="606" customWidth="1"/>
    <col min="11783" max="11783" width="14.375" style="606" customWidth="1"/>
    <col min="11784" max="11784" width="8.25" style="606" bestFit="1" customWidth="1"/>
    <col min="11785" max="12032" width="8" style="606"/>
    <col min="12033" max="12033" width="5.375" style="606" customWidth="1"/>
    <col min="12034" max="12034" width="7.625" style="606" customWidth="1"/>
    <col min="12035" max="12035" width="16" style="606" customWidth="1"/>
    <col min="12036" max="12036" width="34.625" style="606" customWidth="1"/>
    <col min="12037" max="12037" width="2.25" style="606" customWidth="1"/>
    <col min="12038" max="12038" width="12.875" style="606" customWidth="1"/>
    <col min="12039" max="12039" width="14.375" style="606" customWidth="1"/>
    <col min="12040" max="12040" width="8.25" style="606" bestFit="1" customWidth="1"/>
    <col min="12041" max="12288" width="8" style="606"/>
    <col min="12289" max="12289" width="5.375" style="606" customWidth="1"/>
    <col min="12290" max="12290" width="7.625" style="606" customWidth="1"/>
    <col min="12291" max="12291" width="16" style="606" customWidth="1"/>
    <col min="12292" max="12292" width="34.625" style="606" customWidth="1"/>
    <col min="12293" max="12293" width="2.25" style="606" customWidth="1"/>
    <col min="12294" max="12294" width="12.875" style="606" customWidth="1"/>
    <col min="12295" max="12295" width="14.375" style="606" customWidth="1"/>
    <col min="12296" max="12296" width="8.25" style="606" bestFit="1" customWidth="1"/>
    <col min="12297" max="12544" width="8" style="606"/>
    <col min="12545" max="12545" width="5.375" style="606" customWidth="1"/>
    <col min="12546" max="12546" width="7.625" style="606" customWidth="1"/>
    <col min="12547" max="12547" width="16" style="606" customWidth="1"/>
    <col min="12548" max="12548" width="34.625" style="606" customWidth="1"/>
    <col min="12549" max="12549" width="2.25" style="606" customWidth="1"/>
    <col min="12550" max="12550" width="12.875" style="606" customWidth="1"/>
    <col min="12551" max="12551" width="14.375" style="606" customWidth="1"/>
    <col min="12552" max="12552" width="8.25" style="606" bestFit="1" customWidth="1"/>
    <col min="12553" max="12800" width="8" style="606"/>
    <col min="12801" max="12801" width="5.375" style="606" customWidth="1"/>
    <col min="12802" max="12802" width="7.625" style="606" customWidth="1"/>
    <col min="12803" max="12803" width="16" style="606" customWidth="1"/>
    <col min="12804" max="12804" width="34.625" style="606" customWidth="1"/>
    <col min="12805" max="12805" width="2.25" style="606" customWidth="1"/>
    <col min="12806" max="12806" width="12.875" style="606" customWidth="1"/>
    <col min="12807" max="12807" width="14.375" style="606" customWidth="1"/>
    <col min="12808" max="12808" width="8.25" style="606" bestFit="1" customWidth="1"/>
    <col min="12809" max="13056" width="8" style="606"/>
    <col min="13057" max="13057" width="5.375" style="606" customWidth="1"/>
    <col min="13058" max="13058" width="7.625" style="606" customWidth="1"/>
    <col min="13059" max="13059" width="16" style="606" customWidth="1"/>
    <col min="13060" max="13060" width="34.625" style="606" customWidth="1"/>
    <col min="13061" max="13061" width="2.25" style="606" customWidth="1"/>
    <col min="13062" max="13062" width="12.875" style="606" customWidth="1"/>
    <col min="13063" max="13063" width="14.375" style="606" customWidth="1"/>
    <col min="13064" max="13064" width="8.25" style="606" bestFit="1" customWidth="1"/>
    <col min="13065" max="13312" width="8" style="606"/>
    <col min="13313" max="13313" width="5.375" style="606" customWidth="1"/>
    <col min="13314" max="13314" width="7.625" style="606" customWidth="1"/>
    <col min="13315" max="13315" width="16" style="606" customWidth="1"/>
    <col min="13316" max="13316" width="34.625" style="606" customWidth="1"/>
    <col min="13317" max="13317" width="2.25" style="606" customWidth="1"/>
    <col min="13318" max="13318" width="12.875" style="606" customWidth="1"/>
    <col min="13319" max="13319" width="14.375" style="606" customWidth="1"/>
    <col min="13320" max="13320" width="8.25" style="606" bestFit="1" customWidth="1"/>
    <col min="13321" max="13568" width="8" style="606"/>
    <col min="13569" max="13569" width="5.375" style="606" customWidth="1"/>
    <col min="13570" max="13570" width="7.625" style="606" customWidth="1"/>
    <col min="13571" max="13571" width="16" style="606" customWidth="1"/>
    <col min="13572" max="13572" width="34.625" style="606" customWidth="1"/>
    <col min="13573" max="13573" width="2.25" style="606" customWidth="1"/>
    <col min="13574" max="13574" width="12.875" style="606" customWidth="1"/>
    <col min="13575" max="13575" width="14.375" style="606" customWidth="1"/>
    <col min="13576" max="13576" width="8.25" style="606" bestFit="1" customWidth="1"/>
    <col min="13577" max="13824" width="8" style="606"/>
    <col min="13825" max="13825" width="5.375" style="606" customWidth="1"/>
    <col min="13826" max="13826" width="7.625" style="606" customWidth="1"/>
    <col min="13827" max="13827" width="16" style="606" customWidth="1"/>
    <col min="13828" max="13828" width="34.625" style="606" customWidth="1"/>
    <col min="13829" max="13829" width="2.25" style="606" customWidth="1"/>
    <col min="13830" max="13830" width="12.875" style="606" customWidth="1"/>
    <col min="13831" max="13831" width="14.375" style="606" customWidth="1"/>
    <col min="13832" max="13832" width="8.25" style="606" bestFit="1" customWidth="1"/>
    <col min="13833" max="14080" width="8" style="606"/>
    <col min="14081" max="14081" width="5.375" style="606" customWidth="1"/>
    <col min="14082" max="14082" width="7.625" style="606" customWidth="1"/>
    <col min="14083" max="14083" width="16" style="606" customWidth="1"/>
    <col min="14084" max="14084" width="34.625" style="606" customWidth="1"/>
    <col min="14085" max="14085" width="2.25" style="606" customWidth="1"/>
    <col min="14086" max="14086" width="12.875" style="606" customWidth="1"/>
    <col min="14087" max="14087" width="14.375" style="606" customWidth="1"/>
    <col min="14088" max="14088" width="8.25" style="606" bestFit="1" customWidth="1"/>
    <col min="14089" max="14336" width="8" style="606"/>
    <col min="14337" max="14337" width="5.375" style="606" customWidth="1"/>
    <col min="14338" max="14338" width="7.625" style="606" customWidth="1"/>
    <col min="14339" max="14339" width="16" style="606" customWidth="1"/>
    <col min="14340" max="14340" width="34.625" style="606" customWidth="1"/>
    <col min="14341" max="14341" width="2.25" style="606" customWidth="1"/>
    <col min="14342" max="14342" width="12.875" style="606" customWidth="1"/>
    <col min="14343" max="14343" width="14.375" style="606" customWidth="1"/>
    <col min="14344" max="14344" width="8.25" style="606" bestFit="1" customWidth="1"/>
    <col min="14345" max="14592" width="8" style="606"/>
    <col min="14593" max="14593" width="5.375" style="606" customWidth="1"/>
    <col min="14594" max="14594" width="7.625" style="606" customWidth="1"/>
    <col min="14595" max="14595" width="16" style="606" customWidth="1"/>
    <col min="14596" max="14596" width="34.625" style="606" customWidth="1"/>
    <col min="14597" max="14597" width="2.25" style="606" customWidth="1"/>
    <col min="14598" max="14598" width="12.875" style="606" customWidth="1"/>
    <col min="14599" max="14599" width="14.375" style="606" customWidth="1"/>
    <col min="14600" max="14600" width="8.25" style="606" bestFit="1" customWidth="1"/>
    <col min="14601" max="14848" width="8" style="606"/>
    <col min="14849" max="14849" width="5.375" style="606" customWidth="1"/>
    <col min="14850" max="14850" width="7.625" style="606" customWidth="1"/>
    <col min="14851" max="14851" width="16" style="606" customWidth="1"/>
    <col min="14852" max="14852" width="34.625" style="606" customWidth="1"/>
    <col min="14853" max="14853" width="2.25" style="606" customWidth="1"/>
    <col min="14854" max="14854" width="12.875" style="606" customWidth="1"/>
    <col min="14855" max="14855" width="14.375" style="606" customWidth="1"/>
    <col min="14856" max="14856" width="8.25" style="606" bestFit="1" customWidth="1"/>
    <col min="14857" max="15104" width="8" style="606"/>
    <col min="15105" max="15105" width="5.375" style="606" customWidth="1"/>
    <col min="15106" max="15106" width="7.625" style="606" customWidth="1"/>
    <col min="15107" max="15107" width="16" style="606" customWidth="1"/>
    <col min="15108" max="15108" width="34.625" style="606" customWidth="1"/>
    <col min="15109" max="15109" width="2.25" style="606" customWidth="1"/>
    <col min="15110" max="15110" width="12.875" style="606" customWidth="1"/>
    <col min="15111" max="15111" width="14.375" style="606" customWidth="1"/>
    <col min="15112" max="15112" width="8.25" style="606" bestFit="1" customWidth="1"/>
    <col min="15113" max="15360" width="8" style="606"/>
    <col min="15361" max="15361" width="5.375" style="606" customWidth="1"/>
    <col min="15362" max="15362" width="7.625" style="606" customWidth="1"/>
    <col min="15363" max="15363" width="16" style="606" customWidth="1"/>
    <col min="15364" max="15364" width="34.625" style="606" customWidth="1"/>
    <col min="15365" max="15365" width="2.25" style="606" customWidth="1"/>
    <col min="15366" max="15366" width="12.875" style="606" customWidth="1"/>
    <col min="15367" max="15367" width="14.375" style="606" customWidth="1"/>
    <col min="15368" max="15368" width="8.25" style="606" bestFit="1" customWidth="1"/>
    <col min="15369" max="15616" width="8" style="606"/>
    <col min="15617" max="15617" width="5.375" style="606" customWidth="1"/>
    <col min="15618" max="15618" width="7.625" style="606" customWidth="1"/>
    <col min="15619" max="15619" width="16" style="606" customWidth="1"/>
    <col min="15620" max="15620" width="34.625" style="606" customWidth="1"/>
    <col min="15621" max="15621" width="2.25" style="606" customWidth="1"/>
    <col min="15622" max="15622" width="12.875" style="606" customWidth="1"/>
    <col min="15623" max="15623" width="14.375" style="606" customWidth="1"/>
    <col min="15624" max="15624" width="8.25" style="606" bestFit="1" customWidth="1"/>
    <col min="15625" max="15872" width="8" style="606"/>
    <col min="15873" max="15873" width="5.375" style="606" customWidth="1"/>
    <col min="15874" max="15874" width="7.625" style="606" customWidth="1"/>
    <col min="15875" max="15875" width="16" style="606" customWidth="1"/>
    <col min="15876" max="15876" width="34.625" style="606" customWidth="1"/>
    <col min="15877" max="15877" width="2.25" style="606" customWidth="1"/>
    <col min="15878" max="15878" width="12.875" style="606" customWidth="1"/>
    <col min="15879" max="15879" width="14.375" style="606" customWidth="1"/>
    <col min="15880" max="15880" width="8.25" style="606" bestFit="1" customWidth="1"/>
    <col min="15881" max="16128" width="8" style="606"/>
    <col min="16129" max="16129" width="5.375" style="606" customWidth="1"/>
    <col min="16130" max="16130" width="7.625" style="606" customWidth="1"/>
    <col min="16131" max="16131" width="16" style="606" customWidth="1"/>
    <col min="16132" max="16132" width="34.625" style="606" customWidth="1"/>
    <col min="16133" max="16133" width="2.25" style="606" customWidth="1"/>
    <col min="16134" max="16134" width="12.875" style="606" customWidth="1"/>
    <col min="16135" max="16135" width="14.375" style="606" customWidth="1"/>
    <col min="16136" max="16136" width="8.25" style="606" bestFit="1" customWidth="1"/>
    <col min="16137" max="16384" width="8" style="606"/>
  </cols>
  <sheetData>
    <row r="1" spans="1:8" s="600" customFormat="1" ht="15" customHeight="1">
      <c r="A1" s="597"/>
      <c r="B1" s="597"/>
      <c r="C1" s="598"/>
      <c r="D1" s="1182" t="s">
        <v>1202</v>
      </c>
      <c r="E1" s="1182"/>
      <c r="F1" s="1182"/>
      <c r="G1" s="1182"/>
      <c r="H1" s="599"/>
    </row>
    <row r="2" spans="1:8" s="600" customFormat="1" ht="15" customHeight="1">
      <c r="A2" s="597"/>
      <c r="B2" s="597"/>
      <c r="C2" s="598"/>
      <c r="D2" s="1183" t="s">
        <v>1134</v>
      </c>
      <c r="E2" s="1183"/>
      <c r="F2" s="1183"/>
      <c r="G2" s="1183"/>
      <c r="H2" s="599"/>
    </row>
    <row r="3" spans="1:8" s="600" customFormat="1" ht="9.75" customHeight="1">
      <c r="A3" s="597"/>
      <c r="B3" s="597"/>
      <c r="C3" s="599"/>
      <c r="D3" s="1183" t="s">
        <v>1135</v>
      </c>
      <c r="E3" s="1183"/>
      <c r="F3" s="1183"/>
      <c r="G3" s="1183"/>
      <c r="H3" s="599"/>
    </row>
    <row r="4" spans="1:8" s="600" customFormat="1" ht="42" customHeight="1">
      <c r="A4" s="1184" t="s">
        <v>1136</v>
      </c>
      <c r="B4" s="1184"/>
      <c r="C4" s="1184"/>
      <c r="D4" s="1184"/>
      <c r="E4" s="1184"/>
      <c r="F4" s="1184"/>
      <c r="G4" s="1184"/>
      <c r="H4" s="599"/>
    </row>
    <row r="5" spans="1:8" ht="11.25" customHeight="1">
      <c r="F5" s="604"/>
      <c r="G5" s="605" t="s">
        <v>0</v>
      </c>
    </row>
    <row r="6" spans="1:8" s="608" customFormat="1" ht="25.5" customHeight="1">
      <c r="A6" s="1185" t="s">
        <v>1</v>
      </c>
      <c r="B6" s="1185" t="s">
        <v>2</v>
      </c>
      <c r="C6" s="1187" t="s">
        <v>521</v>
      </c>
      <c r="D6" s="1188"/>
      <c r="E6" s="1189" t="s">
        <v>3</v>
      </c>
      <c r="F6" s="1191" t="s">
        <v>1137</v>
      </c>
      <c r="G6" s="1189" t="s">
        <v>1138</v>
      </c>
      <c r="H6" s="607"/>
    </row>
    <row r="7" spans="1:8" s="608" customFormat="1" ht="29.25" customHeight="1">
      <c r="A7" s="1186"/>
      <c r="B7" s="1186"/>
      <c r="C7" s="609" t="s">
        <v>1139</v>
      </c>
      <c r="D7" s="609" t="s">
        <v>1140</v>
      </c>
      <c r="E7" s="1190"/>
      <c r="F7" s="1192"/>
      <c r="G7" s="1190"/>
      <c r="H7" s="607"/>
    </row>
    <row r="8" spans="1:8" s="614" customFormat="1" ht="11.25">
      <c r="A8" s="610">
        <v>1</v>
      </c>
      <c r="B8" s="610">
        <v>2</v>
      </c>
      <c r="C8" s="611">
        <v>3</v>
      </c>
      <c r="D8" s="611">
        <v>4</v>
      </c>
      <c r="E8" s="611">
        <v>5</v>
      </c>
      <c r="F8" s="612">
        <v>6</v>
      </c>
      <c r="G8" s="611">
        <v>7</v>
      </c>
      <c r="H8" s="613"/>
    </row>
    <row r="9" spans="1:8" s="617" customFormat="1" ht="15" customHeight="1">
      <c r="A9" s="1193" t="s">
        <v>4</v>
      </c>
      <c r="B9" s="1194"/>
      <c r="C9" s="1194"/>
      <c r="D9" s="1195"/>
      <c r="E9" s="615" t="s">
        <v>5</v>
      </c>
      <c r="F9" s="616">
        <f t="shared" ref="F9:G11" si="0">F12+F15+F18+F21+F24+F27+F30</f>
        <v>8914475</v>
      </c>
      <c r="G9" s="616">
        <f t="shared" si="0"/>
        <v>8949975</v>
      </c>
    </row>
    <row r="10" spans="1:8" s="617" customFormat="1" ht="15" customHeight="1">
      <c r="A10" s="1196"/>
      <c r="B10" s="1197"/>
      <c r="C10" s="1197"/>
      <c r="D10" s="1198"/>
      <c r="E10" s="615" t="s">
        <v>6</v>
      </c>
      <c r="F10" s="616">
        <f t="shared" si="0"/>
        <v>30366</v>
      </c>
      <c r="G10" s="616">
        <f t="shared" si="0"/>
        <v>30366</v>
      </c>
    </row>
    <row r="11" spans="1:8" s="617" customFormat="1" ht="15" customHeight="1">
      <c r="A11" s="1199"/>
      <c r="B11" s="1200"/>
      <c r="C11" s="1200"/>
      <c r="D11" s="1201"/>
      <c r="E11" s="615" t="s">
        <v>7</v>
      </c>
      <c r="F11" s="616">
        <f t="shared" si="0"/>
        <v>8944841</v>
      </c>
      <c r="G11" s="616">
        <f t="shared" si="0"/>
        <v>8980341</v>
      </c>
    </row>
    <row r="12" spans="1:8" s="530" customFormat="1" ht="15" hidden="1" customHeight="1">
      <c r="A12" s="618" t="s">
        <v>8</v>
      </c>
      <c r="B12" s="618" t="s">
        <v>83</v>
      </c>
      <c r="C12" s="1179" t="s">
        <v>1141</v>
      </c>
      <c r="D12" s="1179" t="s">
        <v>1142</v>
      </c>
      <c r="E12" s="619" t="s">
        <v>5</v>
      </c>
      <c r="F12" s="620">
        <v>4850000</v>
      </c>
      <c r="G12" s="621">
        <v>4850000</v>
      </c>
      <c r="H12" s="622"/>
    </row>
    <row r="13" spans="1:8" s="530" customFormat="1" ht="15" hidden="1" customHeight="1">
      <c r="A13" s="623"/>
      <c r="B13" s="623"/>
      <c r="C13" s="1202"/>
      <c r="D13" s="1180"/>
      <c r="E13" s="619" t="s">
        <v>6</v>
      </c>
      <c r="F13" s="620">
        <v>0</v>
      </c>
      <c r="G13" s="621">
        <v>0</v>
      </c>
      <c r="H13" s="622"/>
    </row>
    <row r="14" spans="1:8" s="530" customFormat="1" ht="15" hidden="1" customHeight="1">
      <c r="A14" s="623"/>
      <c r="B14" s="623"/>
      <c r="C14" s="1203"/>
      <c r="D14" s="1181"/>
      <c r="E14" s="619" t="s">
        <v>7</v>
      </c>
      <c r="F14" s="620">
        <f>F12+F13</f>
        <v>4850000</v>
      </c>
      <c r="G14" s="620">
        <f>G12+G13</f>
        <v>4850000</v>
      </c>
      <c r="H14" s="622"/>
    </row>
    <row r="15" spans="1:8" s="530" customFormat="1" ht="24" hidden="1" customHeight="1">
      <c r="A15" s="623"/>
      <c r="B15" s="623"/>
      <c r="C15" s="1179" t="s">
        <v>1141</v>
      </c>
      <c r="D15" s="1179" t="s">
        <v>1143</v>
      </c>
      <c r="E15" s="619" t="s">
        <v>5</v>
      </c>
      <c r="F15" s="620">
        <v>100000</v>
      </c>
      <c r="G15" s="621">
        <v>100000</v>
      </c>
      <c r="H15" s="622"/>
    </row>
    <row r="16" spans="1:8" s="530" customFormat="1" ht="24" hidden="1" customHeight="1">
      <c r="A16" s="623"/>
      <c r="B16" s="623"/>
      <c r="C16" s="1180"/>
      <c r="D16" s="1180"/>
      <c r="E16" s="619" t="s">
        <v>6</v>
      </c>
      <c r="F16" s="620">
        <v>0</v>
      </c>
      <c r="G16" s="621">
        <v>0</v>
      </c>
      <c r="H16" s="622"/>
    </row>
    <row r="17" spans="1:8" s="530" customFormat="1" ht="24" hidden="1" customHeight="1">
      <c r="A17" s="623"/>
      <c r="B17" s="623"/>
      <c r="C17" s="1181"/>
      <c r="D17" s="1181"/>
      <c r="E17" s="619" t="s">
        <v>7</v>
      </c>
      <c r="F17" s="620">
        <f>F15+F16</f>
        <v>100000</v>
      </c>
      <c r="G17" s="620">
        <f>G15+G16</f>
        <v>100000</v>
      </c>
      <c r="H17" s="622"/>
    </row>
    <row r="18" spans="1:8" s="530" customFormat="1" ht="24" hidden="1" customHeight="1">
      <c r="A18" s="623"/>
      <c r="B18" s="623"/>
      <c r="C18" s="1179" t="s">
        <v>1141</v>
      </c>
      <c r="D18" s="1179" t="s">
        <v>1144</v>
      </c>
      <c r="E18" s="619" t="s">
        <v>5</v>
      </c>
      <c r="F18" s="620">
        <v>1200000</v>
      </c>
      <c r="G18" s="621">
        <v>1200000</v>
      </c>
      <c r="H18" s="622"/>
    </row>
    <row r="19" spans="1:8" s="530" customFormat="1" ht="24" hidden="1" customHeight="1">
      <c r="A19" s="623"/>
      <c r="B19" s="623"/>
      <c r="C19" s="1180"/>
      <c r="D19" s="1180"/>
      <c r="E19" s="619" t="s">
        <v>6</v>
      </c>
      <c r="F19" s="620">
        <v>0</v>
      </c>
      <c r="G19" s="621">
        <v>0</v>
      </c>
      <c r="H19" s="622"/>
    </row>
    <row r="20" spans="1:8" s="530" customFormat="1" ht="24" hidden="1" customHeight="1">
      <c r="A20" s="624"/>
      <c r="B20" s="624"/>
      <c r="C20" s="1181"/>
      <c r="D20" s="1181"/>
      <c r="E20" s="619" t="s">
        <v>7</v>
      </c>
      <c r="F20" s="620">
        <f>F18+F19</f>
        <v>1200000</v>
      </c>
      <c r="G20" s="620">
        <f>G18+G19</f>
        <v>1200000</v>
      </c>
      <c r="H20" s="622"/>
    </row>
    <row r="21" spans="1:8" s="530" customFormat="1" ht="15" hidden="1" customHeight="1">
      <c r="A21" s="618" t="s">
        <v>57</v>
      </c>
      <c r="B21" s="618" t="s">
        <v>87</v>
      </c>
      <c r="C21" s="1179" t="s">
        <v>1141</v>
      </c>
      <c r="D21" s="1179" t="s">
        <v>1145</v>
      </c>
      <c r="E21" s="619" t="s">
        <v>5</v>
      </c>
      <c r="F21" s="620">
        <v>248000</v>
      </c>
      <c r="G21" s="621">
        <v>248000</v>
      </c>
      <c r="H21" s="622"/>
    </row>
    <row r="22" spans="1:8" s="530" customFormat="1" ht="15" hidden="1" customHeight="1">
      <c r="A22" s="623"/>
      <c r="B22" s="623"/>
      <c r="C22" s="1180"/>
      <c r="D22" s="1180"/>
      <c r="E22" s="619" t="s">
        <v>6</v>
      </c>
      <c r="F22" s="620">
        <v>0</v>
      </c>
      <c r="G22" s="621">
        <v>0</v>
      </c>
      <c r="H22" s="622"/>
    </row>
    <row r="23" spans="1:8" s="530" customFormat="1" ht="15" hidden="1" customHeight="1">
      <c r="A23" s="623"/>
      <c r="B23" s="623"/>
      <c r="C23" s="1181"/>
      <c r="D23" s="1181"/>
      <c r="E23" s="619" t="s">
        <v>7</v>
      </c>
      <c r="F23" s="620">
        <f>F21+F22</f>
        <v>248000</v>
      </c>
      <c r="G23" s="620">
        <f>G21+G22</f>
        <v>248000</v>
      </c>
      <c r="H23" s="622"/>
    </row>
    <row r="24" spans="1:8" s="530" customFormat="1" ht="15" customHeight="1">
      <c r="A24" s="618" t="s">
        <v>20</v>
      </c>
      <c r="B24" s="618" t="s">
        <v>117</v>
      </c>
      <c r="C24" s="1179" t="s">
        <v>1146</v>
      </c>
      <c r="D24" s="1179" t="s">
        <v>1147</v>
      </c>
      <c r="E24" s="619" t="s">
        <v>5</v>
      </c>
      <c r="F24" s="620">
        <v>1555000</v>
      </c>
      <c r="G24" s="621">
        <v>1555000</v>
      </c>
      <c r="H24" s="622"/>
    </row>
    <row r="25" spans="1:8" s="530" customFormat="1" ht="15" customHeight="1">
      <c r="A25" s="623"/>
      <c r="B25" s="623"/>
      <c r="C25" s="1180"/>
      <c r="D25" s="1180"/>
      <c r="E25" s="619" t="s">
        <v>6</v>
      </c>
      <c r="F25" s="620">
        <v>30366</v>
      </c>
      <c r="G25" s="621">
        <v>30366</v>
      </c>
      <c r="H25" s="622"/>
    </row>
    <row r="26" spans="1:8" s="530" customFormat="1" ht="15" customHeight="1">
      <c r="A26" s="624"/>
      <c r="B26" s="624"/>
      <c r="C26" s="1181"/>
      <c r="D26" s="1181"/>
      <c r="E26" s="619" t="s">
        <v>7</v>
      </c>
      <c r="F26" s="620">
        <f>F24+F25</f>
        <v>1585366</v>
      </c>
      <c r="G26" s="620">
        <f>G24+G25</f>
        <v>1585366</v>
      </c>
      <c r="H26" s="622"/>
    </row>
    <row r="27" spans="1:8" s="530" customFormat="1" ht="15" hidden="1" customHeight="1">
      <c r="A27" s="623"/>
      <c r="B27" s="623"/>
      <c r="C27" s="1180" t="s">
        <v>1146</v>
      </c>
      <c r="D27" s="1179" t="s">
        <v>1148</v>
      </c>
      <c r="E27" s="619" t="s">
        <v>5</v>
      </c>
      <c r="F27" s="620">
        <v>319500</v>
      </c>
      <c r="G27" s="621">
        <v>355000</v>
      </c>
      <c r="H27" s="622"/>
    </row>
    <row r="28" spans="1:8" s="530" customFormat="1" ht="15" hidden="1" customHeight="1">
      <c r="A28" s="623"/>
      <c r="B28" s="623"/>
      <c r="C28" s="1180"/>
      <c r="D28" s="1180"/>
      <c r="E28" s="619" t="s">
        <v>6</v>
      </c>
      <c r="F28" s="620">
        <v>0</v>
      </c>
      <c r="G28" s="621">
        <v>0</v>
      </c>
      <c r="H28" s="622"/>
    </row>
    <row r="29" spans="1:8" s="530" customFormat="1" ht="15" hidden="1" customHeight="1">
      <c r="A29" s="624"/>
      <c r="B29" s="624"/>
      <c r="C29" s="1181"/>
      <c r="D29" s="1181"/>
      <c r="E29" s="619" t="s">
        <v>7</v>
      </c>
      <c r="F29" s="620">
        <f>F27+F28</f>
        <v>319500</v>
      </c>
      <c r="G29" s="620">
        <f>G27+G28</f>
        <v>355000</v>
      </c>
      <c r="H29" s="622"/>
    </row>
    <row r="30" spans="1:8" s="530" customFormat="1" ht="15" hidden="1" customHeight="1">
      <c r="A30" s="618" t="s">
        <v>23</v>
      </c>
      <c r="B30" s="618" t="s">
        <v>64</v>
      </c>
      <c r="C30" s="1179" t="s">
        <v>1141</v>
      </c>
      <c r="D30" s="1179" t="s">
        <v>1149</v>
      </c>
      <c r="E30" s="619" t="s">
        <v>5</v>
      </c>
      <c r="F30" s="620">
        <v>641975</v>
      </c>
      <c r="G30" s="621">
        <v>641975</v>
      </c>
      <c r="H30" s="622"/>
    </row>
    <row r="31" spans="1:8" s="530" customFormat="1" ht="15" hidden="1" customHeight="1">
      <c r="A31" s="623"/>
      <c r="B31" s="623"/>
      <c r="C31" s="1180"/>
      <c r="D31" s="1180"/>
      <c r="E31" s="619" t="s">
        <v>6</v>
      </c>
      <c r="F31" s="620">
        <v>0</v>
      </c>
      <c r="G31" s="621">
        <v>0</v>
      </c>
      <c r="H31" s="622"/>
    </row>
    <row r="32" spans="1:8" s="530" customFormat="1" ht="15" hidden="1" customHeight="1">
      <c r="A32" s="624"/>
      <c r="B32" s="624"/>
      <c r="C32" s="1181"/>
      <c r="D32" s="1181"/>
      <c r="E32" s="619" t="s">
        <v>7</v>
      </c>
      <c r="F32" s="620">
        <f>F30+F31</f>
        <v>641975</v>
      </c>
      <c r="G32" s="620">
        <f>G30+G31</f>
        <v>641975</v>
      </c>
      <c r="H32" s="622"/>
    </row>
    <row r="33" spans="1:8" s="625" customFormat="1" ht="14.25" customHeight="1">
      <c r="A33" s="595" t="s">
        <v>1127</v>
      </c>
      <c r="B33" s="594"/>
      <c r="C33" s="586"/>
      <c r="D33" s="586"/>
      <c r="E33" s="456"/>
      <c r="F33" s="589"/>
      <c r="G33" s="593"/>
      <c r="H33" s="593"/>
    </row>
    <row r="34" spans="1:8" s="595" customFormat="1" ht="14.25" customHeight="1">
      <c r="A34" s="595" t="s">
        <v>1150</v>
      </c>
      <c r="C34" s="626"/>
      <c r="D34" s="626"/>
      <c r="E34" s="627"/>
      <c r="F34" s="628"/>
      <c r="G34" s="626"/>
      <c r="H34" s="626"/>
    </row>
    <row r="35" spans="1:8" s="630" customFormat="1" ht="14.25" customHeight="1">
      <c r="A35" s="595" t="s">
        <v>1151</v>
      </c>
      <c r="B35" s="595"/>
      <c r="C35" s="626"/>
      <c r="D35" s="626"/>
      <c r="E35" s="627"/>
      <c r="F35" s="628"/>
      <c r="G35" s="629"/>
      <c r="H35" s="629"/>
    </row>
    <row r="36" spans="1:8" s="595" customFormat="1" ht="14.25" customHeight="1">
      <c r="A36" s="595" t="s">
        <v>1152</v>
      </c>
      <c r="C36" s="626"/>
      <c r="D36" s="626"/>
      <c r="E36" s="627"/>
      <c r="F36" s="628"/>
      <c r="G36" s="626"/>
      <c r="H36" s="626"/>
    </row>
    <row r="37" spans="1:8" s="633" customFormat="1" ht="27" customHeight="1">
      <c r="A37" s="601"/>
      <c r="B37" s="601"/>
      <c r="C37" s="602"/>
      <c r="D37" s="602"/>
      <c r="E37" s="603"/>
      <c r="F37" s="631"/>
      <c r="G37" s="632"/>
      <c r="H37" s="632"/>
    </row>
    <row r="38" spans="1:8" ht="27" customHeight="1"/>
    <row r="39" spans="1:8" s="635" customFormat="1" ht="24.75" customHeight="1">
      <c r="A39" s="601"/>
      <c r="B39" s="601"/>
      <c r="C39" s="602"/>
      <c r="D39" s="602"/>
      <c r="E39" s="603"/>
      <c r="F39" s="631"/>
      <c r="G39" s="634"/>
      <c r="H39" s="634"/>
    </row>
    <row r="40" spans="1:8" ht="30" customHeight="1"/>
    <row r="41" spans="1:8" ht="30" customHeight="1"/>
    <row r="42" spans="1:8" s="637" customFormat="1" ht="22.5" customHeight="1">
      <c r="A42" s="601"/>
      <c r="B42" s="601"/>
      <c r="C42" s="602"/>
      <c r="D42" s="602"/>
      <c r="E42" s="603"/>
      <c r="F42" s="631"/>
      <c r="G42" s="636"/>
      <c r="H42" s="636"/>
    </row>
    <row r="43" spans="1:8" ht="30" customHeight="1"/>
    <row r="44" spans="1:8" ht="28.5" customHeight="1"/>
    <row r="45" spans="1:8" s="633" customFormat="1" ht="24.75" customHeight="1">
      <c r="A45" s="601"/>
      <c r="B45" s="601"/>
      <c r="C45" s="602"/>
      <c r="D45" s="602"/>
      <c r="E45" s="603"/>
      <c r="F45" s="631"/>
      <c r="G45" s="632"/>
      <c r="H45" s="632"/>
    </row>
    <row r="46" spans="1:8" ht="24.75" customHeight="1"/>
    <row r="47" spans="1:8" s="635" customFormat="1" ht="21" customHeight="1">
      <c r="A47" s="601"/>
      <c r="B47" s="601"/>
      <c r="C47" s="602"/>
      <c r="D47" s="602"/>
      <c r="E47" s="603"/>
      <c r="F47" s="631"/>
      <c r="G47" s="634"/>
      <c r="H47" s="634"/>
    </row>
    <row r="49" spans="1:8" ht="9" customHeight="1"/>
    <row r="50" spans="1:8" s="638" customFormat="1" ht="35.25" customHeight="1">
      <c r="A50" s="601"/>
      <c r="B50" s="601"/>
      <c r="C50" s="602"/>
      <c r="D50" s="602"/>
      <c r="E50" s="603"/>
      <c r="F50" s="631"/>
    </row>
    <row r="51" spans="1:8" s="633" customFormat="1" ht="22.5" customHeight="1">
      <c r="A51" s="601"/>
      <c r="B51" s="601"/>
      <c r="C51" s="602"/>
      <c r="D51" s="602"/>
      <c r="E51" s="603"/>
      <c r="F51" s="631"/>
      <c r="G51" s="632"/>
      <c r="H51" s="632"/>
    </row>
    <row r="52" spans="1:8" ht="41.25" customHeight="1"/>
    <row r="53" spans="1:8" s="638" customFormat="1" ht="21.75" customHeight="1">
      <c r="A53" s="601"/>
      <c r="B53" s="601"/>
      <c r="C53" s="602"/>
      <c r="D53" s="602"/>
      <c r="E53" s="603"/>
      <c r="F53" s="631"/>
    </row>
    <row r="54" spans="1:8" ht="21.75" customHeight="1">
      <c r="G54" s="606"/>
      <c r="H54" s="606"/>
    </row>
    <row r="55" spans="1:8" ht="24.75" customHeight="1">
      <c r="G55" s="606"/>
      <c r="H55" s="606"/>
    </row>
    <row r="56" spans="1:8" ht="12" customHeight="1">
      <c r="G56" s="606"/>
      <c r="H56" s="606"/>
    </row>
    <row r="57" spans="1:8" s="639" customFormat="1" ht="30.75" customHeight="1">
      <c r="A57" s="601"/>
      <c r="B57" s="601"/>
      <c r="C57" s="602"/>
      <c r="D57" s="602"/>
      <c r="E57" s="603"/>
      <c r="F57" s="631"/>
    </row>
    <row r="58" spans="1:8" s="638" customFormat="1" ht="21.75" customHeight="1">
      <c r="A58" s="601"/>
      <c r="B58" s="601"/>
      <c r="C58" s="602"/>
      <c r="D58" s="602"/>
      <c r="E58" s="603"/>
      <c r="F58" s="631"/>
    </row>
    <row r="59" spans="1:8" s="640" customFormat="1" ht="21.75" customHeight="1">
      <c r="A59" s="601"/>
      <c r="B59" s="601"/>
      <c r="C59" s="602"/>
      <c r="D59" s="602"/>
      <c r="E59" s="603"/>
      <c r="F59" s="631"/>
    </row>
    <row r="60" spans="1:8" s="640" customFormat="1" ht="21.75" customHeight="1">
      <c r="A60" s="601"/>
      <c r="B60" s="601"/>
      <c r="C60" s="602"/>
      <c r="D60" s="602"/>
      <c r="E60" s="603"/>
      <c r="F60" s="631"/>
    </row>
    <row r="62" spans="1:8" s="608" customFormat="1" ht="24" customHeight="1">
      <c r="A62" s="601"/>
      <c r="B62" s="601"/>
      <c r="C62" s="602"/>
      <c r="D62" s="602"/>
      <c r="E62" s="603"/>
      <c r="F62" s="631"/>
      <c r="G62" s="607"/>
      <c r="H62" s="607"/>
    </row>
    <row r="63" spans="1:8" s="608" customFormat="1" ht="24" customHeight="1">
      <c r="A63" s="601"/>
      <c r="B63" s="601"/>
      <c r="C63" s="602"/>
      <c r="D63" s="602"/>
      <c r="E63" s="603"/>
      <c r="F63" s="631"/>
      <c r="G63" s="607"/>
      <c r="H63" s="607"/>
    </row>
    <row r="64" spans="1:8" s="642" customFormat="1" ht="24" customHeight="1">
      <c r="A64" s="601"/>
      <c r="B64" s="601"/>
      <c r="C64" s="602"/>
      <c r="D64" s="602"/>
      <c r="E64" s="603"/>
      <c r="F64" s="631"/>
      <c r="G64" s="641"/>
      <c r="H64" s="641"/>
    </row>
    <row r="65" spans="1:8" s="642" customFormat="1" ht="24" customHeight="1">
      <c r="A65" s="601"/>
      <c r="B65" s="601"/>
      <c r="C65" s="602"/>
      <c r="D65" s="602"/>
      <c r="E65" s="603"/>
      <c r="F65" s="631"/>
      <c r="G65" s="641"/>
      <c r="H65" s="641"/>
    </row>
    <row r="66" spans="1:8" s="608" customFormat="1" ht="21" customHeight="1">
      <c r="A66" s="601"/>
      <c r="B66" s="601"/>
      <c r="C66" s="602"/>
      <c r="D66" s="602"/>
      <c r="E66" s="603"/>
      <c r="F66" s="631"/>
      <c r="G66" s="607"/>
      <c r="H66" s="607"/>
    </row>
    <row r="67" spans="1:8" ht="19.5" customHeight="1"/>
    <row r="68" spans="1:8" ht="21.75" customHeight="1"/>
  </sheetData>
  <sheetProtection password="C25B" sheet="1" objects="1" scenarios="1"/>
  <mergeCells count="25">
    <mergeCell ref="A9:D11"/>
    <mergeCell ref="C12:C14"/>
    <mergeCell ref="D12:D14"/>
    <mergeCell ref="C15:C17"/>
    <mergeCell ref="D1:G1"/>
    <mergeCell ref="D2:G2"/>
    <mergeCell ref="D3:G3"/>
    <mergeCell ref="A4:G4"/>
    <mergeCell ref="A6:A7"/>
    <mergeCell ref="B6:B7"/>
    <mergeCell ref="C6:D6"/>
    <mergeCell ref="E6:E7"/>
    <mergeCell ref="F6:F7"/>
    <mergeCell ref="G6:G7"/>
    <mergeCell ref="D15:D17"/>
    <mergeCell ref="C30:C32"/>
    <mergeCell ref="D30:D32"/>
    <mergeCell ref="C21:C23"/>
    <mergeCell ref="D21:D23"/>
    <mergeCell ref="C24:C26"/>
    <mergeCell ref="D24:D26"/>
    <mergeCell ref="C27:C29"/>
    <mergeCell ref="D27:D29"/>
    <mergeCell ref="C18:C20"/>
    <mergeCell ref="D18:D20"/>
  </mergeCells>
  <printOptions horizontalCentered="1"/>
  <pageMargins left="0.98425196850393704" right="0.70866141732283472" top="0.98425196850393704" bottom="0.74803149606299213" header="0" footer="0.1968503937007874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33"/>
  <sheetViews>
    <sheetView tabSelected="1" view="pageBreakPreview" zoomScaleNormal="100" zoomScaleSheetLayoutView="100" workbookViewId="0">
      <selection activeCell="O11" sqref="O11"/>
    </sheetView>
  </sheetViews>
  <sheetFormatPr defaultColWidth="8" defaultRowHeight="12.75"/>
  <cols>
    <col min="1" max="1" width="4.625" style="594" customWidth="1"/>
    <col min="2" max="2" width="6.625" style="594" customWidth="1"/>
    <col min="3" max="3" width="15.625" style="586" customWidth="1"/>
    <col min="4" max="4" width="42" style="586" customWidth="1"/>
    <col min="5" max="5" width="2.5" style="587" customWidth="1"/>
    <col min="6" max="6" width="13.75" style="589" customWidth="1"/>
    <col min="7" max="7" width="16.125" style="586" customWidth="1"/>
    <col min="8" max="8" width="2.875" style="586" customWidth="1"/>
    <col min="9" max="256" width="8" style="590"/>
    <col min="257" max="257" width="4.625" style="590" customWidth="1"/>
    <col min="258" max="258" width="6.625" style="590" customWidth="1"/>
    <col min="259" max="259" width="15.625" style="590" customWidth="1"/>
    <col min="260" max="260" width="42" style="590" customWidth="1"/>
    <col min="261" max="261" width="2.5" style="590" customWidth="1"/>
    <col min="262" max="262" width="13.75" style="590" customWidth="1"/>
    <col min="263" max="263" width="16.125" style="590" customWidth="1"/>
    <col min="264" max="264" width="2.875" style="590" customWidth="1"/>
    <col min="265" max="512" width="8" style="590"/>
    <col min="513" max="513" width="4.625" style="590" customWidth="1"/>
    <col min="514" max="514" width="6.625" style="590" customWidth="1"/>
    <col min="515" max="515" width="15.625" style="590" customWidth="1"/>
    <col min="516" max="516" width="42" style="590" customWidth="1"/>
    <col min="517" max="517" width="2.5" style="590" customWidth="1"/>
    <col min="518" max="518" width="13.75" style="590" customWidth="1"/>
    <col min="519" max="519" width="16.125" style="590" customWidth="1"/>
    <col min="520" max="520" width="2.875" style="590" customWidth="1"/>
    <col min="521" max="768" width="8" style="590"/>
    <col min="769" max="769" width="4.625" style="590" customWidth="1"/>
    <col min="770" max="770" width="6.625" style="590" customWidth="1"/>
    <col min="771" max="771" width="15.625" style="590" customWidth="1"/>
    <col min="772" max="772" width="42" style="590" customWidth="1"/>
    <col min="773" max="773" width="2.5" style="590" customWidth="1"/>
    <col min="774" max="774" width="13.75" style="590" customWidth="1"/>
    <col min="775" max="775" width="16.125" style="590" customWidth="1"/>
    <col min="776" max="776" width="2.875" style="590" customWidth="1"/>
    <col min="777" max="1024" width="8" style="590"/>
    <col min="1025" max="1025" width="4.625" style="590" customWidth="1"/>
    <col min="1026" max="1026" width="6.625" style="590" customWidth="1"/>
    <col min="1027" max="1027" width="15.625" style="590" customWidth="1"/>
    <col min="1028" max="1028" width="42" style="590" customWidth="1"/>
    <col min="1029" max="1029" width="2.5" style="590" customWidth="1"/>
    <col min="1030" max="1030" width="13.75" style="590" customWidth="1"/>
    <col min="1031" max="1031" width="16.125" style="590" customWidth="1"/>
    <col min="1032" max="1032" width="2.875" style="590" customWidth="1"/>
    <col min="1033" max="1280" width="8" style="590"/>
    <col min="1281" max="1281" width="4.625" style="590" customWidth="1"/>
    <col min="1282" max="1282" width="6.625" style="590" customWidth="1"/>
    <col min="1283" max="1283" width="15.625" style="590" customWidth="1"/>
    <col min="1284" max="1284" width="42" style="590" customWidth="1"/>
    <col min="1285" max="1285" width="2.5" style="590" customWidth="1"/>
    <col min="1286" max="1286" width="13.75" style="590" customWidth="1"/>
    <col min="1287" max="1287" width="16.125" style="590" customWidth="1"/>
    <col min="1288" max="1288" width="2.875" style="590" customWidth="1"/>
    <col min="1289" max="1536" width="8" style="590"/>
    <col min="1537" max="1537" width="4.625" style="590" customWidth="1"/>
    <col min="1538" max="1538" width="6.625" style="590" customWidth="1"/>
    <col min="1539" max="1539" width="15.625" style="590" customWidth="1"/>
    <col min="1540" max="1540" width="42" style="590" customWidth="1"/>
    <col min="1541" max="1541" width="2.5" style="590" customWidth="1"/>
    <col min="1542" max="1542" width="13.75" style="590" customWidth="1"/>
    <col min="1543" max="1543" width="16.125" style="590" customWidth="1"/>
    <col min="1544" max="1544" width="2.875" style="590" customWidth="1"/>
    <col min="1545" max="1792" width="8" style="590"/>
    <col min="1793" max="1793" width="4.625" style="590" customWidth="1"/>
    <col min="1794" max="1794" width="6.625" style="590" customWidth="1"/>
    <col min="1795" max="1795" width="15.625" style="590" customWidth="1"/>
    <col min="1796" max="1796" width="42" style="590" customWidth="1"/>
    <col min="1797" max="1797" width="2.5" style="590" customWidth="1"/>
    <col min="1798" max="1798" width="13.75" style="590" customWidth="1"/>
    <col min="1799" max="1799" width="16.125" style="590" customWidth="1"/>
    <col min="1800" max="1800" width="2.875" style="590" customWidth="1"/>
    <col min="1801" max="2048" width="8" style="590"/>
    <col min="2049" max="2049" width="4.625" style="590" customWidth="1"/>
    <col min="2050" max="2050" width="6.625" style="590" customWidth="1"/>
    <col min="2051" max="2051" width="15.625" style="590" customWidth="1"/>
    <col min="2052" max="2052" width="42" style="590" customWidth="1"/>
    <col min="2053" max="2053" width="2.5" style="590" customWidth="1"/>
    <col min="2054" max="2054" width="13.75" style="590" customWidth="1"/>
    <col min="2055" max="2055" width="16.125" style="590" customWidth="1"/>
    <col min="2056" max="2056" width="2.875" style="590" customWidth="1"/>
    <col min="2057" max="2304" width="8" style="590"/>
    <col min="2305" max="2305" width="4.625" style="590" customWidth="1"/>
    <col min="2306" max="2306" width="6.625" style="590" customWidth="1"/>
    <col min="2307" max="2307" width="15.625" style="590" customWidth="1"/>
    <col min="2308" max="2308" width="42" style="590" customWidth="1"/>
    <col min="2309" max="2309" width="2.5" style="590" customWidth="1"/>
    <col min="2310" max="2310" width="13.75" style="590" customWidth="1"/>
    <col min="2311" max="2311" width="16.125" style="590" customWidth="1"/>
    <col min="2312" max="2312" width="2.875" style="590" customWidth="1"/>
    <col min="2313" max="2560" width="8" style="590"/>
    <col min="2561" max="2561" width="4.625" style="590" customWidth="1"/>
    <col min="2562" max="2562" width="6.625" style="590" customWidth="1"/>
    <col min="2563" max="2563" width="15.625" style="590" customWidth="1"/>
    <col min="2564" max="2564" width="42" style="590" customWidth="1"/>
    <col min="2565" max="2565" width="2.5" style="590" customWidth="1"/>
    <col min="2566" max="2566" width="13.75" style="590" customWidth="1"/>
    <col min="2567" max="2567" width="16.125" style="590" customWidth="1"/>
    <col min="2568" max="2568" width="2.875" style="590" customWidth="1"/>
    <col min="2569" max="2816" width="8" style="590"/>
    <col min="2817" max="2817" width="4.625" style="590" customWidth="1"/>
    <col min="2818" max="2818" width="6.625" style="590" customWidth="1"/>
    <col min="2819" max="2819" width="15.625" style="590" customWidth="1"/>
    <col min="2820" max="2820" width="42" style="590" customWidth="1"/>
    <col min="2821" max="2821" width="2.5" style="590" customWidth="1"/>
    <col min="2822" max="2822" width="13.75" style="590" customWidth="1"/>
    <col min="2823" max="2823" width="16.125" style="590" customWidth="1"/>
    <col min="2824" max="2824" width="2.875" style="590" customWidth="1"/>
    <col min="2825" max="3072" width="8" style="590"/>
    <col min="3073" max="3073" width="4.625" style="590" customWidth="1"/>
    <col min="3074" max="3074" width="6.625" style="590" customWidth="1"/>
    <col min="3075" max="3075" width="15.625" style="590" customWidth="1"/>
    <col min="3076" max="3076" width="42" style="590" customWidth="1"/>
    <col min="3077" max="3077" width="2.5" style="590" customWidth="1"/>
    <col min="3078" max="3078" width="13.75" style="590" customWidth="1"/>
    <col min="3079" max="3079" width="16.125" style="590" customWidth="1"/>
    <col min="3080" max="3080" width="2.875" style="590" customWidth="1"/>
    <col min="3081" max="3328" width="8" style="590"/>
    <col min="3329" max="3329" width="4.625" style="590" customWidth="1"/>
    <col min="3330" max="3330" width="6.625" style="590" customWidth="1"/>
    <col min="3331" max="3331" width="15.625" style="590" customWidth="1"/>
    <col min="3332" max="3332" width="42" style="590" customWidth="1"/>
    <col min="3333" max="3333" width="2.5" style="590" customWidth="1"/>
    <col min="3334" max="3334" width="13.75" style="590" customWidth="1"/>
    <col min="3335" max="3335" width="16.125" style="590" customWidth="1"/>
    <col min="3336" max="3336" width="2.875" style="590" customWidth="1"/>
    <col min="3337" max="3584" width="8" style="590"/>
    <col min="3585" max="3585" width="4.625" style="590" customWidth="1"/>
    <col min="3586" max="3586" width="6.625" style="590" customWidth="1"/>
    <col min="3587" max="3587" width="15.625" style="590" customWidth="1"/>
    <col min="3588" max="3588" width="42" style="590" customWidth="1"/>
    <col min="3589" max="3589" width="2.5" style="590" customWidth="1"/>
    <col min="3590" max="3590" width="13.75" style="590" customWidth="1"/>
    <col min="3591" max="3591" width="16.125" style="590" customWidth="1"/>
    <col min="3592" max="3592" width="2.875" style="590" customWidth="1"/>
    <col min="3593" max="3840" width="8" style="590"/>
    <col min="3841" max="3841" width="4.625" style="590" customWidth="1"/>
    <col min="3842" max="3842" width="6.625" style="590" customWidth="1"/>
    <col min="3843" max="3843" width="15.625" style="590" customWidth="1"/>
    <col min="3844" max="3844" width="42" style="590" customWidth="1"/>
    <col min="3845" max="3845" width="2.5" style="590" customWidth="1"/>
    <col min="3846" max="3846" width="13.75" style="590" customWidth="1"/>
    <col min="3847" max="3847" width="16.125" style="590" customWidth="1"/>
    <col min="3848" max="3848" width="2.875" style="590" customWidth="1"/>
    <col min="3849" max="4096" width="8" style="590"/>
    <col min="4097" max="4097" width="4.625" style="590" customWidth="1"/>
    <col min="4098" max="4098" width="6.625" style="590" customWidth="1"/>
    <col min="4099" max="4099" width="15.625" style="590" customWidth="1"/>
    <col min="4100" max="4100" width="42" style="590" customWidth="1"/>
    <col min="4101" max="4101" width="2.5" style="590" customWidth="1"/>
    <col min="4102" max="4102" width="13.75" style="590" customWidth="1"/>
    <col min="4103" max="4103" width="16.125" style="590" customWidth="1"/>
    <col min="4104" max="4104" width="2.875" style="590" customWidth="1"/>
    <col min="4105" max="4352" width="8" style="590"/>
    <col min="4353" max="4353" width="4.625" style="590" customWidth="1"/>
    <col min="4354" max="4354" width="6.625" style="590" customWidth="1"/>
    <col min="4355" max="4355" width="15.625" style="590" customWidth="1"/>
    <col min="4356" max="4356" width="42" style="590" customWidth="1"/>
    <col min="4357" max="4357" width="2.5" style="590" customWidth="1"/>
    <col min="4358" max="4358" width="13.75" style="590" customWidth="1"/>
    <col min="4359" max="4359" width="16.125" style="590" customWidth="1"/>
    <col min="4360" max="4360" width="2.875" style="590" customWidth="1"/>
    <col min="4361" max="4608" width="8" style="590"/>
    <col min="4609" max="4609" width="4.625" style="590" customWidth="1"/>
    <col min="4610" max="4610" width="6.625" style="590" customWidth="1"/>
    <col min="4611" max="4611" width="15.625" style="590" customWidth="1"/>
    <col min="4612" max="4612" width="42" style="590" customWidth="1"/>
    <col min="4613" max="4613" width="2.5" style="590" customWidth="1"/>
    <col min="4614" max="4614" width="13.75" style="590" customWidth="1"/>
    <col min="4615" max="4615" width="16.125" style="590" customWidth="1"/>
    <col min="4616" max="4616" width="2.875" style="590" customWidth="1"/>
    <col min="4617" max="4864" width="8" style="590"/>
    <col min="4865" max="4865" width="4.625" style="590" customWidth="1"/>
    <col min="4866" max="4866" width="6.625" style="590" customWidth="1"/>
    <col min="4867" max="4867" width="15.625" style="590" customWidth="1"/>
    <col min="4868" max="4868" width="42" style="590" customWidth="1"/>
    <col min="4869" max="4869" width="2.5" style="590" customWidth="1"/>
    <col min="4870" max="4870" width="13.75" style="590" customWidth="1"/>
    <col min="4871" max="4871" width="16.125" style="590" customWidth="1"/>
    <col min="4872" max="4872" width="2.875" style="590" customWidth="1"/>
    <col min="4873" max="5120" width="8" style="590"/>
    <col min="5121" max="5121" width="4.625" style="590" customWidth="1"/>
    <col min="5122" max="5122" width="6.625" style="590" customWidth="1"/>
    <col min="5123" max="5123" width="15.625" style="590" customWidth="1"/>
    <col min="5124" max="5124" width="42" style="590" customWidth="1"/>
    <col min="5125" max="5125" width="2.5" style="590" customWidth="1"/>
    <col min="5126" max="5126" width="13.75" style="590" customWidth="1"/>
    <col min="5127" max="5127" width="16.125" style="590" customWidth="1"/>
    <col min="5128" max="5128" width="2.875" style="590" customWidth="1"/>
    <col min="5129" max="5376" width="8" style="590"/>
    <col min="5377" max="5377" width="4.625" style="590" customWidth="1"/>
    <col min="5378" max="5378" width="6.625" style="590" customWidth="1"/>
    <col min="5379" max="5379" width="15.625" style="590" customWidth="1"/>
    <col min="5380" max="5380" width="42" style="590" customWidth="1"/>
    <col min="5381" max="5381" width="2.5" style="590" customWidth="1"/>
    <col min="5382" max="5382" width="13.75" style="590" customWidth="1"/>
    <col min="5383" max="5383" width="16.125" style="590" customWidth="1"/>
    <col min="5384" max="5384" width="2.875" style="590" customWidth="1"/>
    <col min="5385" max="5632" width="8" style="590"/>
    <col min="5633" max="5633" width="4.625" style="590" customWidth="1"/>
    <col min="5634" max="5634" width="6.625" style="590" customWidth="1"/>
    <col min="5635" max="5635" width="15.625" style="590" customWidth="1"/>
    <col min="5636" max="5636" width="42" style="590" customWidth="1"/>
    <col min="5637" max="5637" width="2.5" style="590" customWidth="1"/>
    <col min="5638" max="5638" width="13.75" style="590" customWidth="1"/>
    <col min="5639" max="5639" width="16.125" style="590" customWidth="1"/>
    <col min="5640" max="5640" width="2.875" style="590" customWidth="1"/>
    <col min="5641" max="5888" width="8" style="590"/>
    <col min="5889" max="5889" width="4.625" style="590" customWidth="1"/>
    <col min="5890" max="5890" width="6.625" style="590" customWidth="1"/>
    <col min="5891" max="5891" width="15.625" style="590" customWidth="1"/>
    <col min="5892" max="5892" width="42" style="590" customWidth="1"/>
    <col min="5893" max="5893" width="2.5" style="590" customWidth="1"/>
    <col min="5894" max="5894" width="13.75" style="590" customWidth="1"/>
    <col min="5895" max="5895" width="16.125" style="590" customWidth="1"/>
    <col min="5896" max="5896" width="2.875" style="590" customWidth="1"/>
    <col min="5897" max="6144" width="8" style="590"/>
    <col min="6145" max="6145" width="4.625" style="590" customWidth="1"/>
    <col min="6146" max="6146" width="6.625" style="590" customWidth="1"/>
    <col min="6147" max="6147" width="15.625" style="590" customWidth="1"/>
    <col min="6148" max="6148" width="42" style="590" customWidth="1"/>
    <col min="6149" max="6149" width="2.5" style="590" customWidth="1"/>
    <col min="6150" max="6150" width="13.75" style="590" customWidth="1"/>
    <col min="6151" max="6151" width="16.125" style="590" customWidth="1"/>
    <col min="6152" max="6152" width="2.875" style="590" customWidth="1"/>
    <col min="6153" max="6400" width="8" style="590"/>
    <col min="6401" max="6401" width="4.625" style="590" customWidth="1"/>
    <col min="6402" max="6402" width="6.625" style="590" customWidth="1"/>
    <col min="6403" max="6403" width="15.625" style="590" customWidth="1"/>
    <col min="6404" max="6404" width="42" style="590" customWidth="1"/>
    <col min="6405" max="6405" width="2.5" style="590" customWidth="1"/>
    <col min="6406" max="6406" width="13.75" style="590" customWidth="1"/>
    <col min="6407" max="6407" width="16.125" style="590" customWidth="1"/>
    <col min="6408" max="6408" width="2.875" style="590" customWidth="1"/>
    <col min="6409" max="6656" width="8" style="590"/>
    <col min="6657" max="6657" width="4.625" style="590" customWidth="1"/>
    <col min="6658" max="6658" width="6.625" style="590" customWidth="1"/>
    <col min="6659" max="6659" width="15.625" style="590" customWidth="1"/>
    <col min="6660" max="6660" width="42" style="590" customWidth="1"/>
    <col min="6661" max="6661" width="2.5" style="590" customWidth="1"/>
    <col min="6662" max="6662" width="13.75" style="590" customWidth="1"/>
    <col min="6663" max="6663" width="16.125" style="590" customWidth="1"/>
    <col min="6664" max="6664" width="2.875" style="590" customWidth="1"/>
    <col min="6665" max="6912" width="8" style="590"/>
    <col min="6913" max="6913" width="4.625" style="590" customWidth="1"/>
    <col min="6914" max="6914" width="6.625" style="590" customWidth="1"/>
    <col min="6915" max="6915" width="15.625" style="590" customWidth="1"/>
    <col min="6916" max="6916" width="42" style="590" customWidth="1"/>
    <col min="6917" max="6917" width="2.5" style="590" customWidth="1"/>
    <col min="6918" max="6918" width="13.75" style="590" customWidth="1"/>
    <col min="6919" max="6919" width="16.125" style="590" customWidth="1"/>
    <col min="6920" max="6920" width="2.875" style="590" customWidth="1"/>
    <col min="6921" max="7168" width="8" style="590"/>
    <col min="7169" max="7169" width="4.625" style="590" customWidth="1"/>
    <col min="7170" max="7170" width="6.625" style="590" customWidth="1"/>
    <col min="7171" max="7171" width="15.625" style="590" customWidth="1"/>
    <col min="7172" max="7172" width="42" style="590" customWidth="1"/>
    <col min="7173" max="7173" width="2.5" style="590" customWidth="1"/>
    <col min="7174" max="7174" width="13.75" style="590" customWidth="1"/>
    <col min="7175" max="7175" width="16.125" style="590" customWidth="1"/>
    <col min="7176" max="7176" width="2.875" style="590" customWidth="1"/>
    <col min="7177" max="7424" width="8" style="590"/>
    <col min="7425" max="7425" width="4.625" style="590" customWidth="1"/>
    <col min="7426" max="7426" width="6.625" style="590" customWidth="1"/>
    <col min="7427" max="7427" width="15.625" style="590" customWidth="1"/>
    <col min="7428" max="7428" width="42" style="590" customWidth="1"/>
    <col min="7429" max="7429" width="2.5" style="590" customWidth="1"/>
    <col min="7430" max="7430" width="13.75" style="590" customWidth="1"/>
    <col min="7431" max="7431" width="16.125" style="590" customWidth="1"/>
    <col min="7432" max="7432" width="2.875" style="590" customWidth="1"/>
    <col min="7433" max="7680" width="8" style="590"/>
    <col min="7681" max="7681" width="4.625" style="590" customWidth="1"/>
    <col min="7682" max="7682" width="6.625" style="590" customWidth="1"/>
    <col min="7683" max="7683" width="15.625" style="590" customWidth="1"/>
    <col min="7684" max="7684" width="42" style="590" customWidth="1"/>
    <col min="7685" max="7685" width="2.5" style="590" customWidth="1"/>
    <col min="7686" max="7686" width="13.75" style="590" customWidth="1"/>
    <col min="7687" max="7687" width="16.125" style="590" customWidth="1"/>
    <col min="7688" max="7688" width="2.875" style="590" customWidth="1"/>
    <col min="7689" max="7936" width="8" style="590"/>
    <col min="7937" max="7937" width="4.625" style="590" customWidth="1"/>
    <col min="7938" max="7938" width="6.625" style="590" customWidth="1"/>
    <col min="7939" max="7939" width="15.625" style="590" customWidth="1"/>
    <col min="7940" max="7940" width="42" style="590" customWidth="1"/>
    <col min="7941" max="7941" width="2.5" style="590" customWidth="1"/>
    <col min="7942" max="7942" width="13.75" style="590" customWidth="1"/>
    <col min="7943" max="7943" width="16.125" style="590" customWidth="1"/>
    <col min="7944" max="7944" width="2.875" style="590" customWidth="1"/>
    <col min="7945" max="8192" width="8" style="590"/>
    <col min="8193" max="8193" width="4.625" style="590" customWidth="1"/>
    <col min="8194" max="8194" width="6.625" style="590" customWidth="1"/>
    <col min="8195" max="8195" width="15.625" style="590" customWidth="1"/>
    <col min="8196" max="8196" width="42" style="590" customWidth="1"/>
    <col min="8197" max="8197" width="2.5" style="590" customWidth="1"/>
    <col min="8198" max="8198" width="13.75" style="590" customWidth="1"/>
    <col min="8199" max="8199" width="16.125" style="590" customWidth="1"/>
    <col min="8200" max="8200" width="2.875" style="590" customWidth="1"/>
    <col min="8201" max="8448" width="8" style="590"/>
    <col min="8449" max="8449" width="4.625" style="590" customWidth="1"/>
    <col min="8450" max="8450" width="6.625" style="590" customWidth="1"/>
    <col min="8451" max="8451" width="15.625" style="590" customWidth="1"/>
    <col min="8452" max="8452" width="42" style="590" customWidth="1"/>
    <col min="8453" max="8453" width="2.5" style="590" customWidth="1"/>
    <col min="8454" max="8454" width="13.75" style="590" customWidth="1"/>
    <col min="8455" max="8455" width="16.125" style="590" customWidth="1"/>
    <col min="8456" max="8456" width="2.875" style="590" customWidth="1"/>
    <col min="8457" max="8704" width="8" style="590"/>
    <col min="8705" max="8705" width="4.625" style="590" customWidth="1"/>
    <col min="8706" max="8706" width="6.625" style="590" customWidth="1"/>
    <col min="8707" max="8707" width="15.625" style="590" customWidth="1"/>
    <col min="8708" max="8708" width="42" style="590" customWidth="1"/>
    <col min="8709" max="8709" width="2.5" style="590" customWidth="1"/>
    <col min="8710" max="8710" width="13.75" style="590" customWidth="1"/>
    <col min="8711" max="8711" width="16.125" style="590" customWidth="1"/>
    <col min="8712" max="8712" width="2.875" style="590" customWidth="1"/>
    <col min="8713" max="8960" width="8" style="590"/>
    <col min="8961" max="8961" width="4.625" style="590" customWidth="1"/>
    <col min="8962" max="8962" width="6.625" style="590" customWidth="1"/>
    <col min="8963" max="8963" width="15.625" style="590" customWidth="1"/>
    <col min="8964" max="8964" width="42" style="590" customWidth="1"/>
    <col min="8965" max="8965" width="2.5" style="590" customWidth="1"/>
    <col min="8966" max="8966" width="13.75" style="590" customWidth="1"/>
    <col min="8967" max="8967" width="16.125" style="590" customWidth="1"/>
    <col min="8968" max="8968" width="2.875" style="590" customWidth="1"/>
    <col min="8969" max="9216" width="8" style="590"/>
    <col min="9217" max="9217" width="4.625" style="590" customWidth="1"/>
    <col min="9218" max="9218" width="6.625" style="590" customWidth="1"/>
    <col min="9219" max="9219" width="15.625" style="590" customWidth="1"/>
    <col min="9220" max="9220" width="42" style="590" customWidth="1"/>
    <col min="9221" max="9221" width="2.5" style="590" customWidth="1"/>
    <col min="9222" max="9222" width="13.75" style="590" customWidth="1"/>
    <col min="9223" max="9223" width="16.125" style="590" customWidth="1"/>
    <col min="9224" max="9224" width="2.875" style="590" customWidth="1"/>
    <col min="9225" max="9472" width="8" style="590"/>
    <col min="9473" max="9473" width="4.625" style="590" customWidth="1"/>
    <col min="9474" max="9474" width="6.625" style="590" customWidth="1"/>
    <col min="9475" max="9475" width="15.625" style="590" customWidth="1"/>
    <col min="9476" max="9476" width="42" style="590" customWidth="1"/>
    <col min="9477" max="9477" width="2.5" style="590" customWidth="1"/>
    <col min="9478" max="9478" width="13.75" style="590" customWidth="1"/>
    <col min="9479" max="9479" width="16.125" style="590" customWidth="1"/>
    <col min="9480" max="9480" width="2.875" style="590" customWidth="1"/>
    <col min="9481" max="9728" width="8" style="590"/>
    <col min="9729" max="9729" width="4.625" style="590" customWidth="1"/>
    <col min="9730" max="9730" width="6.625" style="590" customWidth="1"/>
    <col min="9731" max="9731" width="15.625" style="590" customWidth="1"/>
    <col min="9732" max="9732" width="42" style="590" customWidth="1"/>
    <col min="9733" max="9733" width="2.5" style="590" customWidth="1"/>
    <col min="9734" max="9734" width="13.75" style="590" customWidth="1"/>
    <col min="9735" max="9735" width="16.125" style="590" customWidth="1"/>
    <col min="9736" max="9736" width="2.875" style="590" customWidth="1"/>
    <col min="9737" max="9984" width="8" style="590"/>
    <col min="9985" max="9985" width="4.625" style="590" customWidth="1"/>
    <col min="9986" max="9986" width="6.625" style="590" customWidth="1"/>
    <col min="9987" max="9987" width="15.625" style="590" customWidth="1"/>
    <col min="9988" max="9988" width="42" style="590" customWidth="1"/>
    <col min="9989" max="9989" width="2.5" style="590" customWidth="1"/>
    <col min="9990" max="9990" width="13.75" style="590" customWidth="1"/>
    <col min="9991" max="9991" width="16.125" style="590" customWidth="1"/>
    <col min="9992" max="9992" width="2.875" style="590" customWidth="1"/>
    <col min="9993" max="10240" width="8" style="590"/>
    <col min="10241" max="10241" width="4.625" style="590" customWidth="1"/>
    <col min="10242" max="10242" width="6.625" style="590" customWidth="1"/>
    <col min="10243" max="10243" width="15.625" style="590" customWidth="1"/>
    <col min="10244" max="10244" width="42" style="590" customWidth="1"/>
    <col min="10245" max="10245" width="2.5" style="590" customWidth="1"/>
    <col min="10246" max="10246" width="13.75" style="590" customWidth="1"/>
    <col min="10247" max="10247" width="16.125" style="590" customWidth="1"/>
    <col min="10248" max="10248" width="2.875" style="590" customWidth="1"/>
    <col min="10249" max="10496" width="8" style="590"/>
    <col min="10497" max="10497" width="4.625" style="590" customWidth="1"/>
    <col min="10498" max="10498" width="6.625" style="590" customWidth="1"/>
    <col min="10499" max="10499" width="15.625" style="590" customWidth="1"/>
    <col min="10500" max="10500" width="42" style="590" customWidth="1"/>
    <col min="10501" max="10501" width="2.5" style="590" customWidth="1"/>
    <col min="10502" max="10502" width="13.75" style="590" customWidth="1"/>
    <col min="10503" max="10503" width="16.125" style="590" customWidth="1"/>
    <col min="10504" max="10504" width="2.875" style="590" customWidth="1"/>
    <col min="10505" max="10752" width="8" style="590"/>
    <col min="10753" max="10753" width="4.625" style="590" customWidth="1"/>
    <col min="10754" max="10754" width="6.625" style="590" customWidth="1"/>
    <col min="10755" max="10755" width="15.625" style="590" customWidth="1"/>
    <col min="10756" max="10756" width="42" style="590" customWidth="1"/>
    <col min="10757" max="10757" width="2.5" style="590" customWidth="1"/>
    <col min="10758" max="10758" width="13.75" style="590" customWidth="1"/>
    <col min="10759" max="10759" width="16.125" style="590" customWidth="1"/>
    <col min="10760" max="10760" width="2.875" style="590" customWidth="1"/>
    <col min="10761" max="11008" width="8" style="590"/>
    <col min="11009" max="11009" width="4.625" style="590" customWidth="1"/>
    <col min="11010" max="11010" width="6.625" style="590" customWidth="1"/>
    <col min="11011" max="11011" width="15.625" style="590" customWidth="1"/>
    <col min="11012" max="11012" width="42" style="590" customWidth="1"/>
    <col min="11013" max="11013" width="2.5" style="590" customWidth="1"/>
    <col min="11014" max="11014" width="13.75" style="590" customWidth="1"/>
    <col min="11015" max="11015" width="16.125" style="590" customWidth="1"/>
    <col min="11016" max="11016" width="2.875" style="590" customWidth="1"/>
    <col min="11017" max="11264" width="8" style="590"/>
    <col min="11265" max="11265" width="4.625" style="590" customWidth="1"/>
    <col min="11266" max="11266" width="6.625" style="590" customWidth="1"/>
    <col min="11267" max="11267" width="15.625" style="590" customWidth="1"/>
    <col min="11268" max="11268" width="42" style="590" customWidth="1"/>
    <col min="11269" max="11269" width="2.5" style="590" customWidth="1"/>
    <col min="11270" max="11270" width="13.75" style="590" customWidth="1"/>
    <col min="11271" max="11271" width="16.125" style="590" customWidth="1"/>
    <col min="11272" max="11272" width="2.875" style="590" customWidth="1"/>
    <col min="11273" max="11520" width="8" style="590"/>
    <col min="11521" max="11521" width="4.625" style="590" customWidth="1"/>
    <col min="11522" max="11522" width="6.625" style="590" customWidth="1"/>
    <col min="11523" max="11523" width="15.625" style="590" customWidth="1"/>
    <col min="11524" max="11524" width="42" style="590" customWidth="1"/>
    <col min="11525" max="11525" width="2.5" style="590" customWidth="1"/>
    <col min="11526" max="11526" width="13.75" style="590" customWidth="1"/>
    <col min="11527" max="11527" width="16.125" style="590" customWidth="1"/>
    <col min="11528" max="11528" width="2.875" style="590" customWidth="1"/>
    <col min="11529" max="11776" width="8" style="590"/>
    <col min="11777" max="11777" width="4.625" style="590" customWidth="1"/>
    <col min="11778" max="11778" width="6.625" style="590" customWidth="1"/>
    <col min="11779" max="11779" width="15.625" style="590" customWidth="1"/>
    <col min="11780" max="11780" width="42" style="590" customWidth="1"/>
    <col min="11781" max="11781" width="2.5" style="590" customWidth="1"/>
    <col min="11782" max="11782" width="13.75" style="590" customWidth="1"/>
    <col min="11783" max="11783" width="16.125" style="590" customWidth="1"/>
    <col min="11784" max="11784" width="2.875" style="590" customWidth="1"/>
    <col min="11785" max="12032" width="8" style="590"/>
    <col min="12033" max="12033" width="4.625" style="590" customWidth="1"/>
    <col min="12034" max="12034" width="6.625" style="590" customWidth="1"/>
    <col min="12035" max="12035" width="15.625" style="590" customWidth="1"/>
    <col min="12036" max="12036" width="42" style="590" customWidth="1"/>
    <col min="12037" max="12037" width="2.5" style="590" customWidth="1"/>
    <col min="12038" max="12038" width="13.75" style="590" customWidth="1"/>
    <col min="12039" max="12039" width="16.125" style="590" customWidth="1"/>
    <col min="12040" max="12040" width="2.875" style="590" customWidth="1"/>
    <col min="12041" max="12288" width="8" style="590"/>
    <col min="12289" max="12289" width="4.625" style="590" customWidth="1"/>
    <col min="12290" max="12290" width="6.625" style="590" customWidth="1"/>
    <col min="12291" max="12291" width="15.625" style="590" customWidth="1"/>
    <col min="12292" max="12292" width="42" style="590" customWidth="1"/>
    <col min="12293" max="12293" width="2.5" style="590" customWidth="1"/>
    <col min="12294" max="12294" width="13.75" style="590" customWidth="1"/>
    <col min="12295" max="12295" width="16.125" style="590" customWidth="1"/>
    <col min="12296" max="12296" width="2.875" style="590" customWidth="1"/>
    <col min="12297" max="12544" width="8" style="590"/>
    <col min="12545" max="12545" width="4.625" style="590" customWidth="1"/>
    <col min="12546" max="12546" width="6.625" style="590" customWidth="1"/>
    <col min="12547" max="12547" width="15.625" style="590" customWidth="1"/>
    <col min="12548" max="12548" width="42" style="590" customWidth="1"/>
    <col min="12549" max="12549" width="2.5" style="590" customWidth="1"/>
    <col min="12550" max="12550" width="13.75" style="590" customWidth="1"/>
    <col min="12551" max="12551" width="16.125" style="590" customWidth="1"/>
    <col min="12552" max="12552" width="2.875" style="590" customWidth="1"/>
    <col min="12553" max="12800" width="8" style="590"/>
    <col min="12801" max="12801" width="4.625" style="590" customWidth="1"/>
    <col min="12802" max="12802" width="6.625" style="590" customWidth="1"/>
    <col min="12803" max="12803" width="15.625" style="590" customWidth="1"/>
    <col min="12804" max="12804" width="42" style="590" customWidth="1"/>
    <col min="12805" max="12805" width="2.5" style="590" customWidth="1"/>
    <col min="12806" max="12806" width="13.75" style="590" customWidth="1"/>
    <col min="12807" max="12807" width="16.125" style="590" customWidth="1"/>
    <col min="12808" max="12808" width="2.875" style="590" customWidth="1"/>
    <col min="12809" max="13056" width="8" style="590"/>
    <col min="13057" max="13057" width="4.625" style="590" customWidth="1"/>
    <col min="13058" max="13058" width="6.625" style="590" customWidth="1"/>
    <col min="13059" max="13059" width="15.625" style="590" customWidth="1"/>
    <col min="13060" max="13060" width="42" style="590" customWidth="1"/>
    <col min="13061" max="13061" width="2.5" style="590" customWidth="1"/>
    <col min="13062" max="13062" width="13.75" style="590" customWidth="1"/>
    <col min="13063" max="13063" width="16.125" style="590" customWidth="1"/>
    <col min="13064" max="13064" width="2.875" style="590" customWidth="1"/>
    <col min="13065" max="13312" width="8" style="590"/>
    <col min="13313" max="13313" width="4.625" style="590" customWidth="1"/>
    <col min="13314" max="13314" width="6.625" style="590" customWidth="1"/>
    <col min="13315" max="13315" width="15.625" style="590" customWidth="1"/>
    <col min="13316" max="13316" width="42" style="590" customWidth="1"/>
    <col min="13317" max="13317" width="2.5" style="590" customWidth="1"/>
    <col min="13318" max="13318" width="13.75" style="590" customWidth="1"/>
    <col min="13319" max="13319" width="16.125" style="590" customWidth="1"/>
    <col min="13320" max="13320" width="2.875" style="590" customWidth="1"/>
    <col min="13321" max="13568" width="8" style="590"/>
    <col min="13569" max="13569" width="4.625" style="590" customWidth="1"/>
    <col min="13570" max="13570" width="6.625" style="590" customWidth="1"/>
    <col min="13571" max="13571" width="15.625" style="590" customWidth="1"/>
    <col min="13572" max="13572" width="42" style="590" customWidth="1"/>
    <col min="13573" max="13573" width="2.5" style="590" customWidth="1"/>
    <col min="13574" max="13574" width="13.75" style="590" customWidth="1"/>
    <col min="13575" max="13575" width="16.125" style="590" customWidth="1"/>
    <col min="13576" max="13576" width="2.875" style="590" customWidth="1"/>
    <col min="13577" max="13824" width="8" style="590"/>
    <col min="13825" max="13825" width="4.625" style="590" customWidth="1"/>
    <col min="13826" max="13826" width="6.625" style="590" customWidth="1"/>
    <col min="13827" max="13827" width="15.625" style="590" customWidth="1"/>
    <col min="13828" max="13828" width="42" style="590" customWidth="1"/>
    <col min="13829" max="13829" width="2.5" style="590" customWidth="1"/>
    <col min="13830" max="13830" width="13.75" style="590" customWidth="1"/>
    <col min="13831" max="13831" width="16.125" style="590" customWidth="1"/>
    <col min="13832" max="13832" width="2.875" style="590" customWidth="1"/>
    <col min="13833" max="14080" width="8" style="590"/>
    <col min="14081" max="14081" width="4.625" style="590" customWidth="1"/>
    <col min="14082" max="14082" width="6.625" style="590" customWidth="1"/>
    <col min="14083" max="14083" width="15.625" style="590" customWidth="1"/>
    <col min="14084" max="14084" width="42" style="590" customWidth="1"/>
    <col min="14085" max="14085" width="2.5" style="590" customWidth="1"/>
    <col min="14086" max="14086" width="13.75" style="590" customWidth="1"/>
    <col min="14087" max="14087" width="16.125" style="590" customWidth="1"/>
    <col min="14088" max="14088" width="2.875" style="590" customWidth="1"/>
    <col min="14089" max="14336" width="8" style="590"/>
    <col min="14337" max="14337" width="4.625" style="590" customWidth="1"/>
    <col min="14338" max="14338" width="6.625" style="590" customWidth="1"/>
    <col min="14339" max="14339" width="15.625" style="590" customWidth="1"/>
    <col min="14340" max="14340" width="42" style="590" customWidth="1"/>
    <col min="14341" max="14341" width="2.5" style="590" customWidth="1"/>
    <col min="14342" max="14342" width="13.75" style="590" customWidth="1"/>
    <col min="14343" max="14343" width="16.125" style="590" customWidth="1"/>
    <col min="14344" max="14344" width="2.875" style="590" customWidth="1"/>
    <col min="14345" max="14592" width="8" style="590"/>
    <col min="14593" max="14593" width="4.625" style="590" customWidth="1"/>
    <col min="14594" max="14594" width="6.625" style="590" customWidth="1"/>
    <col min="14595" max="14595" width="15.625" style="590" customWidth="1"/>
    <col min="14596" max="14596" width="42" style="590" customWidth="1"/>
    <col min="14597" max="14597" width="2.5" style="590" customWidth="1"/>
    <col min="14598" max="14598" width="13.75" style="590" customWidth="1"/>
    <col min="14599" max="14599" width="16.125" style="590" customWidth="1"/>
    <col min="14600" max="14600" width="2.875" style="590" customWidth="1"/>
    <col min="14601" max="14848" width="8" style="590"/>
    <col min="14849" max="14849" width="4.625" style="590" customWidth="1"/>
    <col min="14850" max="14850" width="6.625" style="590" customWidth="1"/>
    <col min="14851" max="14851" width="15.625" style="590" customWidth="1"/>
    <col min="14852" max="14852" width="42" style="590" customWidth="1"/>
    <col min="14853" max="14853" width="2.5" style="590" customWidth="1"/>
    <col min="14854" max="14854" width="13.75" style="590" customWidth="1"/>
    <col min="14855" max="14855" width="16.125" style="590" customWidth="1"/>
    <col min="14856" max="14856" width="2.875" style="590" customWidth="1"/>
    <col min="14857" max="15104" width="8" style="590"/>
    <col min="15105" max="15105" width="4.625" style="590" customWidth="1"/>
    <col min="15106" max="15106" width="6.625" style="590" customWidth="1"/>
    <col min="15107" max="15107" width="15.625" style="590" customWidth="1"/>
    <col min="15108" max="15108" width="42" style="590" customWidth="1"/>
    <col min="15109" max="15109" width="2.5" style="590" customWidth="1"/>
    <col min="15110" max="15110" width="13.75" style="590" customWidth="1"/>
    <col min="15111" max="15111" width="16.125" style="590" customWidth="1"/>
    <col min="15112" max="15112" width="2.875" style="590" customWidth="1"/>
    <col min="15113" max="15360" width="8" style="590"/>
    <col min="15361" max="15361" width="4.625" style="590" customWidth="1"/>
    <col min="15362" max="15362" width="6.625" style="590" customWidth="1"/>
    <col min="15363" max="15363" width="15.625" style="590" customWidth="1"/>
    <col min="15364" max="15364" width="42" style="590" customWidth="1"/>
    <col min="15365" max="15365" width="2.5" style="590" customWidth="1"/>
    <col min="15366" max="15366" width="13.75" style="590" customWidth="1"/>
    <col min="15367" max="15367" width="16.125" style="590" customWidth="1"/>
    <col min="15368" max="15368" width="2.875" style="590" customWidth="1"/>
    <col min="15369" max="15616" width="8" style="590"/>
    <col min="15617" max="15617" width="4.625" style="590" customWidth="1"/>
    <col min="15618" max="15618" width="6.625" style="590" customWidth="1"/>
    <col min="15619" max="15619" width="15.625" style="590" customWidth="1"/>
    <col min="15620" max="15620" width="42" style="590" customWidth="1"/>
    <col min="15621" max="15621" width="2.5" style="590" customWidth="1"/>
    <col min="15622" max="15622" width="13.75" style="590" customWidth="1"/>
    <col min="15623" max="15623" width="16.125" style="590" customWidth="1"/>
    <col min="15624" max="15624" width="2.875" style="590" customWidth="1"/>
    <col min="15625" max="15872" width="8" style="590"/>
    <col min="15873" max="15873" width="4.625" style="590" customWidth="1"/>
    <col min="15874" max="15874" width="6.625" style="590" customWidth="1"/>
    <col min="15875" max="15875" width="15.625" style="590" customWidth="1"/>
    <col min="15876" max="15876" width="42" style="590" customWidth="1"/>
    <col min="15877" max="15877" width="2.5" style="590" customWidth="1"/>
    <col min="15878" max="15878" width="13.75" style="590" customWidth="1"/>
    <col min="15879" max="15879" width="16.125" style="590" customWidth="1"/>
    <col min="15880" max="15880" width="2.875" style="590" customWidth="1"/>
    <col min="15881" max="16128" width="8" style="590"/>
    <col min="16129" max="16129" width="4.625" style="590" customWidth="1"/>
    <col min="16130" max="16130" width="6.625" style="590" customWidth="1"/>
    <col min="16131" max="16131" width="15.625" style="590" customWidth="1"/>
    <col min="16132" max="16132" width="42" style="590" customWidth="1"/>
    <col min="16133" max="16133" width="2.5" style="590" customWidth="1"/>
    <col min="16134" max="16134" width="13.75" style="590" customWidth="1"/>
    <col min="16135" max="16135" width="16.125" style="590" customWidth="1"/>
    <col min="16136" max="16136" width="2.875" style="590" customWidth="1"/>
    <col min="16137" max="16384" width="8" style="590"/>
  </cols>
  <sheetData>
    <row r="1" spans="1:8" s="600" customFormat="1" ht="15" customHeight="1">
      <c r="A1" s="597"/>
      <c r="B1" s="597"/>
      <c r="C1" s="598"/>
      <c r="D1" s="643" t="s">
        <v>1153</v>
      </c>
      <c r="E1" s="1182" t="s">
        <v>1203</v>
      </c>
      <c r="F1" s="1182"/>
      <c r="G1" s="1182"/>
      <c r="H1" s="599"/>
    </row>
    <row r="2" spans="1:8" s="600" customFormat="1" ht="15" customHeight="1">
      <c r="A2" s="597"/>
      <c r="B2" s="597"/>
      <c r="C2" s="598"/>
      <c r="D2" s="598" t="s">
        <v>1154</v>
      </c>
      <c r="E2" s="1183" t="s">
        <v>1155</v>
      </c>
      <c r="F2" s="1183"/>
      <c r="G2" s="1183"/>
      <c r="H2" s="599"/>
    </row>
    <row r="3" spans="1:8" s="600" customFormat="1" ht="3" customHeight="1">
      <c r="A3" s="597"/>
      <c r="B3" s="597"/>
      <c r="C3" s="599"/>
      <c r="D3" s="1183" t="s">
        <v>1135</v>
      </c>
      <c r="E3" s="1183"/>
      <c r="F3" s="1183"/>
      <c r="G3" s="1183"/>
      <c r="H3" s="599"/>
    </row>
    <row r="4" spans="1:8" s="600" customFormat="1" ht="45.75" customHeight="1">
      <c r="A4" s="1184" t="s">
        <v>1156</v>
      </c>
      <c r="B4" s="1184"/>
      <c r="C4" s="1184"/>
      <c r="D4" s="1184"/>
      <c r="E4" s="1184"/>
      <c r="F4" s="1184"/>
      <c r="G4" s="1184"/>
      <c r="H4" s="599"/>
    </row>
    <row r="5" spans="1:8" ht="11.25" customHeight="1">
      <c r="F5" s="628"/>
      <c r="G5" s="644" t="s">
        <v>0</v>
      </c>
    </row>
    <row r="6" spans="1:8" s="458" customFormat="1" ht="15.75" customHeight="1">
      <c r="A6" s="1252" t="s">
        <v>1</v>
      </c>
      <c r="B6" s="1252" t="s">
        <v>2</v>
      </c>
      <c r="C6" s="1254" t="s">
        <v>521</v>
      </c>
      <c r="D6" s="1255"/>
      <c r="E6" s="1256" t="s">
        <v>3</v>
      </c>
      <c r="F6" s="1258" t="s">
        <v>1157</v>
      </c>
      <c r="G6" s="1256" t="s">
        <v>1138</v>
      </c>
      <c r="H6" s="645"/>
    </row>
    <row r="7" spans="1:8" s="458" customFormat="1" ht="38.25" customHeight="1">
      <c r="A7" s="1253"/>
      <c r="B7" s="1253"/>
      <c r="C7" s="646" t="s">
        <v>1158</v>
      </c>
      <c r="D7" s="646" t="s">
        <v>1140</v>
      </c>
      <c r="E7" s="1257"/>
      <c r="F7" s="1259"/>
      <c r="G7" s="1257"/>
      <c r="H7" s="645"/>
    </row>
    <row r="8" spans="1:8" s="484" customFormat="1" ht="11.25">
      <c r="A8" s="647">
        <v>1</v>
      </c>
      <c r="B8" s="647">
        <v>2</v>
      </c>
      <c r="C8" s="648">
        <v>3</v>
      </c>
      <c r="D8" s="648">
        <v>4</v>
      </c>
      <c r="E8" s="648">
        <v>5</v>
      </c>
      <c r="F8" s="649">
        <v>6</v>
      </c>
      <c r="G8" s="648">
        <v>7</v>
      </c>
      <c r="H8" s="650"/>
    </row>
    <row r="9" spans="1:8" s="653" customFormat="1" ht="20.100000000000001" customHeight="1">
      <c r="A9" s="1240" t="s">
        <v>4</v>
      </c>
      <c r="B9" s="1241"/>
      <c r="C9" s="1241"/>
      <c r="D9" s="1242"/>
      <c r="E9" s="651" t="s">
        <v>5</v>
      </c>
      <c r="F9" s="652">
        <f>F13+F16+F19+F22+F25+F28+F31+F34+F37+F40+F43+F46+F49+F52+F55+F61+F58+F64+F67+F70+F73+F76+F79+F82+F85+F88+F91+F94+F97+F100+F103</f>
        <v>22665545</v>
      </c>
      <c r="G9" s="652">
        <f>G13+G16+G19+G22+G25+G28+G31+G34+G37+G40+G43+G46+G49+G52+G55+G61+G58+G64+G67+G70+G73+G76+G79+G82+G85+G88+G91+G94+G97+G100+G103</f>
        <v>241199908</v>
      </c>
    </row>
    <row r="10" spans="1:8" s="653" customFormat="1" ht="20.100000000000001" customHeight="1">
      <c r="A10" s="1243"/>
      <c r="B10" s="1244"/>
      <c r="C10" s="1244"/>
      <c r="D10" s="1245"/>
      <c r="E10" s="651" t="s">
        <v>6</v>
      </c>
      <c r="F10" s="652">
        <f t="shared" ref="F10:G11" si="0">F14+F17+F20+F23+F26+F29+F32+F35+F38+F41+F44+F47+F50+F53+F56+F62+F59+F65+F68+F71+F74+F77+F80+F83+F86+F89+F92+F95+F98+F101+F104</f>
        <v>121706</v>
      </c>
      <c r="G10" s="652">
        <f t="shared" si="0"/>
        <v>-618333</v>
      </c>
    </row>
    <row r="11" spans="1:8" s="653" customFormat="1" ht="20.100000000000001" customHeight="1">
      <c r="A11" s="1246"/>
      <c r="B11" s="1247"/>
      <c r="C11" s="1247"/>
      <c r="D11" s="1248"/>
      <c r="E11" s="651" t="s">
        <v>7</v>
      </c>
      <c r="F11" s="652">
        <f t="shared" si="0"/>
        <v>22787251</v>
      </c>
      <c r="G11" s="652">
        <f t="shared" si="0"/>
        <v>240581575</v>
      </c>
    </row>
    <row r="12" spans="1:8" s="653" customFormat="1" ht="4.5" customHeight="1">
      <c r="A12" s="1249"/>
      <c r="B12" s="1250"/>
      <c r="C12" s="1250"/>
      <c r="D12" s="1250"/>
      <c r="E12" s="1250"/>
      <c r="F12" s="1250"/>
      <c r="G12" s="1251"/>
    </row>
    <row r="13" spans="1:8" s="660" customFormat="1" ht="18" hidden="1" customHeight="1">
      <c r="A13" s="654">
        <v>600</v>
      </c>
      <c r="B13" s="655">
        <v>60013</v>
      </c>
      <c r="C13" s="1234" t="s">
        <v>1159</v>
      </c>
      <c r="D13" s="1235" t="s">
        <v>1160</v>
      </c>
      <c r="E13" s="656" t="s">
        <v>5</v>
      </c>
      <c r="F13" s="657">
        <v>144400</v>
      </c>
      <c r="G13" s="658">
        <v>144400</v>
      </c>
      <c r="H13" s="659"/>
    </row>
    <row r="14" spans="1:8" s="660" customFormat="1" ht="18" hidden="1" customHeight="1">
      <c r="A14" s="654"/>
      <c r="B14" s="655"/>
      <c r="C14" s="1222"/>
      <c r="D14" s="1224"/>
      <c r="E14" s="656" t="s">
        <v>6</v>
      </c>
      <c r="F14" s="657">
        <v>0</v>
      </c>
      <c r="G14" s="658">
        <v>0</v>
      </c>
      <c r="H14" s="659"/>
    </row>
    <row r="15" spans="1:8" s="660" customFormat="1" ht="18" hidden="1" customHeight="1">
      <c r="A15" s="654"/>
      <c r="B15" s="655"/>
      <c r="C15" s="1223"/>
      <c r="D15" s="1225"/>
      <c r="E15" s="656" t="s">
        <v>7</v>
      </c>
      <c r="F15" s="657">
        <f>F13+F14</f>
        <v>144400</v>
      </c>
      <c r="G15" s="657">
        <f>G13+G14</f>
        <v>144400</v>
      </c>
      <c r="H15" s="659"/>
    </row>
    <row r="16" spans="1:8" s="660" customFormat="1" ht="18" hidden="1" customHeight="1">
      <c r="A16" s="661"/>
      <c r="B16" s="655"/>
      <c r="C16" s="1234" t="s">
        <v>1161</v>
      </c>
      <c r="D16" s="1235" t="s">
        <v>1162</v>
      </c>
      <c r="E16" s="656" t="s">
        <v>5</v>
      </c>
      <c r="F16" s="657">
        <v>201215</v>
      </c>
      <c r="G16" s="658">
        <v>201215</v>
      </c>
      <c r="H16" s="659"/>
    </row>
    <row r="17" spans="1:8" s="660" customFormat="1" ht="18" hidden="1" customHeight="1">
      <c r="A17" s="661"/>
      <c r="B17" s="655"/>
      <c r="C17" s="1222"/>
      <c r="D17" s="1224"/>
      <c r="E17" s="656" t="s">
        <v>6</v>
      </c>
      <c r="F17" s="657">
        <v>0</v>
      </c>
      <c r="G17" s="658">
        <v>0</v>
      </c>
      <c r="H17" s="659"/>
    </row>
    <row r="18" spans="1:8" s="660" customFormat="1" ht="18" hidden="1" customHeight="1">
      <c r="A18" s="661"/>
      <c r="B18" s="655"/>
      <c r="C18" s="1223"/>
      <c r="D18" s="1225"/>
      <c r="E18" s="656" t="s">
        <v>7</v>
      </c>
      <c r="F18" s="657">
        <f>F16+F17</f>
        <v>201215</v>
      </c>
      <c r="G18" s="657">
        <f>G16+G17</f>
        <v>201215</v>
      </c>
      <c r="H18" s="659"/>
    </row>
    <row r="19" spans="1:8" s="660" customFormat="1" ht="15.95" customHeight="1">
      <c r="A19" s="654">
        <v>600</v>
      </c>
      <c r="B19" s="655">
        <v>60013</v>
      </c>
      <c r="C19" s="1234" t="s">
        <v>1161</v>
      </c>
      <c r="D19" s="1235" t="s">
        <v>1163</v>
      </c>
      <c r="E19" s="656" t="s">
        <v>5</v>
      </c>
      <c r="F19" s="657">
        <v>1000000</v>
      </c>
      <c r="G19" s="658">
        <v>5000000</v>
      </c>
      <c r="H19" s="659"/>
    </row>
    <row r="20" spans="1:8" s="660" customFormat="1" ht="15.95" customHeight="1">
      <c r="A20" s="661"/>
      <c r="B20" s="655"/>
      <c r="C20" s="1222"/>
      <c r="D20" s="1224"/>
      <c r="E20" s="656" t="s">
        <v>6</v>
      </c>
      <c r="F20" s="657">
        <v>-1000000</v>
      </c>
      <c r="G20" s="658">
        <v>-5000000</v>
      </c>
      <c r="H20" s="659"/>
    </row>
    <row r="21" spans="1:8" s="660" customFormat="1" ht="15.95" customHeight="1">
      <c r="A21" s="661"/>
      <c r="B21" s="655"/>
      <c r="C21" s="1223"/>
      <c r="D21" s="1225"/>
      <c r="E21" s="656" t="s">
        <v>7</v>
      </c>
      <c r="F21" s="657">
        <f>F19+F20</f>
        <v>0</v>
      </c>
      <c r="G21" s="657">
        <f>G19+G20</f>
        <v>0</v>
      </c>
      <c r="H21" s="659"/>
    </row>
    <row r="22" spans="1:8" s="660" customFormat="1" ht="18" hidden="1" customHeight="1">
      <c r="A22" s="661"/>
      <c r="B22" s="661"/>
      <c r="C22" s="1234" t="s">
        <v>1164</v>
      </c>
      <c r="D22" s="1235" t="s">
        <v>1165</v>
      </c>
      <c r="E22" s="656" t="s">
        <v>5</v>
      </c>
      <c r="F22" s="657">
        <v>283274</v>
      </c>
      <c r="G22" s="658">
        <v>2516651</v>
      </c>
      <c r="H22" s="659"/>
    </row>
    <row r="23" spans="1:8" s="660" customFormat="1" ht="18" hidden="1" customHeight="1">
      <c r="A23" s="661"/>
      <c r="B23" s="661"/>
      <c r="C23" s="1222"/>
      <c r="D23" s="1224"/>
      <c r="E23" s="656" t="s">
        <v>6</v>
      </c>
      <c r="F23" s="657">
        <v>0</v>
      </c>
      <c r="G23" s="658">
        <v>0</v>
      </c>
      <c r="H23" s="659"/>
    </row>
    <row r="24" spans="1:8" s="660" customFormat="1" ht="18" hidden="1" customHeight="1">
      <c r="A24" s="661"/>
      <c r="B24" s="661"/>
      <c r="C24" s="1223"/>
      <c r="D24" s="1225"/>
      <c r="E24" s="656" t="s">
        <v>7</v>
      </c>
      <c r="F24" s="657">
        <f>F22+F23</f>
        <v>283274</v>
      </c>
      <c r="G24" s="657">
        <f>G22+G23</f>
        <v>2516651</v>
      </c>
      <c r="H24" s="659"/>
    </row>
    <row r="25" spans="1:8" s="660" customFormat="1" ht="24" customHeight="1">
      <c r="A25" s="661"/>
      <c r="B25" s="661"/>
      <c r="C25" s="1234" t="s">
        <v>1166</v>
      </c>
      <c r="D25" s="1235" t="s">
        <v>1167</v>
      </c>
      <c r="E25" s="656" t="s">
        <v>5</v>
      </c>
      <c r="F25" s="657">
        <v>1618148</v>
      </c>
      <c r="G25" s="658">
        <v>8666654</v>
      </c>
      <c r="H25" s="659"/>
    </row>
    <row r="26" spans="1:8" s="660" customFormat="1" ht="24" customHeight="1">
      <c r="A26" s="661"/>
      <c r="B26" s="661"/>
      <c r="C26" s="1222"/>
      <c r="D26" s="1224"/>
      <c r="E26" s="656" t="s">
        <v>6</v>
      </c>
      <c r="F26" s="657">
        <v>232250</v>
      </c>
      <c r="G26" s="658">
        <v>927226</v>
      </c>
      <c r="H26" s="659"/>
    </row>
    <row r="27" spans="1:8" s="660" customFormat="1" ht="24" customHeight="1">
      <c r="A27" s="661"/>
      <c r="B27" s="661"/>
      <c r="C27" s="1223"/>
      <c r="D27" s="1225"/>
      <c r="E27" s="656" t="s">
        <v>7</v>
      </c>
      <c r="F27" s="657">
        <f>F25+F26</f>
        <v>1850398</v>
      </c>
      <c r="G27" s="657">
        <f>G25+G26</f>
        <v>9593880</v>
      </c>
      <c r="H27" s="659"/>
    </row>
    <row r="28" spans="1:8" s="660" customFormat="1" ht="27.95" customHeight="1">
      <c r="A28" s="661"/>
      <c r="B28" s="661"/>
      <c r="C28" s="1234" t="s">
        <v>1166</v>
      </c>
      <c r="D28" s="1235" t="s">
        <v>1168</v>
      </c>
      <c r="E28" s="656" t="s">
        <v>5</v>
      </c>
      <c r="F28" s="657">
        <v>1486605</v>
      </c>
      <c r="G28" s="658">
        <v>9272313</v>
      </c>
      <c r="H28" s="659"/>
    </row>
    <row r="29" spans="1:8" s="660" customFormat="1" ht="27.95" customHeight="1">
      <c r="A29" s="661"/>
      <c r="B29" s="661"/>
      <c r="C29" s="1222"/>
      <c r="D29" s="1224"/>
      <c r="E29" s="656" t="s">
        <v>6</v>
      </c>
      <c r="F29" s="657">
        <v>1284040</v>
      </c>
      <c r="G29" s="658">
        <v>1284040</v>
      </c>
      <c r="H29" s="659"/>
    </row>
    <row r="30" spans="1:8" s="660" customFormat="1" ht="27.95" customHeight="1">
      <c r="A30" s="661"/>
      <c r="B30" s="661"/>
      <c r="C30" s="1223"/>
      <c r="D30" s="1225"/>
      <c r="E30" s="656" t="s">
        <v>7</v>
      </c>
      <c r="F30" s="657">
        <f>F28+F29</f>
        <v>2770645</v>
      </c>
      <c r="G30" s="657">
        <f>G28+G29</f>
        <v>10556353</v>
      </c>
      <c r="H30" s="659"/>
    </row>
    <row r="31" spans="1:8" s="660" customFormat="1" ht="27.95" customHeight="1">
      <c r="A31" s="661"/>
      <c r="B31" s="661"/>
      <c r="C31" s="1234" t="s">
        <v>1166</v>
      </c>
      <c r="D31" s="1235" t="s">
        <v>1169</v>
      </c>
      <c r="E31" s="656" t="s">
        <v>5</v>
      </c>
      <c r="F31" s="657">
        <v>3858656</v>
      </c>
      <c r="G31" s="658">
        <v>13426625</v>
      </c>
      <c r="H31" s="659"/>
    </row>
    <row r="32" spans="1:8" s="660" customFormat="1" ht="27.95" customHeight="1">
      <c r="A32" s="661"/>
      <c r="B32" s="661"/>
      <c r="C32" s="1222"/>
      <c r="D32" s="1224"/>
      <c r="E32" s="656" t="s">
        <v>6</v>
      </c>
      <c r="F32" s="657">
        <v>-458070</v>
      </c>
      <c r="G32" s="658">
        <v>-458070</v>
      </c>
      <c r="H32" s="659"/>
    </row>
    <row r="33" spans="1:8" s="660" customFormat="1" ht="27.95" customHeight="1">
      <c r="A33" s="661"/>
      <c r="B33" s="661"/>
      <c r="C33" s="1223"/>
      <c r="D33" s="1225"/>
      <c r="E33" s="656" t="s">
        <v>7</v>
      </c>
      <c r="F33" s="657">
        <f>F31+F32</f>
        <v>3400586</v>
      </c>
      <c r="G33" s="657">
        <f>G31+G32</f>
        <v>12968555</v>
      </c>
      <c r="H33" s="659"/>
    </row>
    <row r="34" spans="1:8" s="660" customFormat="1" ht="18" customHeight="1">
      <c r="A34" s="661"/>
      <c r="B34" s="661"/>
      <c r="C34" s="1234" t="s">
        <v>1166</v>
      </c>
      <c r="D34" s="1235" t="s">
        <v>1170</v>
      </c>
      <c r="E34" s="656" t="s">
        <v>5</v>
      </c>
      <c r="F34" s="657">
        <v>1112781</v>
      </c>
      <c r="G34" s="658">
        <v>15363557</v>
      </c>
      <c r="H34" s="659"/>
    </row>
    <row r="35" spans="1:8" s="660" customFormat="1" ht="18" customHeight="1">
      <c r="A35" s="661"/>
      <c r="B35" s="661"/>
      <c r="C35" s="1222"/>
      <c r="D35" s="1224"/>
      <c r="E35" s="656" t="s">
        <v>6</v>
      </c>
      <c r="F35" s="657">
        <v>72000</v>
      </c>
      <c r="G35" s="658">
        <v>375104</v>
      </c>
      <c r="H35" s="659"/>
    </row>
    <row r="36" spans="1:8" s="660" customFormat="1" ht="18" customHeight="1">
      <c r="A36" s="661"/>
      <c r="B36" s="661"/>
      <c r="C36" s="1223"/>
      <c r="D36" s="1225"/>
      <c r="E36" s="656" t="s">
        <v>7</v>
      </c>
      <c r="F36" s="657">
        <f>F34+F35</f>
        <v>1184781</v>
      </c>
      <c r="G36" s="657">
        <f>G34+G35</f>
        <v>15738661</v>
      </c>
      <c r="H36" s="659"/>
    </row>
    <row r="37" spans="1:8" s="660" customFormat="1" ht="18" customHeight="1">
      <c r="A37" s="661"/>
      <c r="B37" s="661"/>
      <c r="C37" s="1234" t="s">
        <v>1164</v>
      </c>
      <c r="D37" s="1235" t="s">
        <v>1171</v>
      </c>
      <c r="E37" s="656" t="s">
        <v>5</v>
      </c>
      <c r="F37" s="657">
        <v>4371456</v>
      </c>
      <c r="G37" s="658">
        <v>52282261</v>
      </c>
      <c r="H37" s="659"/>
    </row>
    <row r="38" spans="1:8" s="660" customFormat="1" ht="18" customHeight="1">
      <c r="A38" s="661"/>
      <c r="B38" s="661"/>
      <c r="C38" s="1222"/>
      <c r="D38" s="1224"/>
      <c r="E38" s="656" t="s">
        <v>6</v>
      </c>
      <c r="F38" s="657">
        <v>0</v>
      </c>
      <c r="G38" s="658">
        <v>57720</v>
      </c>
      <c r="H38" s="659"/>
    </row>
    <row r="39" spans="1:8" s="660" customFormat="1" ht="18" customHeight="1">
      <c r="A39" s="661"/>
      <c r="B39" s="661"/>
      <c r="C39" s="1223"/>
      <c r="D39" s="1225"/>
      <c r="E39" s="656" t="s">
        <v>7</v>
      </c>
      <c r="F39" s="657">
        <f>F37+F38</f>
        <v>4371456</v>
      </c>
      <c r="G39" s="657">
        <f>G37+G38</f>
        <v>52339981</v>
      </c>
      <c r="H39" s="659"/>
    </row>
    <row r="40" spans="1:8" s="660" customFormat="1" ht="15.95" customHeight="1">
      <c r="A40" s="661"/>
      <c r="B40" s="661"/>
      <c r="C40" s="1234" t="s">
        <v>1164</v>
      </c>
      <c r="D40" s="1235" t="s">
        <v>1172</v>
      </c>
      <c r="E40" s="656" t="s">
        <v>5</v>
      </c>
      <c r="F40" s="657">
        <v>1191654</v>
      </c>
      <c r="G40" s="658">
        <v>46876968</v>
      </c>
      <c r="H40" s="659"/>
    </row>
    <row r="41" spans="1:8" s="660" customFormat="1" ht="15.95" customHeight="1">
      <c r="A41" s="661"/>
      <c r="B41" s="661"/>
      <c r="C41" s="1222"/>
      <c r="D41" s="1224"/>
      <c r="E41" s="656" t="s">
        <v>6</v>
      </c>
      <c r="F41" s="657">
        <v>0</v>
      </c>
      <c r="G41" s="658">
        <v>35574</v>
      </c>
      <c r="H41" s="659"/>
    </row>
    <row r="42" spans="1:8" s="660" customFormat="1" ht="15.95" customHeight="1">
      <c r="A42" s="661"/>
      <c r="B42" s="661"/>
      <c r="C42" s="1223"/>
      <c r="D42" s="1225"/>
      <c r="E42" s="656" t="s">
        <v>7</v>
      </c>
      <c r="F42" s="657">
        <f>F40+F41</f>
        <v>1191654</v>
      </c>
      <c r="G42" s="657">
        <f>G40+G41</f>
        <v>46912542</v>
      </c>
      <c r="H42" s="659"/>
    </row>
    <row r="43" spans="1:8" s="571" customFormat="1" ht="17.100000000000001" hidden="1" customHeight="1">
      <c r="A43" s="662"/>
      <c r="B43" s="662"/>
      <c r="C43" s="1215" t="s">
        <v>1164</v>
      </c>
      <c r="D43" s="1218" t="s">
        <v>1173</v>
      </c>
      <c r="E43" s="663" t="s">
        <v>5</v>
      </c>
      <c r="F43" s="664">
        <v>1011882</v>
      </c>
      <c r="G43" s="665">
        <v>2511882</v>
      </c>
      <c r="H43" s="666"/>
    </row>
    <row r="44" spans="1:8" s="571" customFormat="1" ht="17.100000000000001" hidden="1" customHeight="1">
      <c r="A44" s="667"/>
      <c r="B44" s="667"/>
      <c r="C44" s="1236"/>
      <c r="D44" s="1238"/>
      <c r="E44" s="663" t="s">
        <v>6</v>
      </c>
      <c r="F44" s="664">
        <v>0</v>
      </c>
      <c r="G44" s="665">
        <v>0</v>
      </c>
      <c r="H44" s="666"/>
    </row>
    <row r="45" spans="1:8" s="571" customFormat="1" ht="17.100000000000001" hidden="1" customHeight="1">
      <c r="A45" s="668"/>
      <c r="B45" s="668"/>
      <c r="C45" s="1237"/>
      <c r="D45" s="1239"/>
      <c r="E45" s="663" t="s">
        <v>7</v>
      </c>
      <c r="F45" s="664">
        <f>F43+F44</f>
        <v>1011882</v>
      </c>
      <c r="G45" s="664">
        <f>G43+G44</f>
        <v>2511882</v>
      </c>
      <c r="H45" s="666"/>
    </row>
    <row r="46" spans="1:8" s="530" customFormat="1" ht="17.100000000000001" hidden="1" customHeight="1">
      <c r="A46" s="669" t="s">
        <v>61</v>
      </c>
      <c r="B46" s="669" t="s">
        <v>63</v>
      </c>
      <c r="C46" s="1221" t="s">
        <v>1166</v>
      </c>
      <c r="D46" s="1212" t="s">
        <v>1174</v>
      </c>
      <c r="E46" s="670" t="s">
        <v>5</v>
      </c>
      <c r="F46" s="671">
        <v>57555</v>
      </c>
      <c r="G46" s="621">
        <v>49409736</v>
      </c>
      <c r="H46" s="622"/>
    </row>
    <row r="47" spans="1:8" s="530" customFormat="1" ht="17.100000000000001" hidden="1" customHeight="1">
      <c r="A47" s="672"/>
      <c r="B47" s="672"/>
      <c r="C47" s="1222"/>
      <c r="D47" s="1224"/>
      <c r="E47" s="670" t="s">
        <v>6</v>
      </c>
      <c r="F47" s="671">
        <v>0</v>
      </c>
      <c r="G47" s="621">
        <v>0</v>
      </c>
      <c r="H47" s="622"/>
    </row>
    <row r="48" spans="1:8" s="530" customFormat="1" ht="17.100000000000001" hidden="1" customHeight="1">
      <c r="A48" s="672"/>
      <c r="B48" s="672"/>
      <c r="C48" s="1223"/>
      <c r="D48" s="1225"/>
      <c r="E48" s="670" t="s">
        <v>7</v>
      </c>
      <c r="F48" s="671">
        <f>F46+F47</f>
        <v>57555</v>
      </c>
      <c r="G48" s="671">
        <f>G46+G47</f>
        <v>49409736</v>
      </c>
      <c r="H48" s="622"/>
    </row>
    <row r="49" spans="1:8" s="530" customFormat="1" ht="17.100000000000001" hidden="1" customHeight="1">
      <c r="A49" s="669" t="s">
        <v>20</v>
      </c>
      <c r="B49" s="669" t="s">
        <v>115</v>
      </c>
      <c r="C49" s="1221" t="s">
        <v>1164</v>
      </c>
      <c r="D49" s="1212" t="s">
        <v>1175</v>
      </c>
      <c r="E49" s="670" t="s">
        <v>5</v>
      </c>
      <c r="F49" s="671">
        <v>449776</v>
      </c>
      <c r="G49" s="621">
        <v>5788981</v>
      </c>
      <c r="H49" s="622"/>
    </row>
    <row r="50" spans="1:8" s="530" customFormat="1" ht="17.100000000000001" hidden="1" customHeight="1">
      <c r="A50" s="672"/>
      <c r="B50" s="672"/>
      <c r="C50" s="1222"/>
      <c r="D50" s="1224"/>
      <c r="E50" s="670" t="s">
        <v>6</v>
      </c>
      <c r="F50" s="671">
        <v>0</v>
      </c>
      <c r="G50" s="621">
        <v>0</v>
      </c>
      <c r="H50" s="622"/>
    </row>
    <row r="51" spans="1:8" s="530" customFormat="1" ht="17.100000000000001" hidden="1" customHeight="1">
      <c r="A51" s="672"/>
      <c r="B51" s="672"/>
      <c r="C51" s="1223"/>
      <c r="D51" s="1225"/>
      <c r="E51" s="670" t="s">
        <v>7</v>
      </c>
      <c r="F51" s="671">
        <f>F49+F50</f>
        <v>449776</v>
      </c>
      <c r="G51" s="671">
        <f>G49+G50</f>
        <v>5788981</v>
      </c>
      <c r="H51" s="622"/>
    </row>
    <row r="52" spans="1:8" s="530" customFormat="1" ht="17.100000000000001" hidden="1" customHeight="1">
      <c r="A52" s="672"/>
      <c r="B52" s="672"/>
      <c r="C52" s="1221" t="s">
        <v>1164</v>
      </c>
      <c r="D52" s="1212" t="s">
        <v>1176</v>
      </c>
      <c r="E52" s="670" t="s">
        <v>5</v>
      </c>
      <c r="F52" s="671">
        <v>643921</v>
      </c>
      <c r="G52" s="621">
        <v>4113793</v>
      </c>
      <c r="H52" s="622"/>
    </row>
    <row r="53" spans="1:8" s="530" customFormat="1" ht="17.100000000000001" hidden="1" customHeight="1">
      <c r="A53" s="672"/>
      <c r="B53" s="672"/>
      <c r="C53" s="1222"/>
      <c r="D53" s="1224"/>
      <c r="E53" s="670" t="s">
        <v>6</v>
      </c>
      <c r="F53" s="671">
        <v>0</v>
      </c>
      <c r="G53" s="621">
        <v>0</v>
      </c>
      <c r="H53" s="622"/>
    </row>
    <row r="54" spans="1:8" s="530" customFormat="1" ht="17.100000000000001" hidden="1" customHeight="1">
      <c r="A54" s="673"/>
      <c r="B54" s="673"/>
      <c r="C54" s="1223"/>
      <c r="D54" s="1225"/>
      <c r="E54" s="670" t="s">
        <v>7</v>
      </c>
      <c r="F54" s="671">
        <f>F52+F53</f>
        <v>643921</v>
      </c>
      <c r="G54" s="671">
        <f>G52+G53</f>
        <v>4113793</v>
      </c>
      <c r="H54" s="622"/>
    </row>
    <row r="55" spans="1:8" s="530" customFormat="1" ht="17.100000000000001" hidden="1" customHeight="1">
      <c r="A55" s="669" t="s">
        <v>23</v>
      </c>
      <c r="B55" s="669" t="s">
        <v>142</v>
      </c>
      <c r="C55" s="1221" t="s">
        <v>1166</v>
      </c>
      <c r="D55" s="1212" t="s">
        <v>1177</v>
      </c>
      <c r="E55" s="670" t="s">
        <v>5</v>
      </c>
      <c r="F55" s="671">
        <v>680000</v>
      </c>
      <c r="G55" s="621">
        <v>680000</v>
      </c>
      <c r="H55" s="622"/>
    </row>
    <row r="56" spans="1:8" s="530" customFormat="1" ht="17.100000000000001" hidden="1" customHeight="1">
      <c r="A56" s="672"/>
      <c r="B56" s="672"/>
      <c r="C56" s="1222"/>
      <c r="D56" s="1224"/>
      <c r="E56" s="670" t="s">
        <v>6</v>
      </c>
      <c r="F56" s="671">
        <v>0</v>
      </c>
      <c r="G56" s="621">
        <v>0</v>
      </c>
      <c r="H56" s="622"/>
    </row>
    <row r="57" spans="1:8" s="530" customFormat="1" ht="17.100000000000001" hidden="1" customHeight="1">
      <c r="A57" s="673"/>
      <c r="B57" s="673"/>
      <c r="C57" s="1223"/>
      <c r="D57" s="1225"/>
      <c r="E57" s="670" t="s">
        <v>7</v>
      </c>
      <c r="F57" s="671">
        <f>F55+F56</f>
        <v>680000</v>
      </c>
      <c r="G57" s="671">
        <f>G55+G56</f>
        <v>680000</v>
      </c>
      <c r="H57" s="622"/>
    </row>
    <row r="58" spans="1:8" s="569" customFormat="1" ht="17.100000000000001" hidden="1" customHeight="1">
      <c r="A58" s="662" t="s">
        <v>26</v>
      </c>
      <c r="B58" s="674" t="s">
        <v>341</v>
      </c>
      <c r="C58" s="1229" t="s">
        <v>1178</v>
      </c>
      <c r="D58" s="1218" t="s">
        <v>1179</v>
      </c>
      <c r="E58" s="675" t="s">
        <v>5</v>
      </c>
      <c r="F58" s="664">
        <v>33500</v>
      </c>
      <c r="G58" s="665">
        <v>33500</v>
      </c>
      <c r="H58" s="676"/>
    </row>
    <row r="59" spans="1:8" s="569" customFormat="1" ht="17.100000000000001" hidden="1" customHeight="1">
      <c r="A59" s="662"/>
      <c r="B59" s="662"/>
      <c r="C59" s="1230"/>
      <c r="D59" s="1232"/>
      <c r="E59" s="675" t="s">
        <v>6</v>
      </c>
      <c r="F59" s="664">
        <v>0</v>
      </c>
      <c r="G59" s="665">
        <v>0</v>
      </c>
      <c r="H59" s="676"/>
    </row>
    <row r="60" spans="1:8" s="569" customFormat="1" ht="17.100000000000001" hidden="1" customHeight="1">
      <c r="A60" s="677"/>
      <c r="B60" s="677"/>
      <c r="C60" s="1231"/>
      <c r="D60" s="1233"/>
      <c r="E60" s="675" t="s">
        <v>7</v>
      </c>
      <c r="F60" s="664">
        <f>F58+F59</f>
        <v>33500</v>
      </c>
      <c r="G60" s="664">
        <f>G58+G59</f>
        <v>33500</v>
      </c>
      <c r="H60" s="676"/>
    </row>
    <row r="61" spans="1:8" s="530" customFormat="1" ht="17.100000000000001" hidden="1" customHeight="1">
      <c r="A61" s="669" t="s">
        <v>248</v>
      </c>
      <c r="B61" s="669" t="s">
        <v>1048</v>
      </c>
      <c r="C61" s="1221" t="s">
        <v>1164</v>
      </c>
      <c r="D61" s="1212" t="s">
        <v>1180</v>
      </c>
      <c r="E61" s="670" t="s">
        <v>5</v>
      </c>
      <c r="F61" s="671">
        <v>78000</v>
      </c>
      <c r="G61" s="621">
        <v>400000</v>
      </c>
      <c r="H61" s="622"/>
    </row>
    <row r="62" spans="1:8" s="530" customFormat="1" ht="17.100000000000001" hidden="1" customHeight="1">
      <c r="A62" s="672"/>
      <c r="B62" s="672"/>
      <c r="C62" s="1222"/>
      <c r="D62" s="1224"/>
      <c r="E62" s="670" t="s">
        <v>6</v>
      </c>
      <c r="F62" s="671">
        <v>0</v>
      </c>
      <c r="G62" s="621">
        <v>0</v>
      </c>
      <c r="H62" s="622"/>
    </row>
    <row r="63" spans="1:8" s="530" customFormat="1" ht="17.100000000000001" hidden="1" customHeight="1">
      <c r="A63" s="672"/>
      <c r="B63" s="672"/>
      <c r="C63" s="1223"/>
      <c r="D63" s="1225"/>
      <c r="E63" s="670" t="s">
        <v>7</v>
      </c>
      <c r="F63" s="671">
        <f>F61+F62</f>
        <v>78000</v>
      </c>
      <c r="G63" s="671">
        <f>G61+G62</f>
        <v>400000</v>
      </c>
      <c r="H63" s="622"/>
    </row>
    <row r="64" spans="1:8" s="530" customFormat="1" ht="15.95" customHeight="1">
      <c r="A64" s="669" t="s">
        <v>261</v>
      </c>
      <c r="B64" s="1226" t="s">
        <v>1181</v>
      </c>
      <c r="C64" s="1221" t="s">
        <v>1182</v>
      </c>
      <c r="D64" s="1212" t="s">
        <v>1183</v>
      </c>
      <c r="E64" s="670" t="s">
        <v>5</v>
      </c>
      <c r="F64" s="671">
        <v>240000</v>
      </c>
      <c r="G64" s="621">
        <v>690000</v>
      </c>
      <c r="H64" s="622"/>
    </row>
    <row r="65" spans="1:8" s="530" customFormat="1" ht="15.95" customHeight="1">
      <c r="A65" s="672"/>
      <c r="B65" s="1227"/>
      <c r="C65" s="1222"/>
      <c r="D65" s="1224"/>
      <c r="E65" s="670" t="s">
        <v>6</v>
      </c>
      <c r="F65" s="671">
        <v>-240000</v>
      </c>
      <c r="G65" s="621">
        <v>-690000</v>
      </c>
      <c r="H65" s="622"/>
    </row>
    <row r="66" spans="1:8" s="530" customFormat="1" ht="15.95" customHeight="1">
      <c r="A66" s="672"/>
      <c r="B66" s="1228"/>
      <c r="C66" s="1223"/>
      <c r="D66" s="1225"/>
      <c r="E66" s="670" t="s">
        <v>7</v>
      </c>
      <c r="F66" s="671">
        <f>F64+F65</f>
        <v>0</v>
      </c>
      <c r="G66" s="671">
        <f>G64+G65</f>
        <v>0</v>
      </c>
      <c r="H66" s="622"/>
    </row>
    <row r="67" spans="1:8" s="530" customFormat="1" ht="17.100000000000001" hidden="1" customHeight="1">
      <c r="A67" s="672"/>
      <c r="B67" s="1226" t="s">
        <v>1181</v>
      </c>
      <c r="C67" s="1221" t="s">
        <v>1182</v>
      </c>
      <c r="D67" s="1212" t="s">
        <v>1184</v>
      </c>
      <c r="E67" s="670" t="s">
        <v>5</v>
      </c>
      <c r="F67" s="671">
        <v>200000</v>
      </c>
      <c r="G67" s="621">
        <v>650000</v>
      </c>
      <c r="H67" s="622"/>
    </row>
    <row r="68" spans="1:8" s="530" customFormat="1" ht="17.100000000000001" hidden="1" customHeight="1">
      <c r="A68" s="672"/>
      <c r="B68" s="1227"/>
      <c r="C68" s="1222"/>
      <c r="D68" s="1224"/>
      <c r="E68" s="670" t="s">
        <v>6</v>
      </c>
      <c r="F68" s="671">
        <v>0</v>
      </c>
      <c r="G68" s="621">
        <v>0</v>
      </c>
      <c r="H68" s="622"/>
    </row>
    <row r="69" spans="1:8" s="530" customFormat="1" ht="17.100000000000001" hidden="1" customHeight="1">
      <c r="A69" s="672"/>
      <c r="B69" s="1228"/>
      <c r="C69" s="1223"/>
      <c r="D69" s="1225"/>
      <c r="E69" s="670" t="s">
        <v>7</v>
      </c>
      <c r="F69" s="671">
        <f>F67+F68</f>
        <v>200000</v>
      </c>
      <c r="G69" s="671">
        <f>G67+G68</f>
        <v>650000</v>
      </c>
      <c r="H69" s="622"/>
    </row>
    <row r="70" spans="1:8" s="530" customFormat="1" ht="17.100000000000001" hidden="1" customHeight="1">
      <c r="A70" s="672"/>
      <c r="B70" s="1226" t="s">
        <v>1185</v>
      </c>
      <c r="C70" s="1221" t="s">
        <v>1182</v>
      </c>
      <c r="D70" s="1212" t="s">
        <v>1186</v>
      </c>
      <c r="E70" s="670" t="s">
        <v>5</v>
      </c>
      <c r="F70" s="671">
        <v>10000</v>
      </c>
      <c r="G70" s="621">
        <v>61000</v>
      </c>
      <c r="H70" s="622"/>
    </row>
    <row r="71" spans="1:8" s="530" customFormat="1" ht="17.100000000000001" hidden="1" customHeight="1">
      <c r="A71" s="672"/>
      <c r="B71" s="1227"/>
      <c r="C71" s="1222"/>
      <c r="D71" s="1224"/>
      <c r="E71" s="670" t="s">
        <v>6</v>
      </c>
      <c r="F71" s="671">
        <v>0</v>
      </c>
      <c r="G71" s="621">
        <v>0</v>
      </c>
      <c r="H71" s="622"/>
    </row>
    <row r="72" spans="1:8" s="530" customFormat="1" ht="17.100000000000001" hidden="1" customHeight="1">
      <c r="A72" s="672"/>
      <c r="B72" s="1228"/>
      <c r="C72" s="1223"/>
      <c r="D72" s="1225"/>
      <c r="E72" s="670" t="s">
        <v>7</v>
      </c>
      <c r="F72" s="671">
        <f>F70+F71</f>
        <v>10000</v>
      </c>
      <c r="G72" s="671">
        <f>G70+G71</f>
        <v>61000</v>
      </c>
      <c r="H72" s="622"/>
    </row>
    <row r="73" spans="1:8" s="530" customFormat="1" ht="17.100000000000001" hidden="1" customHeight="1">
      <c r="A73" s="672"/>
      <c r="B73" s="1226" t="s">
        <v>1187</v>
      </c>
      <c r="C73" s="1221" t="s">
        <v>1182</v>
      </c>
      <c r="D73" s="1212" t="s">
        <v>1188</v>
      </c>
      <c r="E73" s="670" t="s">
        <v>5</v>
      </c>
      <c r="F73" s="671">
        <v>20000</v>
      </c>
      <c r="G73" s="621">
        <v>65000</v>
      </c>
      <c r="H73" s="622"/>
    </row>
    <row r="74" spans="1:8" s="530" customFormat="1" ht="17.100000000000001" hidden="1" customHeight="1">
      <c r="A74" s="672"/>
      <c r="B74" s="1227"/>
      <c r="C74" s="1222"/>
      <c r="D74" s="1224"/>
      <c r="E74" s="670" t="s">
        <v>6</v>
      </c>
      <c r="F74" s="671">
        <v>0</v>
      </c>
      <c r="G74" s="621">
        <v>0</v>
      </c>
      <c r="H74" s="622"/>
    </row>
    <row r="75" spans="1:8" s="530" customFormat="1" ht="17.100000000000001" hidden="1" customHeight="1">
      <c r="A75" s="672"/>
      <c r="B75" s="1228"/>
      <c r="C75" s="1223"/>
      <c r="D75" s="1225"/>
      <c r="E75" s="670" t="s">
        <v>7</v>
      </c>
      <c r="F75" s="671">
        <f>F73+F74</f>
        <v>20000</v>
      </c>
      <c r="G75" s="671">
        <f>G73+G74</f>
        <v>65000</v>
      </c>
      <c r="H75" s="622"/>
    </row>
    <row r="76" spans="1:8" s="530" customFormat="1" ht="17.100000000000001" hidden="1" customHeight="1">
      <c r="A76" s="672"/>
      <c r="B76" s="672" t="s">
        <v>355</v>
      </c>
      <c r="C76" s="1209" t="s">
        <v>1182</v>
      </c>
      <c r="D76" s="1209" t="s">
        <v>356</v>
      </c>
      <c r="E76" s="670" t="s">
        <v>5</v>
      </c>
      <c r="F76" s="671">
        <v>20000</v>
      </c>
      <c r="G76" s="621">
        <v>20000</v>
      </c>
      <c r="H76" s="622"/>
    </row>
    <row r="77" spans="1:8" s="530" customFormat="1" ht="17.100000000000001" hidden="1" customHeight="1">
      <c r="A77" s="672"/>
      <c r="B77" s="672"/>
      <c r="C77" s="1210"/>
      <c r="D77" s="1210"/>
      <c r="E77" s="670" t="s">
        <v>6</v>
      </c>
      <c r="F77" s="671">
        <v>0</v>
      </c>
      <c r="G77" s="621">
        <v>0</v>
      </c>
      <c r="H77" s="622"/>
    </row>
    <row r="78" spans="1:8" s="530" customFormat="1" ht="17.100000000000001" hidden="1" customHeight="1">
      <c r="A78" s="672"/>
      <c r="B78" s="672"/>
      <c r="C78" s="1211"/>
      <c r="D78" s="1211"/>
      <c r="E78" s="670" t="s">
        <v>7</v>
      </c>
      <c r="F78" s="671">
        <f>F76+F77</f>
        <v>20000</v>
      </c>
      <c r="G78" s="671">
        <f>G76+G77</f>
        <v>20000</v>
      </c>
      <c r="H78" s="622"/>
    </row>
    <row r="79" spans="1:8" s="569" customFormat="1" ht="15.95" customHeight="1">
      <c r="A79" s="662"/>
      <c r="B79" s="678" t="s">
        <v>262</v>
      </c>
      <c r="C79" s="1215" t="s">
        <v>1182</v>
      </c>
      <c r="D79" s="1218" t="s">
        <v>363</v>
      </c>
      <c r="E79" s="663" t="s">
        <v>5</v>
      </c>
      <c r="F79" s="664">
        <v>0</v>
      </c>
      <c r="G79" s="665">
        <v>0</v>
      </c>
      <c r="H79" s="676"/>
    </row>
    <row r="80" spans="1:8" s="569" customFormat="1" ht="15.95" customHeight="1">
      <c r="A80" s="679"/>
      <c r="B80" s="679"/>
      <c r="C80" s="1216"/>
      <c r="D80" s="1219"/>
      <c r="E80" s="663" t="s">
        <v>6</v>
      </c>
      <c r="F80" s="664">
        <v>21486</v>
      </c>
      <c r="G80" s="665">
        <v>42972</v>
      </c>
      <c r="H80" s="676"/>
    </row>
    <row r="81" spans="1:8" s="569" customFormat="1" ht="15.95" customHeight="1">
      <c r="A81" s="679"/>
      <c r="B81" s="680"/>
      <c r="C81" s="1217"/>
      <c r="D81" s="1220"/>
      <c r="E81" s="663" t="s">
        <v>7</v>
      </c>
      <c r="F81" s="664">
        <f>F79+F80</f>
        <v>21486</v>
      </c>
      <c r="G81" s="664">
        <f>G79+G80</f>
        <v>42972</v>
      </c>
      <c r="H81" s="676"/>
    </row>
    <row r="82" spans="1:8" s="530" customFormat="1" ht="17.100000000000001" hidden="1" customHeight="1">
      <c r="A82" s="672"/>
      <c r="B82" s="669" t="s">
        <v>267</v>
      </c>
      <c r="C82" s="1221" t="s">
        <v>1189</v>
      </c>
      <c r="D82" s="1212" t="s">
        <v>1190</v>
      </c>
      <c r="E82" s="670" t="s">
        <v>5</v>
      </c>
      <c r="F82" s="671">
        <v>71122</v>
      </c>
      <c r="G82" s="621">
        <v>942472</v>
      </c>
      <c r="H82" s="622"/>
    </row>
    <row r="83" spans="1:8" s="530" customFormat="1" ht="17.100000000000001" hidden="1" customHeight="1">
      <c r="A83" s="672"/>
      <c r="B83" s="672"/>
      <c r="C83" s="1222"/>
      <c r="D83" s="1224"/>
      <c r="E83" s="670" t="s">
        <v>6</v>
      </c>
      <c r="F83" s="671">
        <v>0</v>
      </c>
      <c r="G83" s="621">
        <v>0</v>
      </c>
      <c r="H83" s="622"/>
    </row>
    <row r="84" spans="1:8" s="530" customFormat="1" ht="17.100000000000001" hidden="1" customHeight="1">
      <c r="A84" s="672"/>
      <c r="B84" s="672"/>
      <c r="C84" s="1223"/>
      <c r="D84" s="1225"/>
      <c r="E84" s="670" t="s">
        <v>7</v>
      </c>
      <c r="F84" s="671">
        <f>F82+F83</f>
        <v>71122</v>
      </c>
      <c r="G84" s="671">
        <f>G82+G83</f>
        <v>942472</v>
      </c>
      <c r="H84" s="622"/>
    </row>
    <row r="85" spans="1:8" s="530" customFormat="1" ht="17.100000000000001" hidden="1" customHeight="1">
      <c r="A85" s="672"/>
      <c r="B85" s="669" t="s">
        <v>273</v>
      </c>
      <c r="C85" s="1209" t="s">
        <v>1182</v>
      </c>
      <c r="D85" s="1209" t="s">
        <v>1191</v>
      </c>
      <c r="E85" s="670" t="s">
        <v>5</v>
      </c>
      <c r="F85" s="671">
        <v>2300000</v>
      </c>
      <c r="G85" s="621">
        <v>11884000</v>
      </c>
      <c r="H85" s="622"/>
    </row>
    <row r="86" spans="1:8" s="530" customFormat="1" ht="17.100000000000001" hidden="1" customHeight="1">
      <c r="A86" s="672"/>
      <c r="B86" s="672"/>
      <c r="C86" s="1210"/>
      <c r="D86" s="1210"/>
      <c r="E86" s="670" t="s">
        <v>6</v>
      </c>
      <c r="F86" s="671">
        <v>0</v>
      </c>
      <c r="G86" s="621">
        <v>0</v>
      </c>
      <c r="H86" s="622"/>
    </row>
    <row r="87" spans="1:8" s="530" customFormat="1" ht="17.100000000000001" hidden="1" customHeight="1">
      <c r="A87" s="672"/>
      <c r="B87" s="672"/>
      <c r="C87" s="1211"/>
      <c r="D87" s="1211"/>
      <c r="E87" s="670" t="s">
        <v>7</v>
      </c>
      <c r="F87" s="671">
        <f>F85+F86</f>
        <v>2300000</v>
      </c>
      <c r="G87" s="671">
        <f>G85+G86</f>
        <v>11884000</v>
      </c>
      <c r="H87" s="622"/>
    </row>
    <row r="88" spans="1:8" s="530" customFormat="1" ht="17.100000000000001" hidden="1" customHeight="1">
      <c r="A88" s="672"/>
      <c r="B88" s="669" t="s">
        <v>273</v>
      </c>
      <c r="C88" s="1209" t="s">
        <v>1182</v>
      </c>
      <c r="D88" s="1209" t="s">
        <v>1192</v>
      </c>
      <c r="E88" s="670" t="s">
        <v>5</v>
      </c>
      <c r="F88" s="671">
        <v>9000</v>
      </c>
      <c r="G88" s="621">
        <v>9000</v>
      </c>
      <c r="H88" s="622"/>
    </row>
    <row r="89" spans="1:8" s="530" customFormat="1" ht="17.100000000000001" hidden="1" customHeight="1">
      <c r="A89" s="672"/>
      <c r="B89" s="672"/>
      <c r="C89" s="1210"/>
      <c r="D89" s="1210"/>
      <c r="E89" s="670" t="s">
        <v>6</v>
      </c>
      <c r="F89" s="671">
        <v>0</v>
      </c>
      <c r="G89" s="621">
        <v>0</v>
      </c>
      <c r="H89" s="622"/>
    </row>
    <row r="90" spans="1:8" s="530" customFormat="1" ht="17.100000000000001" hidden="1" customHeight="1">
      <c r="A90" s="672"/>
      <c r="B90" s="672"/>
      <c r="C90" s="1211"/>
      <c r="D90" s="1211"/>
      <c r="E90" s="670" t="s">
        <v>7</v>
      </c>
      <c r="F90" s="671">
        <f>F88+F89</f>
        <v>9000</v>
      </c>
      <c r="G90" s="671">
        <f>G88+G89</f>
        <v>9000</v>
      </c>
      <c r="H90" s="622"/>
    </row>
    <row r="91" spans="1:8" s="530" customFormat="1" ht="17.100000000000001" hidden="1" customHeight="1">
      <c r="A91" s="672"/>
      <c r="B91" s="672"/>
      <c r="C91" s="1209" t="s">
        <v>1182</v>
      </c>
      <c r="D91" s="1209" t="s">
        <v>1193</v>
      </c>
      <c r="E91" s="670" t="s">
        <v>5</v>
      </c>
      <c r="F91" s="671">
        <v>38600</v>
      </c>
      <c r="G91" s="621">
        <v>38600</v>
      </c>
      <c r="H91" s="622"/>
    </row>
    <row r="92" spans="1:8" s="530" customFormat="1" ht="17.100000000000001" hidden="1" customHeight="1">
      <c r="A92" s="672"/>
      <c r="B92" s="672"/>
      <c r="C92" s="1210"/>
      <c r="D92" s="1210"/>
      <c r="E92" s="670" t="s">
        <v>6</v>
      </c>
      <c r="F92" s="671">
        <v>0</v>
      </c>
      <c r="G92" s="621">
        <v>0</v>
      </c>
      <c r="H92" s="622"/>
    </row>
    <row r="93" spans="1:8" s="530" customFormat="1" ht="17.100000000000001" hidden="1" customHeight="1">
      <c r="A93" s="672"/>
      <c r="B93" s="672"/>
      <c r="C93" s="1211"/>
      <c r="D93" s="1211"/>
      <c r="E93" s="670" t="s">
        <v>7</v>
      </c>
      <c r="F93" s="671">
        <f>F91+F92</f>
        <v>38600</v>
      </c>
      <c r="G93" s="671">
        <f>G91+G92</f>
        <v>38600</v>
      </c>
      <c r="H93" s="622"/>
    </row>
    <row r="94" spans="1:8" s="530" customFormat="1" ht="17.100000000000001" hidden="1" customHeight="1">
      <c r="A94" s="672"/>
      <c r="B94" s="672"/>
      <c r="C94" s="1209" t="s">
        <v>1182</v>
      </c>
      <c r="D94" s="1209" t="s">
        <v>1194</v>
      </c>
      <c r="E94" s="670" t="s">
        <v>5</v>
      </c>
      <c r="F94" s="671">
        <v>134000</v>
      </c>
      <c r="G94" s="621">
        <v>134000</v>
      </c>
      <c r="H94" s="622"/>
    </row>
    <row r="95" spans="1:8" s="530" customFormat="1" ht="17.100000000000001" hidden="1" customHeight="1">
      <c r="A95" s="672"/>
      <c r="B95" s="672"/>
      <c r="C95" s="1210"/>
      <c r="D95" s="1210"/>
      <c r="E95" s="670" t="s">
        <v>6</v>
      </c>
      <c r="F95" s="671">
        <v>0</v>
      </c>
      <c r="G95" s="621">
        <v>0</v>
      </c>
      <c r="H95" s="622"/>
    </row>
    <row r="96" spans="1:8" s="530" customFormat="1" ht="17.100000000000001" hidden="1" customHeight="1">
      <c r="A96" s="672"/>
      <c r="B96" s="672"/>
      <c r="C96" s="1211"/>
      <c r="D96" s="1211"/>
      <c r="E96" s="670" t="s">
        <v>7</v>
      </c>
      <c r="F96" s="671">
        <f>F94+F95</f>
        <v>134000</v>
      </c>
      <c r="G96" s="671">
        <f>G94+G95</f>
        <v>134000</v>
      </c>
      <c r="H96" s="622"/>
    </row>
    <row r="97" spans="1:14" s="530" customFormat="1" ht="17.100000000000001" hidden="1" customHeight="1">
      <c r="A97" s="672"/>
      <c r="B97" s="672"/>
      <c r="C97" s="1209" t="s">
        <v>1178</v>
      </c>
      <c r="D97" s="1209" t="s">
        <v>1195</v>
      </c>
      <c r="E97" s="670" t="s">
        <v>5</v>
      </c>
      <c r="F97" s="671">
        <v>1400000</v>
      </c>
      <c r="G97" s="621">
        <v>10017300</v>
      </c>
      <c r="H97" s="622"/>
    </row>
    <row r="98" spans="1:14" s="530" customFormat="1" ht="17.100000000000001" hidden="1" customHeight="1">
      <c r="A98" s="672"/>
      <c r="B98" s="672"/>
      <c r="C98" s="1210"/>
      <c r="D98" s="1210"/>
      <c r="E98" s="670" t="s">
        <v>6</v>
      </c>
      <c r="F98" s="671">
        <v>0</v>
      </c>
      <c r="G98" s="621">
        <v>0</v>
      </c>
      <c r="H98" s="622"/>
    </row>
    <row r="99" spans="1:14" s="530" customFormat="1" ht="17.100000000000001" hidden="1" customHeight="1">
      <c r="A99" s="672"/>
      <c r="B99" s="673"/>
      <c r="C99" s="1211"/>
      <c r="D99" s="1211"/>
      <c r="E99" s="670" t="s">
        <v>7</v>
      </c>
      <c r="F99" s="671">
        <f>F97+F98</f>
        <v>1400000</v>
      </c>
      <c r="G99" s="671">
        <f>G97+G98</f>
        <v>10017300</v>
      </c>
      <c r="H99" s="622"/>
    </row>
    <row r="100" spans="1:14" s="569" customFormat="1" ht="15.95" customHeight="1">
      <c r="A100" s="662"/>
      <c r="B100" s="674" t="s">
        <v>284</v>
      </c>
      <c r="C100" s="1215" t="s">
        <v>1178</v>
      </c>
      <c r="D100" s="1218" t="s">
        <v>1196</v>
      </c>
      <c r="E100" s="663" t="s">
        <v>5</v>
      </c>
      <c r="F100" s="681">
        <v>0</v>
      </c>
      <c r="G100" s="682">
        <v>0</v>
      </c>
      <c r="H100" s="676"/>
    </row>
    <row r="101" spans="1:14" s="569" customFormat="1" ht="15.95" customHeight="1">
      <c r="A101" s="679"/>
      <c r="B101" s="679"/>
      <c r="C101" s="1216"/>
      <c r="D101" s="1219"/>
      <c r="E101" s="570" t="s">
        <v>6</v>
      </c>
      <c r="F101" s="681">
        <v>50000</v>
      </c>
      <c r="G101" s="682">
        <v>350000</v>
      </c>
      <c r="H101" s="676"/>
    </row>
    <row r="102" spans="1:14" s="569" customFormat="1" ht="15.95" customHeight="1">
      <c r="A102" s="680"/>
      <c r="B102" s="680"/>
      <c r="C102" s="1217"/>
      <c r="D102" s="1220"/>
      <c r="E102" s="570" t="s">
        <v>7</v>
      </c>
      <c r="F102" s="682">
        <f>F100+F101</f>
        <v>50000</v>
      </c>
      <c r="G102" s="682">
        <f>G100+G101</f>
        <v>350000</v>
      </c>
      <c r="H102" s="676"/>
    </row>
    <row r="103" spans="1:14" s="530" customFormat="1" ht="20.100000000000001" customHeight="1">
      <c r="A103" s="1204" t="s">
        <v>434</v>
      </c>
      <c r="B103" s="1204" t="s">
        <v>1197</v>
      </c>
      <c r="C103" s="1209" t="s">
        <v>1198</v>
      </c>
      <c r="D103" s="1212" t="s">
        <v>1199</v>
      </c>
      <c r="E103" s="683" t="s">
        <v>5</v>
      </c>
      <c r="F103" s="671">
        <v>0</v>
      </c>
      <c r="G103" s="621">
        <v>0</v>
      </c>
      <c r="H103" s="622"/>
    </row>
    <row r="104" spans="1:14" s="530" customFormat="1" ht="20.100000000000001" customHeight="1">
      <c r="A104" s="1205"/>
      <c r="B104" s="1207"/>
      <c r="C104" s="1210"/>
      <c r="D104" s="1213"/>
      <c r="E104" s="684" t="s">
        <v>6</v>
      </c>
      <c r="F104" s="671">
        <v>160000</v>
      </c>
      <c r="G104" s="621">
        <v>2457101</v>
      </c>
      <c r="H104" s="622"/>
    </row>
    <row r="105" spans="1:14" s="530" customFormat="1" ht="20.100000000000001" customHeight="1">
      <c r="A105" s="1206"/>
      <c r="B105" s="1208"/>
      <c r="C105" s="1211"/>
      <c r="D105" s="1214"/>
      <c r="E105" s="684" t="s">
        <v>7</v>
      </c>
      <c r="F105" s="671">
        <f>F103+F104</f>
        <v>160000</v>
      </c>
      <c r="G105" s="671">
        <f>G103+G104</f>
        <v>2457101</v>
      </c>
      <c r="H105" s="622"/>
    </row>
    <row r="106" spans="1:14" ht="12" customHeight="1">
      <c r="A106" s="583" t="s">
        <v>1127</v>
      </c>
      <c r="B106" s="584"/>
      <c r="C106" s="585"/>
      <c r="D106" s="584"/>
      <c r="E106" s="584"/>
      <c r="F106" s="585"/>
      <c r="H106" s="588"/>
      <c r="I106" s="589"/>
      <c r="J106" s="589"/>
      <c r="K106" s="589"/>
      <c r="L106" s="589"/>
      <c r="M106" s="589"/>
      <c r="N106" s="589"/>
    </row>
    <row r="107" spans="1:14" s="448" customFormat="1" ht="14.25" customHeight="1">
      <c r="A107" s="591" t="s">
        <v>1200</v>
      </c>
      <c r="B107" s="592"/>
      <c r="C107" s="593"/>
      <c r="D107" s="592"/>
      <c r="E107" s="592"/>
      <c r="F107" s="593"/>
      <c r="G107" s="454"/>
      <c r="H107" s="457"/>
      <c r="I107" s="685"/>
      <c r="J107" s="685"/>
      <c r="K107" s="685"/>
      <c r="L107" s="685"/>
      <c r="M107" s="685"/>
      <c r="N107" s="685"/>
    </row>
    <row r="108" spans="1:14" ht="12" customHeight="1">
      <c r="A108" s="595" t="s">
        <v>1150</v>
      </c>
    </row>
    <row r="109" spans="1:14" s="686" customFormat="1" ht="12" customHeight="1">
      <c r="A109" s="595" t="s">
        <v>1151</v>
      </c>
      <c r="B109" s="594"/>
      <c r="C109" s="586"/>
      <c r="D109" s="586"/>
      <c r="E109" s="587"/>
      <c r="F109" s="589"/>
      <c r="G109" s="585"/>
      <c r="H109" s="585"/>
    </row>
    <row r="110" spans="1:14" ht="12" customHeight="1">
      <c r="A110" s="595" t="s">
        <v>1152</v>
      </c>
    </row>
    <row r="111" spans="1:14" ht="24.75" customHeight="1"/>
    <row r="112" spans="1:14" s="686" customFormat="1" ht="21" customHeight="1">
      <c r="A112" s="594"/>
      <c r="B112" s="594"/>
      <c r="C112" s="586"/>
      <c r="D112" s="586"/>
      <c r="E112" s="587"/>
      <c r="F112" s="589"/>
      <c r="G112" s="585"/>
      <c r="H112" s="585"/>
    </row>
    <row r="114" spans="1:8" ht="9" customHeight="1"/>
    <row r="115" spans="1:8" s="518" customFormat="1" ht="35.25" customHeight="1">
      <c r="A115" s="594"/>
      <c r="B115" s="594"/>
      <c r="C115" s="586"/>
      <c r="D115" s="586"/>
      <c r="E115" s="587"/>
      <c r="F115" s="589"/>
    </row>
    <row r="116" spans="1:8" s="625" customFormat="1" ht="22.5" customHeight="1">
      <c r="A116" s="594"/>
      <c r="B116" s="594"/>
      <c r="C116" s="586"/>
      <c r="D116" s="586"/>
      <c r="E116" s="587"/>
      <c r="F116" s="589"/>
      <c r="G116" s="593"/>
      <c r="H116" s="593"/>
    </row>
    <row r="117" spans="1:8" ht="41.25" customHeight="1"/>
    <row r="118" spans="1:8" s="518" customFormat="1" ht="21.75" customHeight="1">
      <c r="A118" s="594"/>
      <c r="B118" s="594"/>
      <c r="C118" s="586"/>
      <c r="D118" s="586"/>
      <c r="E118" s="587"/>
      <c r="F118" s="589"/>
    </row>
    <row r="119" spans="1:8" ht="21.75" customHeight="1">
      <c r="G119" s="590"/>
      <c r="H119" s="590"/>
    </row>
    <row r="120" spans="1:8" ht="24.75" customHeight="1">
      <c r="G120" s="590"/>
      <c r="H120" s="590"/>
    </row>
    <row r="121" spans="1:8" ht="12" customHeight="1">
      <c r="G121" s="590"/>
      <c r="H121" s="590"/>
    </row>
    <row r="122" spans="1:8" s="687" customFormat="1" ht="30.75" customHeight="1">
      <c r="A122" s="594"/>
      <c r="B122" s="594"/>
      <c r="C122" s="586"/>
      <c r="D122" s="586"/>
      <c r="E122" s="587"/>
      <c r="F122" s="589"/>
    </row>
    <row r="123" spans="1:8" s="518" customFormat="1" ht="21.75" customHeight="1">
      <c r="A123" s="594"/>
      <c r="B123" s="594"/>
      <c r="C123" s="586"/>
      <c r="D123" s="586"/>
      <c r="E123" s="587"/>
      <c r="F123" s="589"/>
    </row>
    <row r="124" spans="1:8" s="688" customFormat="1" ht="21.75" customHeight="1">
      <c r="A124" s="594"/>
      <c r="B124" s="594"/>
      <c r="C124" s="586"/>
      <c r="D124" s="586"/>
      <c r="E124" s="587"/>
      <c r="F124" s="589"/>
    </row>
    <row r="125" spans="1:8" s="688" customFormat="1" ht="21.75" customHeight="1">
      <c r="A125" s="594"/>
      <c r="B125" s="594"/>
      <c r="C125" s="586"/>
      <c r="D125" s="586"/>
      <c r="E125" s="587"/>
      <c r="F125" s="589"/>
    </row>
    <row r="127" spans="1:8" s="458" customFormat="1" ht="24" customHeight="1">
      <c r="A127" s="594"/>
      <c r="B127" s="594"/>
      <c r="C127" s="586"/>
      <c r="D127" s="586"/>
      <c r="E127" s="587"/>
      <c r="F127" s="589"/>
      <c r="G127" s="645"/>
      <c r="H127" s="645"/>
    </row>
    <row r="128" spans="1:8" s="458" customFormat="1" ht="24" customHeight="1">
      <c r="A128" s="594"/>
      <c r="B128" s="594"/>
      <c r="C128" s="586"/>
      <c r="D128" s="586"/>
      <c r="E128" s="587"/>
      <c r="F128" s="589"/>
      <c r="G128" s="645"/>
      <c r="H128" s="645"/>
    </row>
    <row r="129" spans="1:8" s="448" customFormat="1" ht="24" customHeight="1">
      <c r="A129" s="594"/>
      <c r="B129" s="594"/>
      <c r="C129" s="586"/>
      <c r="D129" s="586"/>
      <c r="E129" s="587"/>
      <c r="F129" s="589"/>
      <c r="G129" s="454"/>
      <c r="H129" s="454"/>
    </row>
    <row r="130" spans="1:8" s="448" customFormat="1" ht="24" customHeight="1">
      <c r="A130" s="594"/>
      <c r="B130" s="594"/>
      <c r="C130" s="586"/>
      <c r="D130" s="586"/>
      <c r="E130" s="587"/>
      <c r="F130" s="589"/>
      <c r="G130" s="454"/>
      <c r="H130" s="454"/>
    </row>
    <row r="131" spans="1:8" s="458" customFormat="1" ht="21" customHeight="1">
      <c r="A131" s="594"/>
      <c r="B131" s="594"/>
      <c r="C131" s="586"/>
      <c r="D131" s="586"/>
      <c r="E131" s="587"/>
      <c r="F131" s="589"/>
      <c r="G131" s="645"/>
      <c r="H131" s="645"/>
    </row>
    <row r="132" spans="1:8" ht="19.5" customHeight="1"/>
    <row r="133" spans="1:8" ht="21.75" customHeight="1"/>
  </sheetData>
  <sheetProtection password="C25B" sheet="1" objects="1" scenarios="1"/>
  <mergeCells count="80">
    <mergeCell ref="E1:G1"/>
    <mergeCell ref="E2:G2"/>
    <mergeCell ref="D3:G3"/>
    <mergeCell ref="A4:G4"/>
    <mergeCell ref="A6:A7"/>
    <mergeCell ref="B6:B7"/>
    <mergeCell ref="C6:D6"/>
    <mergeCell ref="E6:E7"/>
    <mergeCell ref="F6:F7"/>
    <mergeCell ref="G6:G7"/>
    <mergeCell ref="A9:D11"/>
    <mergeCell ref="A12:G12"/>
    <mergeCell ref="C13:C15"/>
    <mergeCell ref="D13:D15"/>
    <mergeCell ref="C16:C18"/>
    <mergeCell ref="D16:D18"/>
    <mergeCell ref="C19:C21"/>
    <mergeCell ref="D19:D21"/>
    <mergeCell ref="C22:C24"/>
    <mergeCell ref="D22:D24"/>
    <mergeCell ref="C25:C27"/>
    <mergeCell ref="D25:D27"/>
    <mergeCell ref="C28:C30"/>
    <mergeCell ref="D28:D30"/>
    <mergeCell ref="C31:C33"/>
    <mergeCell ref="D31:D33"/>
    <mergeCell ref="C34:C36"/>
    <mergeCell ref="D34:D36"/>
    <mergeCell ref="C37:C39"/>
    <mergeCell ref="D37:D39"/>
    <mergeCell ref="C40:C42"/>
    <mergeCell ref="D40:D42"/>
    <mergeCell ref="C43:C45"/>
    <mergeCell ref="D43:D45"/>
    <mergeCell ref="C46:C48"/>
    <mergeCell ref="D46:D48"/>
    <mergeCell ref="C49:C51"/>
    <mergeCell ref="D49:D51"/>
    <mergeCell ref="C52:C54"/>
    <mergeCell ref="D52:D54"/>
    <mergeCell ref="C55:C57"/>
    <mergeCell ref="D55:D57"/>
    <mergeCell ref="C58:C60"/>
    <mergeCell ref="D58:D60"/>
    <mergeCell ref="C61:C63"/>
    <mergeCell ref="D61:D63"/>
    <mergeCell ref="B64:B66"/>
    <mergeCell ref="C64:C66"/>
    <mergeCell ref="D64:D66"/>
    <mergeCell ref="B67:B69"/>
    <mergeCell ref="C67:C69"/>
    <mergeCell ref="D67:D69"/>
    <mergeCell ref="B70:B72"/>
    <mergeCell ref="C70:C72"/>
    <mergeCell ref="D70:D72"/>
    <mergeCell ref="B73:B75"/>
    <mergeCell ref="C73:C75"/>
    <mergeCell ref="D73:D75"/>
    <mergeCell ref="C76:C78"/>
    <mergeCell ref="D76:D78"/>
    <mergeCell ref="C79:C81"/>
    <mergeCell ref="D79:D81"/>
    <mergeCell ref="C82:C84"/>
    <mergeCell ref="D82:D84"/>
    <mergeCell ref="C85:C87"/>
    <mergeCell ref="D85:D87"/>
    <mergeCell ref="C88:C90"/>
    <mergeCell ref="D88:D90"/>
    <mergeCell ref="C91:C93"/>
    <mergeCell ref="D91:D93"/>
    <mergeCell ref="A103:A105"/>
    <mergeCell ref="B103:B105"/>
    <mergeCell ref="C103:C105"/>
    <mergeCell ref="D103:D105"/>
    <mergeCell ref="C94:C96"/>
    <mergeCell ref="D94:D96"/>
    <mergeCell ref="C97:C99"/>
    <mergeCell ref="D97:D99"/>
    <mergeCell ref="C100:C102"/>
    <mergeCell ref="D100:D102"/>
  </mergeCells>
  <printOptions horizontalCentered="1"/>
  <pageMargins left="0.59055118110236227" right="0.70866141732283472" top="0.98425196850393704" bottom="0.74803149606299213" header="0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view="pageBreakPreview" zoomScaleNormal="100" zoomScaleSheetLayoutView="100" workbookViewId="0">
      <selection activeCell="J11" sqref="J11"/>
    </sheetView>
  </sheetViews>
  <sheetFormatPr defaultRowHeight="12.75"/>
  <cols>
    <col min="1" max="1" width="7.625" style="270" customWidth="1"/>
    <col min="2" max="2" width="7.125" style="227" customWidth="1"/>
    <col min="3" max="3" width="37.375" style="228" customWidth="1"/>
    <col min="4" max="4" width="12.5" style="228" customWidth="1"/>
    <col min="5" max="5" width="10.875" style="228" customWidth="1"/>
    <col min="6" max="6" width="10.5" style="228" customWidth="1"/>
    <col min="7" max="7" width="12.5" style="228" customWidth="1"/>
    <col min="8" max="8" width="9.5" style="228" bestFit="1" customWidth="1"/>
    <col min="9" max="16384" width="9" style="228"/>
  </cols>
  <sheetData>
    <row r="1" spans="1:11">
      <c r="A1" s="226"/>
      <c r="D1" s="229"/>
      <c r="E1" s="230" t="s">
        <v>440</v>
      </c>
      <c r="F1" s="229"/>
      <c r="G1" s="229"/>
    </row>
    <row r="2" spans="1:11">
      <c r="A2" s="226"/>
      <c r="D2" s="229"/>
      <c r="E2" s="230" t="s">
        <v>1204</v>
      </c>
      <c r="F2" s="229"/>
      <c r="G2" s="229"/>
    </row>
    <row r="3" spans="1:11">
      <c r="A3" s="226"/>
      <c r="D3" s="229"/>
      <c r="E3" s="230" t="s">
        <v>441</v>
      </c>
      <c r="F3" s="229"/>
      <c r="G3" s="229"/>
    </row>
    <row r="4" spans="1:11" ht="7.5" customHeight="1">
      <c r="A4" s="226"/>
      <c r="D4" s="229"/>
      <c r="E4" s="229"/>
      <c r="F4" s="229"/>
      <c r="G4" s="229"/>
    </row>
    <row r="5" spans="1:11" ht="44.25" customHeight="1">
      <c r="A5" s="748" t="s">
        <v>442</v>
      </c>
      <c r="B5" s="748"/>
      <c r="C5" s="748"/>
      <c r="D5" s="748"/>
      <c r="E5" s="748"/>
      <c r="F5" s="748"/>
      <c r="G5" s="748"/>
    </row>
    <row r="6" spans="1:11" ht="9.75" customHeight="1">
      <c r="A6" s="226"/>
      <c r="D6" s="229"/>
      <c r="E6" s="229"/>
      <c r="F6" s="229"/>
      <c r="G6" s="231" t="s">
        <v>0</v>
      </c>
    </row>
    <row r="7" spans="1:11" ht="34.5" customHeight="1">
      <c r="A7" s="232" t="s">
        <v>443</v>
      </c>
      <c r="B7" s="232" t="s">
        <v>444</v>
      </c>
      <c r="C7" s="118" t="s">
        <v>445</v>
      </c>
      <c r="D7" s="119" t="s">
        <v>446</v>
      </c>
      <c r="E7" s="119" t="s">
        <v>447</v>
      </c>
      <c r="F7" s="119" t="s">
        <v>448</v>
      </c>
      <c r="G7" s="119" t="s">
        <v>449</v>
      </c>
    </row>
    <row r="8" spans="1:11">
      <c r="A8" s="233" t="s">
        <v>450</v>
      </c>
      <c r="B8" s="234" t="s">
        <v>451</v>
      </c>
      <c r="C8" s="235" t="s">
        <v>452</v>
      </c>
      <c r="D8" s="236" t="s">
        <v>453</v>
      </c>
      <c r="E8" s="236" t="s">
        <v>454</v>
      </c>
      <c r="F8" s="236" t="s">
        <v>455</v>
      </c>
      <c r="G8" s="236" t="s">
        <v>456</v>
      </c>
    </row>
    <row r="9" spans="1:11" s="241" customFormat="1" ht="16.5" customHeight="1">
      <c r="A9" s="237"/>
      <c r="B9" s="237"/>
      <c r="C9" s="238" t="s">
        <v>457</v>
      </c>
      <c r="D9" s="239">
        <v>1365740805</v>
      </c>
      <c r="E9" s="240">
        <f>E10+E20+E25+E28+E52+E59+E48</f>
        <v>53224116</v>
      </c>
      <c r="F9" s="240">
        <f>F10+F20+F25+F28+F52+F59+F48</f>
        <v>28999936</v>
      </c>
      <c r="G9" s="240">
        <f>D9+E9-F9</f>
        <v>1389964985</v>
      </c>
    </row>
    <row r="10" spans="1:11" s="247" customFormat="1" ht="16.5" customHeight="1">
      <c r="A10" s="242">
        <v>600</v>
      </c>
      <c r="B10" s="243" t="s">
        <v>458</v>
      </c>
      <c r="C10" s="244" t="s">
        <v>12</v>
      </c>
      <c r="D10" s="245">
        <v>81018031</v>
      </c>
      <c r="E10" s="245">
        <v>2857682</v>
      </c>
      <c r="F10" s="245">
        <v>1135863</v>
      </c>
      <c r="G10" s="245">
        <f>D10+E10-F10</f>
        <v>82739850</v>
      </c>
      <c r="H10" s="246"/>
      <c r="I10" s="246"/>
      <c r="J10" s="246"/>
      <c r="K10" s="246"/>
    </row>
    <row r="11" spans="1:11" s="247" customFormat="1" ht="16.5" customHeight="1">
      <c r="A11" s="248">
        <v>60004</v>
      </c>
      <c r="B11" s="249" t="s">
        <v>458</v>
      </c>
      <c r="C11" s="250" t="s">
        <v>189</v>
      </c>
      <c r="D11" s="251">
        <v>12628358</v>
      </c>
      <c r="E11" s="251">
        <f>E12</f>
        <v>1591599</v>
      </c>
      <c r="F11" s="251">
        <v>0</v>
      </c>
      <c r="G11" s="251">
        <f t="shared" ref="G11:G61" si="0">D11+E11-F11</f>
        <v>14219957</v>
      </c>
    </row>
    <row r="12" spans="1:11" s="256" customFormat="1" ht="41.25" customHeight="1">
      <c r="A12" s="252" t="s">
        <v>458</v>
      </c>
      <c r="B12" s="253">
        <v>2170</v>
      </c>
      <c r="C12" s="254" t="s">
        <v>459</v>
      </c>
      <c r="D12" s="255">
        <v>12628358</v>
      </c>
      <c r="E12" s="255">
        <v>1591599</v>
      </c>
      <c r="F12" s="255">
        <v>0</v>
      </c>
      <c r="G12" s="255">
        <f t="shared" si="0"/>
        <v>14219957</v>
      </c>
    </row>
    <row r="13" spans="1:11" s="10" customFormat="1" ht="17.25" customHeight="1">
      <c r="A13" s="248">
        <v>60013</v>
      </c>
      <c r="B13" s="249" t="s">
        <v>458</v>
      </c>
      <c r="C13" s="250" t="s">
        <v>102</v>
      </c>
      <c r="D13" s="251">
        <v>23687645</v>
      </c>
      <c r="E13" s="251">
        <f>SUM(E14:E19)</f>
        <v>1266083</v>
      </c>
      <c r="F13" s="251">
        <f>SUM(F14:F19)</f>
        <v>1135863</v>
      </c>
      <c r="G13" s="251">
        <f t="shared" si="0"/>
        <v>23817865</v>
      </c>
    </row>
    <row r="14" spans="1:11" ht="55.5" customHeight="1">
      <c r="A14" s="252" t="s">
        <v>458</v>
      </c>
      <c r="B14" s="253">
        <v>6300</v>
      </c>
      <c r="C14" s="254" t="s">
        <v>460</v>
      </c>
      <c r="D14" s="255">
        <v>2357497</v>
      </c>
      <c r="E14" s="255">
        <v>0</v>
      </c>
      <c r="F14" s="255">
        <v>1000000</v>
      </c>
      <c r="G14" s="255">
        <f t="shared" si="0"/>
        <v>1357497</v>
      </c>
    </row>
    <row r="15" spans="1:11" ht="55.5" customHeight="1">
      <c r="A15" s="252" t="s">
        <v>458</v>
      </c>
      <c r="B15" s="253">
        <v>6309</v>
      </c>
      <c r="C15" s="254" t="s">
        <v>460</v>
      </c>
      <c r="D15" s="255">
        <v>6959165</v>
      </c>
      <c r="E15" s="255">
        <v>72000</v>
      </c>
      <c r="F15" s="255">
        <v>0</v>
      </c>
      <c r="G15" s="255">
        <f t="shared" si="0"/>
        <v>7031165</v>
      </c>
    </row>
    <row r="16" spans="1:11" ht="55.5" customHeight="1">
      <c r="A16" s="252" t="s">
        <v>458</v>
      </c>
      <c r="B16" s="253">
        <v>6610</v>
      </c>
      <c r="C16" s="254" t="s">
        <v>461</v>
      </c>
      <c r="D16" s="255">
        <v>651938</v>
      </c>
      <c r="E16" s="255">
        <v>540112</v>
      </c>
      <c r="F16" s="255">
        <v>0</v>
      </c>
      <c r="G16" s="255">
        <f t="shared" si="0"/>
        <v>1192050</v>
      </c>
    </row>
    <row r="17" spans="1:7" ht="55.5" customHeight="1">
      <c r="A17" s="252" t="s">
        <v>458</v>
      </c>
      <c r="B17" s="253">
        <v>6619</v>
      </c>
      <c r="C17" s="254" t="s">
        <v>461</v>
      </c>
      <c r="D17" s="255">
        <v>5014189</v>
      </c>
      <c r="E17" s="255">
        <v>0</v>
      </c>
      <c r="F17" s="255">
        <v>91140</v>
      </c>
      <c r="G17" s="255">
        <f t="shared" si="0"/>
        <v>4923049</v>
      </c>
    </row>
    <row r="18" spans="1:7" ht="55.5" customHeight="1">
      <c r="A18" s="252" t="s">
        <v>458</v>
      </c>
      <c r="B18" s="253">
        <v>6620</v>
      </c>
      <c r="C18" s="254" t="s">
        <v>462</v>
      </c>
      <c r="D18" s="255">
        <v>266539</v>
      </c>
      <c r="E18" s="255">
        <v>653971</v>
      </c>
      <c r="F18" s="255">
        <v>0</v>
      </c>
      <c r="G18" s="255">
        <f t="shared" si="0"/>
        <v>920510</v>
      </c>
    </row>
    <row r="19" spans="1:7" ht="55.5" customHeight="1">
      <c r="A19" s="252" t="s">
        <v>458</v>
      </c>
      <c r="B19" s="253">
        <v>6629</v>
      </c>
      <c r="C19" s="254" t="s">
        <v>462</v>
      </c>
      <c r="D19" s="255">
        <v>1030743</v>
      </c>
      <c r="E19" s="255">
        <v>0</v>
      </c>
      <c r="F19" s="255">
        <v>44723</v>
      </c>
      <c r="G19" s="255">
        <f t="shared" si="0"/>
        <v>986020</v>
      </c>
    </row>
    <row r="20" spans="1:7" s="10" customFormat="1" ht="16.5" customHeight="1">
      <c r="A20" s="242">
        <v>750</v>
      </c>
      <c r="B20" s="243" t="s">
        <v>458</v>
      </c>
      <c r="C20" s="244" t="s">
        <v>21</v>
      </c>
      <c r="D20" s="245">
        <v>3548765</v>
      </c>
      <c r="E20" s="245">
        <f>E21</f>
        <v>92248</v>
      </c>
      <c r="F20" s="245">
        <f>F21</f>
        <v>0</v>
      </c>
      <c r="G20" s="245">
        <f t="shared" si="0"/>
        <v>3641013</v>
      </c>
    </row>
    <row r="21" spans="1:7" s="10" customFormat="1" ht="14.25" customHeight="1">
      <c r="A21" s="248">
        <v>75095</v>
      </c>
      <c r="B21" s="249" t="s">
        <v>458</v>
      </c>
      <c r="C21" s="250" t="s">
        <v>43</v>
      </c>
      <c r="D21" s="251">
        <v>2026768</v>
      </c>
      <c r="E21" s="251">
        <f>SUM(E22:E24)</f>
        <v>92248</v>
      </c>
      <c r="F21" s="251">
        <f>SUM(F22:F24)</f>
        <v>0</v>
      </c>
      <c r="G21" s="251">
        <f t="shared" si="0"/>
        <v>2119016</v>
      </c>
    </row>
    <row r="22" spans="1:7" ht="72" customHeight="1">
      <c r="A22" s="252" t="s">
        <v>458</v>
      </c>
      <c r="B22" s="253">
        <v>2057</v>
      </c>
      <c r="C22" s="254" t="s">
        <v>463</v>
      </c>
      <c r="D22" s="255">
        <v>142594</v>
      </c>
      <c r="E22" s="255">
        <v>57950</v>
      </c>
      <c r="F22" s="255">
        <v>0</v>
      </c>
      <c r="G22" s="255">
        <f t="shared" si="0"/>
        <v>200544</v>
      </c>
    </row>
    <row r="23" spans="1:7" ht="72" customHeight="1">
      <c r="A23" s="252" t="s">
        <v>458</v>
      </c>
      <c r="B23" s="253">
        <v>2058</v>
      </c>
      <c r="C23" s="254" t="s">
        <v>463</v>
      </c>
      <c r="D23" s="255">
        <v>1321750</v>
      </c>
      <c r="E23" s="255">
        <v>25811</v>
      </c>
      <c r="F23" s="255">
        <v>0</v>
      </c>
      <c r="G23" s="255">
        <f t="shared" si="0"/>
        <v>1347561</v>
      </c>
    </row>
    <row r="24" spans="1:7" ht="72" customHeight="1">
      <c r="A24" s="252" t="s">
        <v>458</v>
      </c>
      <c r="B24" s="253">
        <v>2059</v>
      </c>
      <c r="C24" s="254" t="s">
        <v>463</v>
      </c>
      <c r="D24" s="255">
        <v>242924</v>
      </c>
      <c r="E24" s="255">
        <v>8487</v>
      </c>
      <c r="F24" s="255">
        <v>0</v>
      </c>
      <c r="G24" s="255">
        <f t="shared" si="0"/>
        <v>251411</v>
      </c>
    </row>
    <row r="25" spans="1:7" s="10" customFormat="1" ht="69.75" customHeight="1">
      <c r="A25" s="242">
        <v>756</v>
      </c>
      <c r="B25" s="243" t="s">
        <v>458</v>
      </c>
      <c r="C25" s="244" t="s">
        <v>430</v>
      </c>
      <c r="D25" s="245">
        <v>281146827</v>
      </c>
      <c r="E25" s="245">
        <f>E26</f>
        <v>14500000</v>
      </c>
      <c r="F25" s="245">
        <v>0</v>
      </c>
      <c r="G25" s="245">
        <f t="shared" si="0"/>
        <v>295646827</v>
      </c>
    </row>
    <row r="26" spans="1:7" s="10" customFormat="1" ht="29.25" customHeight="1">
      <c r="A26" s="257">
        <v>75623</v>
      </c>
      <c r="B26" s="258" t="s">
        <v>458</v>
      </c>
      <c r="C26" s="259" t="s">
        <v>464</v>
      </c>
      <c r="D26" s="260">
        <v>280226127</v>
      </c>
      <c r="E26" s="260">
        <f>E27</f>
        <v>14500000</v>
      </c>
      <c r="F26" s="260">
        <v>0</v>
      </c>
      <c r="G26" s="260">
        <f t="shared" si="0"/>
        <v>294726127</v>
      </c>
    </row>
    <row r="27" spans="1:7" ht="15" customHeight="1">
      <c r="A27" s="261" t="s">
        <v>458</v>
      </c>
      <c r="B27" s="262" t="s">
        <v>465</v>
      </c>
      <c r="C27" s="263" t="s">
        <v>466</v>
      </c>
      <c r="D27" s="264">
        <v>199800000</v>
      </c>
      <c r="E27" s="264">
        <v>14500000</v>
      </c>
      <c r="F27" s="264">
        <v>0</v>
      </c>
      <c r="G27" s="264">
        <f t="shared" si="0"/>
        <v>214300000</v>
      </c>
    </row>
    <row r="28" spans="1:7" s="10" customFormat="1" ht="14.25" customHeight="1">
      <c r="A28" s="242">
        <v>758</v>
      </c>
      <c r="B28" s="243" t="s">
        <v>458</v>
      </c>
      <c r="C28" s="244" t="s">
        <v>127</v>
      </c>
      <c r="D28" s="245">
        <v>919660622</v>
      </c>
      <c r="E28" s="245">
        <f>E29+E32+E41</f>
        <v>35531401</v>
      </c>
      <c r="F28" s="245">
        <f>F29+F32+F41</f>
        <v>27624073</v>
      </c>
      <c r="G28" s="245">
        <f t="shared" si="0"/>
        <v>927567950</v>
      </c>
    </row>
    <row r="29" spans="1:7" s="10" customFormat="1" ht="14.25" customHeight="1">
      <c r="A29" s="248">
        <v>75814</v>
      </c>
      <c r="B29" s="249" t="s">
        <v>458</v>
      </c>
      <c r="C29" s="250" t="s">
        <v>467</v>
      </c>
      <c r="D29" s="251">
        <v>0</v>
      </c>
      <c r="E29" s="251">
        <f>E30+E31</f>
        <v>18406338</v>
      </c>
      <c r="F29" s="251">
        <v>0</v>
      </c>
      <c r="G29" s="251">
        <f t="shared" si="0"/>
        <v>18406338</v>
      </c>
    </row>
    <row r="30" spans="1:7" ht="38.25" customHeight="1">
      <c r="A30" s="252" t="s">
        <v>458</v>
      </c>
      <c r="B30" s="253">
        <v>2990</v>
      </c>
      <c r="C30" s="254" t="s">
        <v>468</v>
      </c>
      <c r="D30" s="255">
        <v>0</v>
      </c>
      <c r="E30" s="255">
        <v>50670</v>
      </c>
      <c r="F30" s="255">
        <v>0</v>
      </c>
      <c r="G30" s="255">
        <f t="shared" si="0"/>
        <v>50670</v>
      </c>
    </row>
    <row r="31" spans="1:7" ht="38.25" customHeight="1">
      <c r="A31" s="252" t="s">
        <v>458</v>
      </c>
      <c r="B31" s="253">
        <v>6680</v>
      </c>
      <c r="C31" s="254" t="s">
        <v>468</v>
      </c>
      <c r="D31" s="255">
        <v>0</v>
      </c>
      <c r="E31" s="255">
        <v>18355668</v>
      </c>
      <c r="F31" s="255">
        <v>0</v>
      </c>
      <c r="G31" s="255">
        <f t="shared" si="0"/>
        <v>18355668</v>
      </c>
    </row>
    <row r="32" spans="1:7" s="10" customFormat="1" ht="41.25" customHeight="1">
      <c r="A32" s="248">
        <v>75863</v>
      </c>
      <c r="B32" s="249" t="s">
        <v>458</v>
      </c>
      <c r="C32" s="250" t="s">
        <v>469</v>
      </c>
      <c r="D32" s="251">
        <v>448867018</v>
      </c>
      <c r="E32" s="251">
        <f>SUM(E33:E40)</f>
        <v>10900557</v>
      </c>
      <c r="F32" s="251">
        <f>SUM(F33:F40)</f>
        <v>8662467</v>
      </c>
      <c r="G32" s="251">
        <f t="shared" si="0"/>
        <v>451105108</v>
      </c>
    </row>
    <row r="33" spans="1:7" ht="80.25" customHeight="1">
      <c r="A33" s="252" t="s">
        <v>458</v>
      </c>
      <c r="B33" s="253">
        <v>2007</v>
      </c>
      <c r="C33" s="254" t="s">
        <v>470</v>
      </c>
      <c r="D33" s="255">
        <v>12693314</v>
      </c>
      <c r="E33" s="255">
        <v>0</v>
      </c>
      <c r="F33" s="255">
        <v>2221935</v>
      </c>
      <c r="G33" s="255">
        <f t="shared" si="0"/>
        <v>10471379</v>
      </c>
    </row>
    <row r="34" spans="1:7" ht="80.25" customHeight="1">
      <c r="A34" s="252" t="s">
        <v>458</v>
      </c>
      <c r="B34" s="253">
        <v>2009</v>
      </c>
      <c r="C34" s="254" t="s">
        <v>470</v>
      </c>
      <c r="D34" s="255">
        <v>1266365</v>
      </c>
      <c r="E34" s="255">
        <v>0</v>
      </c>
      <c r="F34" s="255">
        <v>246881</v>
      </c>
      <c r="G34" s="255">
        <f t="shared" si="0"/>
        <v>1019484</v>
      </c>
    </row>
    <row r="35" spans="1:7" ht="70.5" customHeight="1">
      <c r="A35" s="252" t="s">
        <v>458</v>
      </c>
      <c r="B35" s="253">
        <v>2057</v>
      </c>
      <c r="C35" s="254" t="s">
        <v>463</v>
      </c>
      <c r="D35" s="255">
        <v>32772652</v>
      </c>
      <c r="E35" s="255">
        <v>0</v>
      </c>
      <c r="F35" s="255">
        <v>45620</v>
      </c>
      <c r="G35" s="255">
        <f t="shared" si="0"/>
        <v>32727032</v>
      </c>
    </row>
    <row r="36" spans="1:7" ht="70.5" customHeight="1">
      <c r="A36" s="252" t="s">
        <v>458</v>
      </c>
      <c r="B36" s="253">
        <v>2059</v>
      </c>
      <c r="C36" s="254" t="s">
        <v>463</v>
      </c>
      <c r="D36" s="255">
        <v>1664220</v>
      </c>
      <c r="E36" s="255">
        <v>23444</v>
      </c>
      <c r="F36" s="255">
        <v>0</v>
      </c>
      <c r="G36" s="255">
        <f t="shared" si="0"/>
        <v>1687664</v>
      </c>
    </row>
    <row r="37" spans="1:7" ht="80.25" customHeight="1">
      <c r="A37" s="252" t="s">
        <v>458</v>
      </c>
      <c r="B37" s="253">
        <v>6207</v>
      </c>
      <c r="C37" s="254" t="s">
        <v>471</v>
      </c>
      <c r="D37" s="255">
        <v>153539490</v>
      </c>
      <c r="E37" s="255">
        <v>9789402</v>
      </c>
      <c r="F37" s="255">
        <v>0</v>
      </c>
      <c r="G37" s="255">
        <f t="shared" si="0"/>
        <v>163328892</v>
      </c>
    </row>
    <row r="38" spans="1:7" ht="80.25" customHeight="1">
      <c r="A38" s="252" t="s">
        <v>458</v>
      </c>
      <c r="B38" s="253">
        <v>6209</v>
      </c>
      <c r="C38" s="254" t="s">
        <v>471</v>
      </c>
      <c r="D38" s="255">
        <v>43647614</v>
      </c>
      <c r="E38" s="255">
        <v>1087711</v>
      </c>
      <c r="F38" s="255">
        <v>0</v>
      </c>
      <c r="G38" s="255">
        <f t="shared" si="0"/>
        <v>44735325</v>
      </c>
    </row>
    <row r="39" spans="1:7" ht="69.75" customHeight="1">
      <c r="A39" s="252" t="s">
        <v>458</v>
      </c>
      <c r="B39" s="253">
        <v>6257</v>
      </c>
      <c r="C39" s="254" t="s">
        <v>472</v>
      </c>
      <c r="D39" s="255">
        <v>201719505</v>
      </c>
      <c r="E39" s="255">
        <v>0</v>
      </c>
      <c r="F39" s="255">
        <v>5964339</v>
      </c>
      <c r="G39" s="255">
        <f t="shared" si="0"/>
        <v>195755166</v>
      </c>
    </row>
    <row r="40" spans="1:7" ht="71.25" customHeight="1">
      <c r="A40" s="252" t="s">
        <v>458</v>
      </c>
      <c r="B40" s="253">
        <v>6259</v>
      </c>
      <c r="C40" s="254" t="s">
        <v>472</v>
      </c>
      <c r="D40" s="255">
        <v>1563858</v>
      </c>
      <c r="E40" s="255">
        <v>0</v>
      </c>
      <c r="F40" s="255">
        <v>183692</v>
      </c>
      <c r="G40" s="255">
        <f t="shared" si="0"/>
        <v>1380166</v>
      </c>
    </row>
    <row r="41" spans="1:7" s="10" customFormat="1" ht="42" customHeight="1">
      <c r="A41" s="248">
        <v>75864</v>
      </c>
      <c r="B41" s="249" t="s">
        <v>458</v>
      </c>
      <c r="C41" s="250" t="s">
        <v>473</v>
      </c>
      <c r="D41" s="251">
        <v>169911711</v>
      </c>
      <c r="E41" s="251">
        <f>SUM(E42:E47)</f>
        <v>6224506</v>
      </c>
      <c r="F41" s="251">
        <f>SUM(F42:F47)</f>
        <v>18961606</v>
      </c>
      <c r="G41" s="251">
        <f t="shared" si="0"/>
        <v>157174611</v>
      </c>
    </row>
    <row r="42" spans="1:7" ht="78.75" customHeight="1">
      <c r="A42" s="261" t="s">
        <v>458</v>
      </c>
      <c r="B42" s="262">
        <v>2007</v>
      </c>
      <c r="C42" s="263" t="s">
        <v>470</v>
      </c>
      <c r="D42" s="264">
        <v>44654367</v>
      </c>
      <c r="E42" s="264">
        <v>0</v>
      </c>
      <c r="F42" s="264">
        <v>11591988</v>
      </c>
      <c r="G42" s="264">
        <f t="shared" si="0"/>
        <v>33062379</v>
      </c>
    </row>
    <row r="43" spans="1:7" ht="78.75" customHeight="1">
      <c r="A43" s="265" t="s">
        <v>458</v>
      </c>
      <c r="B43" s="266">
        <v>2009</v>
      </c>
      <c r="C43" s="267" t="s">
        <v>470</v>
      </c>
      <c r="D43" s="268">
        <v>17564435</v>
      </c>
      <c r="E43" s="268">
        <v>0</v>
      </c>
      <c r="F43" s="268">
        <v>778782</v>
      </c>
      <c r="G43" s="268">
        <f t="shared" si="0"/>
        <v>16785653</v>
      </c>
    </row>
    <row r="44" spans="1:7" ht="70.5" customHeight="1">
      <c r="A44" s="252" t="s">
        <v>458</v>
      </c>
      <c r="B44" s="253">
        <v>2057</v>
      </c>
      <c r="C44" s="254" t="s">
        <v>463</v>
      </c>
      <c r="D44" s="255">
        <v>44208794</v>
      </c>
      <c r="E44" s="255">
        <v>5299425</v>
      </c>
      <c r="F44" s="255">
        <v>0</v>
      </c>
      <c r="G44" s="255">
        <f t="shared" si="0"/>
        <v>49508219</v>
      </c>
    </row>
    <row r="45" spans="1:7" ht="70.5" customHeight="1">
      <c r="A45" s="252" t="s">
        <v>458</v>
      </c>
      <c r="B45" s="253">
        <v>2058</v>
      </c>
      <c r="C45" s="254" t="s">
        <v>463</v>
      </c>
      <c r="D45" s="255">
        <v>53824337</v>
      </c>
      <c r="E45" s="255">
        <v>0</v>
      </c>
      <c r="F45" s="255">
        <v>6590836</v>
      </c>
      <c r="G45" s="255">
        <f t="shared" si="0"/>
        <v>47233501</v>
      </c>
    </row>
    <row r="46" spans="1:7" ht="68.25" customHeight="1">
      <c r="A46" s="252" t="s">
        <v>458</v>
      </c>
      <c r="B46" s="253">
        <v>2059</v>
      </c>
      <c r="C46" s="254" t="s">
        <v>463</v>
      </c>
      <c r="D46" s="255">
        <v>4915437</v>
      </c>
      <c r="E46" s="255">
        <v>825081</v>
      </c>
      <c r="F46" s="255">
        <v>0</v>
      </c>
      <c r="G46" s="255">
        <f t="shared" si="0"/>
        <v>5740518</v>
      </c>
    </row>
    <row r="47" spans="1:7" ht="81.75" customHeight="1">
      <c r="A47" s="252" t="s">
        <v>458</v>
      </c>
      <c r="B47" s="253">
        <v>6209</v>
      </c>
      <c r="C47" s="254" t="s">
        <v>471</v>
      </c>
      <c r="D47" s="255">
        <v>454998</v>
      </c>
      <c r="E47" s="255">
        <v>100000</v>
      </c>
      <c r="F47" s="255">
        <v>0</v>
      </c>
      <c r="G47" s="255">
        <f t="shared" si="0"/>
        <v>554998</v>
      </c>
    </row>
    <row r="48" spans="1:7" s="10" customFormat="1" ht="15.75" customHeight="1">
      <c r="A48" s="242">
        <v>801</v>
      </c>
      <c r="B48" s="243" t="s">
        <v>458</v>
      </c>
      <c r="C48" s="269" t="s">
        <v>24</v>
      </c>
      <c r="D48" s="245">
        <v>2077454</v>
      </c>
      <c r="E48" s="245">
        <f>E49</f>
        <v>11299</v>
      </c>
      <c r="F48" s="245">
        <v>0</v>
      </c>
      <c r="G48" s="245">
        <f t="shared" si="0"/>
        <v>2088753</v>
      </c>
    </row>
    <row r="49" spans="1:7" s="10" customFormat="1" ht="14.25" customHeight="1">
      <c r="A49" s="248">
        <v>80195</v>
      </c>
      <c r="B49" s="249" t="s">
        <v>458</v>
      </c>
      <c r="C49" s="250" t="s">
        <v>43</v>
      </c>
      <c r="D49" s="251">
        <v>110950</v>
      </c>
      <c r="E49" s="251">
        <f>E50+E51</f>
        <v>11299</v>
      </c>
      <c r="F49" s="251">
        <v>0</v>
      </c>
      <c r="G49" s="251">
        <f t="shared" si="0"/>
        <v>122249</v>
      </c>
    </row>
    <row r="50" spans="1:7" ht="69" customHeight="1">
      <c r="A50" s="252" t="s">
        <v>458</v>
      </c>
      <c r="B50" s="253">
        <v>2057</v>
      </c>
      <c r="C50" s="254" t="s">
        <v>463</v>
      </c>
      <c r="D50" s="255">
        <v>93509</v>
      </c>
      <c r="E50" s="255">
        <v>9523</v>
      </c>
      <c r="F50" s="255">
        <v>0</v>
      </c>
      <c r="G50" s="255">
        <f t="shared" si="0"/>
        <v>103032</v>
      </c>
    </row>
    <row r="51" spans="1:7" ht="69.75" customHeight="1">
      <c r="A51" s="252" t="s">
        <v>458</v>
      </c>
      <c r="B51" s="253">
        <v>2059</v>
      </c>
      <c r="C51" s="254" t="s">
        <v>463</v>
      </c>
      <c r="D51" s="255">
        <v>17441</v>
      </c>
      <c r="E51" s="255">
        <v>1776</v>
      </c>
      <c r="F51" s="255">
        <v>0</v>
      </c>
      <c r="G51" s="255">
        <f t="shared" si="0"/>
        <v>19217</v>
      </c>
    </row>
    <row r="52" spans="1:7" s="10" customFormat="1" ht="27" customHeight="1">
      <c r="A52" s="242">
        <v>921</v>
      </c>
      <c r="B52" s="243" t="s">
        <v>458</v>
      </c>
      <c r="C52" s="244" t="s">
        <v>31</v>
      </c>
      <c r="D52" s="245">
        <v>14909432</v>
      </c>
      <c r="E52" s="245">
        <f>E53+E55+E57</f>
        <v>71486</v>
      </c>
      <c r="F52" s="245">
        <f>F53+F55+F57</f>
        <v>240000</v>
      </c>
      <c r="G52" s="245">
        <f t="shared" si="0"/>
        <v>14740918</v>
      </c>
    </row>
    <row r="53" spans="1:7" s="10" customFormat="1" ht="13.5" customHeight="1">
      <c r="A53" s="248">
        <v>92105</v>
      </c>
      <c r="B53" s="249" t="s">
        <v>458</v>
      </c>
      <c r="C53" s="250" t="s">
        <v>182</v>
      </c>
      <c r="D53" s="251">
        <v>490000</v>
      </c>
      <c r="E53" s="251">
        <v>0</v>
      </c>
      <c r="F53" s="251">
        <v>240000</v>
      </c>
      <c r="G53" s="251">
        <f t="shared" si="0"/>
        <v>250000</v>
      </c>
    </row>
    <row r="54" spans="1:7" ht="53.25" customHeight="1">
      <c r="A54" s="252" t="s">
        <v>458</v>
      </c>
      <c r="B54" s="253">
        <v>2710</v>
      </c>
      <c r="C54" s="254" t="s">
        <v>474</v>
      </c>
      <c r="D54" s="255">
        <v>470000</v>
      </c>
      <c r="E54" s="255">
        <v>0</v>
      </c>
      <c r="F54" s="255">
        <v>240000</v>
      </c>
      <c r="G54" s="255">
        <f t="shared" si="0"/>
        <v>230000</v>
      </c>
    </row>
    <row r="55" spans="1:7" s="10" customFormat="1" ht="14.25" customHeight="1">
      <c r="A55" s="248">
        <v>92106</v>
      </c>
      <c r="B55" s="249" t="s">
        <v>458</v>
      </c>
      <c r="C55" s="250" t="s">
        <v>475</v>
      </c>
      <c r="D55" s="251">
        <v>1506531</v>
      </c>
      <c r="E55" s="251">
        <v>21486</v>
      </c>
      <c r="F55" s="251">
        <v>0</v>
      </c>
      <c r="G55" s="251">
        <f t="shared" si="0"/>
        <v>1528017</v>
      </c>
    </row>
    <row r="56" spans="1:7" ht="55.5" customHeight="1">
      <c r="A56" s="252" t="s">
        <v>458</v>
      </c>
      <c r="B56" s="253">
        <v>6300</v>
      </c>
      <c r="C56" s="254" t="s">
        <v>460</v>
      </c>
      <c r="D56" s="255">
        <v>0</v>
      </c>
      <c r="E56" s="255">
        <v>21486</v>
      </c>
      <c r="F56" s="255">
        <v>0</v>
      </c>
      <c r="G56" s="255">
        <f t="shared" si="0"/>
        <v>21486</v>
      </c>
    </row>
    <row r="57" spans="1:7" s="10" customFormat="1">
      <c r="A57" s="248">
        <v>92195</v>
      </c>
      <c r="B57" s="249" t="s">
        <v>458</v>
      </c>
      <c r="C57" s="250" t="s">
        <v>43</v>
      </c>
      <c r="D57" s="251">
        <v>8960179</v>
      </c>
      <c r="E57" s="251">
        <v>50000</v>
      </c>
      <c r="F57" s="251">
        <v>0</v>
      </c>
      <c r="G57" s="251">
        <f t="shared" si="0"/>
        <v>9010179</v>
      </c>
    </row>
    <row r="58" spans="1:7" ht="42" customHeight="1">
      <c r="A58" s="252" t="s">
        <v>458</v>
      </c>
      <c r="B58" s="253">
        <v>2310</v>
      </c>
      <c r="C58" s="254" t="s">
        <v>476</v>
      </c>
      <c r="D58" s="255">
        <v>0</v>
      </c>
      <c r="E58" s="255">
        <v>50000</v>
      </c>
      <c r="F58" s="255">
        <v>0</v>
      </c>
      <c r="G58" s="255">
        <f t="shared" si="0"/>
        <v>50000</v>
      </c>
    </row>
    <row r="59" spans="1:7" s="10" customFormat="1" ht="39.75" customHeight="1">
      <c r="A59" s="242">
        <v>925</v>
      </c>
      <c r="B59" s="243" t="s">
        <v>458</v>
      </c>
      <c r="C59" s="244" t="s">
        <v>32</v>
      </c>
      <c r="D59" s="245">
        <v>2308901</v>
      </c>
      <c r="E59" s="245">
        <f>E60</f>
        <v>160000</v>
      </c>
      <c r="F59" s="245">
        <v>0</v>
      </c>
      <c r="G59" s="245">
        <f t="shared" si="0"/>
        <v>2468901</v>
      </c>
    </row>
    <row r="60" spans="1:7" s="10" customFormat="1" ht="15" customHeight="1">
      <c r="A60" s="248">
        <v>92502</v>
      </c>
      <c r="B60" s="249" t="s">
        <v>458</v>
      </c>
      <c r="C60" s="250" t="s">
        <v>177</v>
      </c>
      <c r="D60" s="251">
        <v>2308901</v>
      </c>
      <c r="E60" s="251">
        <f>E61</f>
        <v>160000</v>
      </c>
      <c r="F60" s="251">
        <v>0</v>
      </c>
      <c r="G60" s="251">
        <f t="shared" si="0"/>
        <v>2468901</v>
      </c>
    </row>
    <row r="61" spans="1:7" ht="54" customHeight="1">
      <c r="A61" s="261" t="s">
        <v>458</v>
      </c>
      <c r="B61" s="262">
        <v>6300</v>
      </c>
      <c r="C61" s="263" t="s">
        <v>460</v>
      </c>
      <c r="D61" s="264">
        <v>0</v>
      </c>
      <c r="E61" s="264">
        <v>160000</v>
      </c>
      <c r="F61" s="264">
        <v>0</v>
      </c>
      <c r="G61" s="264">
        <f t="shared" si="0"/>
        <v>160000</v>
      </c>
    </row>
  </sheetData>
  <sheetProtection password="C25B" sheet="1" objects="1" scenarios="1"/>
  <mergeCells count="1">
    <mergeCell ref="A5:G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27"/>
  <sheetViews>
    <sheetView view="pageBreakPreview" zoomScaleNormal="100" zoomScaleSheetLayoutView="100" workbookViewId="0">
      <selection activeCell="K4" sqref="K4"/>
    </sheetView>
  </sheetViews>
  <sheetFormatPr defaultRowHeight="12.75"/>
  <cols>
    <col min="1" max="1" width="7" style="1" customWidth="1"/>
    <col min="2" max="2" width="31.5" style="2" customWidth="1"/>
    <col min="3" max="3" width="3" style="1" customWidth="1"/>
    <col min="4" max="4" width="14.875" style="3" customWidth="1"/>
    <col min="5" max="5" width="13.375" style="2" customWidth="1"/>
    <col min="6" max="6" width="13.625" style="2" customWidth="1"/>
    <col min="7" max="7" width="13.25" style="2" customWidth="1"/>
    <col min="8" max="8" width="13.375" style="2" customWidth="1"/>
    <col min="9" max="9" width="13.25" style="2" customWidth="1"/>
    <col min="10" max="10" width="11.25" style="2" customWidth="1"/>
    <col min="11" max="11" width="13.375" style="2" customWidth="1"/>
    <col min="12" max="12" width="12.5" style="2" customWidth="1"/>
    <col min="13" max="13" width="13.375" style="2" customWidth="1"/>
    <col min="14" max="14" width="13.5" style="2" customWidth="1"/>
    <col min="15" max="15" width="13.75" style="2" customWidth="1"/>
    <col min="16" max="16" width="12.25" style="2" customWidth="1"/>
    <col min="17" max="16384" width="9" style="2"/>
  </cols>
  <sheetData>
    <row r="1" spans="1:21">
      <c r="M1" s="6" t="s">
        <v>514</v>
      </c>
      <c r="N1" s="6"/>
    </row>
    <row r="2" spans="1:21">
      <c r="M2" s="4" t="s">
        <v>374</v>
      </c>
      <c r="N2" s="4"/>
    </row>
    <row r="3" spans="1:21">
      <c r="D3" s="5"/>
      <c r="E3" s="7"/>
      <c r="F3" s="7"/>
      <c r="G3" s="7"/>
      <c r="H3" s="7"/>
      <c r="I3" s="7"/>
      <c r="J3" s="7"/>
      <c r="K3" s="7"/>
      <c r="L3" s="7"/>
      <c r="M3" s="4" t="s">
        <v>375</v>
      </c>
      <c r="N3" s="4"/>
      <c r="O3" s="7"/>
    </row>
    <row r="4" spans="1:21" ht="3" customHeight="1"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1" s="9" customFormat="1" ht="31.15" customHeight="1">
      <c r="A5" s="761" t="s">
        <v>208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</row>
    <row r="6" spans="1:21" s="9" customForma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0</v>
      </c>
      <c r="P6" s="8"/>
    </row>
    <row r="7" spans="1:21" s="10" customFormat="1" ht="16.5" customHeight="1">
      <c r="A7" s="783" t="s">
        <v>69</v>
      </c>
      <c r="B7" s="783" t="s">
        <v>70</v>
      </c>
      <c r="C7" s="780" t="s">
        <v>3</v>
      </c>
      <c r="D7" s="775" t="s">
        <v>71</v>
      </c>
      <c r="E7" s="776" t="s">
        <v>72</v>
      </c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8"/>
    </row>
    <row r="8" spans="1:21" s="10" customFormat="1" ht="14.25" customHeight="1">
      <c r="A8" s="783"/>
      <c r="B8" s="783"/>
      <c r="C8" s="781"/>
      <c r="D8" s="775"/>
      <c r="E8" s="774" t="s">
        <v>39</v>
      </c>
      <c r="F8" s="779" t="s">
        <v>37</v>
      </c>
      <c r="G8" s="779"/>
      <c r="H8" s="779"/>
      <c r="I8" s="779"/>
      <c r="J8" s="779"/>
      <c r="K8" s="779"/>
      <c r="L8" s="779"/>
      <c r="M8" s="774" t="s">
        <v>73</v>
      </c>
      <c r="N8" s="779" t="s">
        <v>37</v>
      </c>
      <c r="O8" s="779"/>
      <c r="P8" s="779"/>
    </row>
    <row r="9" spans="1:21" s="10" customFormat="1" ht="14.25" customHeight="1">
      <c r="A9" s="783"/>
      <c r="B9" s="783"/>
      <c r="C9" s="781"/>
      <c r="D9" s="775"/>
      <c r="E9" s="774"/>
      <c r="F9" s="774" t="s">
        <v>74</v>
      </c>
      <c r="G9" s="779" t="s">
        <v>37</v>
      </c>
      <c r="H9" s="779"/>
      <c r="I9" s="774" t="s">
        <v>75</v>
      </c>
      <c r="J9" s="774" t="s">
        <v>76</v>
      </c>
      <c r="K9" s="774" t="s">
        <v>77</v>
      </c>
      <c r="L9" s="774" t="s">
        <v>78</v>
      </c>
      <c r="M9" s="774"/>
      <c r="N9" s="774" t="s">
        <v>187</v>
      </c>
      <c r="O9" s="60" t="s">
        <v>37</v>
      </c>
      <c r="P9" s="774" t="s">
        <v>79</v>
      </c>
    </row>
    <row r="10" spans="1:21" s="10" customFormat="1" ht="58.5" customHeight="1">
      <c r="A10" s="783"/>
      <c r="B10" s="783"/>
      <c r="C10" s="782"/>
      <c r="D10" s="775"/>
      <c r="E10" s="774"/>
      <c r="F10" s="774"/>
      <c r="G10" s="60" t="s">
        <v>38</v>
      </c>
      <c r="H10" s="60" t="s">
        <v>80</v>
      </c>
      <c r="I10" s="774"/>
      <c r="J10" s="774"/>
      <c r="K10" s="774"/>
      <c r="L10" s="774"/>
      <c r="M10" s="774"/>
      <c r="N10" s="774"/>
      <c r="O10" s="60" t="s">
        <v>77</v>
      </c>
      <c r="P10" s="774"/>
    </row>
    <row r="11" spans="1:21" s="11" customFormat="1">
      <c r="A11" s="46">
        <v>1</v>
      </c>
      <c r="B11" s="46">
        <v>2</v>
      </c>
      <c r="C11" s="46"/>
      <c r="D11" s="61">
        <v>3</v>
      </c>
      <c r="E11" s="62">
        <v>4</v>
      </c>
      <c r="F11" s="62">
        <v>5</v>
      </c>
      <c r="G11" s="62">
        <v>6</v>
      </c>
      <c r="H11" s="62">
        <v>7</v>
      </c>
      <c r="I11" s="62">
        <v>8</v>
      </c>
      <c r="J11" s="62">
        <v>9</v>
      </c>
      <c r="K11" s="62">
        <v>10</v>
      </c>
      <c r="L11" s="62">
        <v>11</v>
      </c>
      <c r="M11" s="62">
        <v>12</v>
      </c>
      <c r="N11" s="62">
        <v>13</v>
      </c>
      <c r="O11" s="62">
        <v>14</v>
      </c>
      <c r="P11" s="62">
        <v>15</v>
      </c>
    </row>
    <row r="12" spans="1:21" s="12" customFormat="1">
      <c r="A12" s="47"/>
      <c r="B12" s="48"/>
      <c r="C12" s="47"/>
      <c r="D12" s="3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21" s="25" customFormat="1" ht="15.75">
      <c r="A13" s="784"/>
      <c r="B13" s="787" t="s">
        <v>4</v>
      </c>
      <c r="C13" s="63" t="s">
        <v>5</v>
      </c>
      <c r="D13" s="26">
        <f t="shared" ref="D13:P14" si="0">D17+D35+D44+D56+D62+D89+D98+D104+D122+D137+D158+D164+D173+D182+D188+D236+D269+D287+D305+D332+D341+D374+D407+D413+D128</f>
        <v>1501040805</v>
      </c>
      <c r="E13" s="26">
        <f t="shared" si="0"/>
        <v>843725793</v>
      </c>
      <c r="F13" s="26">
        <f t="shared" si="0"/>
        <v>287283833</v>
      </c>
      <c r="G13" s="26">
        <f t="shared" si="0"/>
        <v>163902805</v>
      </c>
      <c r="H13" s="26">
        <f t="shared" si="0"/>
        <v>123381028</v>
      </c>
      <c r="I13" s="26">
        <f t="shared" si="0"/>
        <v>251959800</v>
      </c>
      <c r="J13" s="26">
        <f t="shared" si="0"/>
        <v>3411278</v>
      </c>
      <c r="K13" s="26">
        <f t="shared" si="0"/>
        <v>258453187</v>
      </c>
      <c r="L13" s="26">
        <f t="shared" si="0"/>
        <v>42617695</v>
      </c>
      <c r="M13" s="26">
        <f t="shared" si="0"/>
        <v>657315012</v>
      </c>
      <c r="N13" s="26">
        <f t="shared" si="0"/>
        <v>634155261</v>
      </c>
      <c r="O13" s="26">
        <f t="shared" si="0"/>
        <v>456189729</v>
      </c>
      <c r="P13" s="26">
        <f t="shared" si="0"/>
        <v>23159751</v>
      </c>
      <c r="Q13" s="24"/>
      <c r="R13" s="24"/>
      <c r="S13" s="24"/>
      <c r="T13" s="24"/>
      <c r="U13" s="24"/>
    </row>
    <row r="14" spans="1:21" s="25" customFormat="1" ht="15.75">
      <c r="A14" s="785"/>
      <c r="B14" s="788"/>
      <c r="C14" s="63" t="s">
        <v>6</v>
      </c>
      <c r="D14" s="26">
        <f t="shared" si="0"/>
        <v>24414110</v>
      </c>
      <c r="E14" s="26">
        <f t="shared" si="0"/>
        <v>-4593879</v>
      </c>
      <c r="F14" s="26">
        <f t="shared" si="0"/>
        <v>10051344</v>
      </c>
      <c r="G14" s="26">
        <f t="shared" si="0"/>
        <v>6000</v>
      </c>
      <c r="H14" s="26">
        <f t="shared" si="0"/>
        <v>10045344</v>
      </c>
      <c r="I14" s="26">
        <f t="shared" si="0"/>
        <v>1697229</v>
      </c>
      <c r="J14" s="26">
        <f t="shared" si="0"/>
        <v>0</v>
      </c>
      <c r="K14" s="26">
        <f t="shared" si="0"/>
        <v>-16342452</v>
      </c>
      <c r="L14" s="26">
        <f t="shared" si="0"/>
        <v>0</v>
      </c>
      <c r="M14" s="26">
        <f t="shared" si="0"/>
        <v>29007989</v>
      </c>
      <c r="N14" s="26">
        <f t="shared" si="0"/>
        <v>28407989</v>
      </c>
      <c r="O14" s="26">
        <f t="shared" si="0"/>
        <v>4785759</v>
      </c>
      <c r="P14" s="26">
        <f t="shared" si="0"/>
        <v>600000</v>
      </c>
      <c r="Q14" s="24"/>
      <c r="R14" s="24"/>
      <c r="S14" s="24"/>
      <c r="T14" s="24"/>
      <c r="U14" s="24"/>
    </row>
    <row r="15" spans="1:21" s="25" customFormat="1" ht="15.75">
      <c r="A15" s="786"/>
      <c r="B15" s="789"/>
      <c r="C15" s="112" t="s">
        <v>7</v>
      </c>
      <c r="D15" s="26">
        <f>D13+D14</f>
        <v>1525454915</v>
      </c>
      <c r="E15" s="26">
        <f t="shared" ref="E15:P15" si="1">E13+E14</f>
        <v>839131914</v>
      </c>
      <c r="F15" s="26">
        <f t="shared" si="1"/>
        <v>297335177</v>
      </c>
      <c r="G15" s="26">
        <f t="shared" si="1"/>
        <v>163908805</v>
      </c>
      <c r="H15" s="26">
        <f t="shared" si="1"/>
        <v>133426372</v>
      </c>
      <c r="I15" s="26">
        <f t="shared" si="1"/>
        <v>253657029</v>
      </c>
      <c r="J15" s="26">
        <f t="shared" si="1"/>
        <v>3411278</v>
      </c>
      <c r="K15" s="26">
        <f t="shared" si="1"/>
        <v>242110735</v>
      </c>
      <c r="L15" s="26">
        <f t="shared" si="1"/>
        <v>42617695</v>
      </c>
      <c r="M15" s="26">
        <f t="shared" si="1"/>
        <v>686323001</v>
      </c>
      <c r="N15" s="26">
        <f t="shared" si="1"/>
        <v>662563250</v>
      </c>
      <c r="O15" s="26">
        <f t="shared" si="1"/>
        <v>460975488</v>
      </c>
      <c r="P15" s="26">
        <f t="shared" si="1"/>
        <v>23759751</v>
      </c>
      <c r="Q15" s="24"/>
      <c r="R15" s="24"/>
      <c r="S15" s="24"/>
      <c r="T15" s="24"/>
      <c r="U15" s="24"/>
    </row>
    <row r="16" spans="1:21" s="12" customFormat="1" ht="5.45" customHeight="1">
      <c r="A16" s="49"/>
      <c r="B16" s="50"/>
      <c r="C16" s="64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18"/>
      <c r="R16" s="18"/>
      <c r="S16" s="18"/>
      <c r="T16" s="18"/>
      <c r="U16" s="18"/>
    </row>
    <row r="17" spans="1:21" s="28" customFormat="1" ht="14.25" hidden="1">
      <c r="A17" s="771" t="s">
        <v>8</v>
      </c>
      <c r="B17" s="758" t="s">
        <v>9</v>
      </c>
      <c r="C17" s="65" t="s">
        <v>5</v>
      </c>
      <c r="D17" s="29">
        <f>D23+D26+D29+D32+D20</f>
        <v>16000346</v>
      </c>
      <c r="E17" s="30">
        <f t="shared" ref="E17:P18" si="2">E23+E26+E29+E32+E20</f>
        <v>8514007</v>
      </c>
      <c r="F17" s="30">
        <f t="shared" si="2"/>
        <v>996007</v>
      </c>
      <c r="G17" s="30">
        <f t="shared" si="2"/>
        <v>571161</v>
      </c>
      <c r="H17" s="30">
        <f t="shared" si="2"/>
        <v>424846</v>
      </c>
      <c r="I17" s="30">
        <f t="shared" si="2"/>
        <v>1368000</v>
      </c>
      <c r="J17" s="30">
        <f t="shared" si="2"/>
        <v>0</v>
      </c>
      <c r="K17" s="30">
        <f t="shared" si="2"/>
        <v>6150000</v>
      </c>
      <c r="L17" s="30">
        <f t="shared" si="2"/>
        <v>0</v>
      </c>
      <c r="M17" s="30">
        <f t="shared" si="2"/>
        <v>7486339</v>
      </c>
      <c r="N17" s="30">
        <f t="shared" si="2"/>
        <v>7486339</v>
      </c>
      <c r="O17" s="30">
        <f t="shared" si="2"/>
        <v>0</v>
      </c>
      <c r="P17" s="30">
        <f t="shared" si="2"/>
        <v>0</v>
      </c>
      <c r="Q17" s="51"/>
      <c r="R17" s="51"/>
      <c r="S17" s="27"/>
      <c r="T17" s="27"/>
      <c r="U17" s="27"/>
    </row>
    <row r="18" spans="1:21" s="28" customFormat="1" ht="14.25" hidden="1">
      <c r="A18" s="772"/>
      <c r="B18" s="759"/>
      <c r="C18" s="65" t="s">
        <v>6</v>
      </c>
      <c r="D18" s="29">
        <f>D24+D27+D30+D33+D21</f>
        <v>0</v>
      </c>
      <c r="E18" s="30">
        <f t="shared" si="2"/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51"/>
      <c r="R18" s="51"/>
      <c r="S18" s="27"/>
      <c r="T18" s="27"/>
      <c r="U18" s="27"/>
    </row>
    <row r="19" spans="1:21" s="28" customFormat="1" ht="14.25" hidden="1">
      <c r="A19" s="773"/>
      <c r="B19" s="760"/>
      <c r="C19" s="65" t="s">
        <v>7</v>
      </c>
      <c r="D19" s="29">
        <f>D17+D18</f>
        <v>16000346</v>
      </c>
      <c r="E19" s="30">
        <f t="shared" ref="E19:P19" si="3">E17+E18</f>
        <v>8514007</v>
      </c>
      <c r="F19" s="30">
        <f t="shared" si="3"/>
        <v>996007</v>
      </c>
      <c r="G19" s="30">
        <f t="shared" si="3"/>
        <v>571161</v>
      </c>
      <c r="H19" s="30">
        <f t="shared" si="3"/>
        <v>424846</v>
      </c>
      <c r="I19" s="30">
        <f t="shared" si="3"/>
        <v>1368000</v>
      </c>
      <c r="J19" s="30">
        <f t="shared" si="3"/>
        <v>0</v>
      </c>
      <c r="K19" s="30">
        <f t="shared" si="3"/>
        <v>6150000</v>
      </c>
      <c r="L19" s="30">
        <f t="shared" si="3"/>
        <v>0</v>
      </c>
      <c r="M19" s="30">
        <f t="shared" si="3"/>
        <v>7486339</v>
      </c>
      <c r="N19" s="30">
        <f t="shared" si="3"/>
        <v>7486339</v>
      </c>
      <c r="O19" s="30">
        <f t="shared" si="3"/>
        <v>0</v>
      </c>
      <c r="P19" s="30">
        <f t="shared" si="3"/>
        <v>0</v>
      </c>
      <c r="Q19" s="51"/>
      <c r="R19" s="51"/>
      <c r="S19" s="27"/>
      <c r="T19" s="27"/>
      <c r="U19" s="27"/>
    </row>
    <row r="20" spans="1:21" s="12" customFormat="1" ht="13.5" hidden="1" customHeight="1">
      <c r="A20" s="765" t="s">
        <v>206</v>
      </c>
      <c r="B20" s="752" t="s">
        <v>205</v>
      </c>
      <c r="C20" s="66" t="s">
        <v>5</v>
      </c>
      <c r="D20" s="31">
        <f>E20+M20</f>
        <v>30000</v>
      </c>
      <c r="E20" s="32">
        <f>F20+I20+J20+K20+L20</f>
        <v>30000</v>
      </c>
      <c r="F20" s="32">
        <f>G20+H20</f>
        <v>30000</v>
      </c>
      <c r="G20" s="32">
        <v>0</v>
      </c>
      <c r="H20" s="32">
        <v>30000</v>
      </c>
      <c r="I20" s="32">
        <v>0</v>
      </c>
      <c r="J20" s="32">
        <v>0</v>
      </c>
      <c r="K20" s="32">
        <v>0</v>
      </c>
      <c r="L20" s="32">
        <v>0</v>
      </c>
      <c r="M20" s="32">
        <f>N20+P20</f>
        <v>0</v>
      </c>
      <c r="N20" s="32">
        <v>0</v>
      </c>
      <c r="O20" s="32">
        <v>0</v>
      </c>
      <c r="P20" s="32">
        <v>0</v>
      </c>
      <c r="Q20" s="42"/>
      <c r="R20" s="42"/>
      <c r="S20" s="18"/>
      <c r="T20" s="18"/>
      <c r="U20" s="18"/>
    </row>
    <row r="21" spans="1:21" s="12" customFormat="1" ht="13.5" hidden="1" customHeight="1">
      <c r="A21" s="766"/>
      <c r="B21" s="753"/>
      <c r="C21" s="66" t="s">
        <v>6</v>
      </c>
      <c r="D21" s="31">
        <f>E21+M21</f>
        <v>0</v>
      </c>
      <c r="E21" s="32">
        <f>F21+I21+J21+K21+L21</f>
        <v>0</v>
      </c>
      <c r="F21" s="32">
        <f>G21+H21</f>
        <v>0</v>
      </c>
      <c r="G21" s="32"/>
      <c r="H21" s="32"/>
      <c r="I21" s="32"/>
      <c r="J21" s="32"/>
      <c r="K21" s="32"/>
      <c r="L21" s="32"/>
      <c r="M21" s="32">
        <f>N21+P21</f>
        <v>0</v>
      </c>
      <c r="N21" s="32"/>
      <c r="O21" s="32"/>
      <c r="P21" s="32"/>
      <c r="Q21" s="42"/>
      <c r="R21" s="42"/>
      <c r="S21" s="18"/>
      <c r="T21" s="18"/>
      <c r="U21" s="18"/>
    </row>
    <row r="22" spans="1:21" s="12" customFormat="1" ht="13.5" hidden="1" customHeight="1">
      <c r="A22" s="767"/>
      <c r="B22" s="754"/>
      <c r="C22" s="66" t="s">
        <v>7</v>
      </c>
      <c r="D22" s="31">
        <f>D20+D21</f>
        <v>30000</v>
      </c>
      <c r="E22" s="32">
        <f t="shared" ref="E22:P22" si="4">E20+E21</f>
        <v>30000</v>
      </c>
      <c r="F22" s="32">
        <f t="shared" si="4"/>
        <v>30000</v>
      </c>
      <c r="G22" s="32">
        <f t="shared" si="4"/>
        <v>0</v>
      </c>
      <c r="H22" s="32">
        <f t="shared" si="4"/>
        <v>30000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2">
        <f t="shared" si="4"/>
        <v>0</v>
      </c>
      <c r="P22" s="32">
        <f t="shared" si="4"/>
        <v>0</v>
      </c>
      <c r="Q22" s="42"/>
      <c r="R22" s="42"/>
      <c r="S22" s="18"/>
      <c r="T22" s="18"/>
      <c r="U22" s="18"/>
    </row>
    <row r="23" spans="1:21" s="12" customFormat="1" ht="13.5" hidden="1" customHeight="1">
      <c r="A23" s="762" t="s">
        <v>81</v>
      </c>
      <c r="B23" s="752" t="s">
        <v>82</v>
      </c>
      <c r="C23" s="66" t="s">
        <v>5</v>
      </c>
      <c r="D23" s="31">
        <f>E23+M23</f>
        <v>1300000</v>
      </c>
      <c r="E23" s="32">
        <f>F23+I23+J23+K23+L23</f>
        <v>1300000</v>
      </c>
      <c r="F23" s="32">
        <f>G23+H23</f>
        <v>0</v>
      </c>
      <c r="G23" s="32">
        <v>0</v>
      </c>
      <c r="H23" s="32">
        <v>0</v>
      </c>
      <c r="I23" s="32">
        <v>1300000</v>
      </c>
      <c r="J23" s="32">
        <v>0</v>
      </c>
      <c r="K23" s="32">
        <v>0</v>
      </c>
      <c r="L23" s="32">
        <v>0</v>
      </c>
      <c r="M23" s="32">
        <f>N23+P23</f>
        <v>0</v>
      </c>
      <c r="N23" s="32">
        <v>0</v>
      </c>
      <c r="O23" s="32">
        <v>0</v>
      </c>
      <c r="P23" s="32">
        <v>0</v>
      </c>
      <c r="Q23" s="42"/>
      <c r="R23" s="42"/>
      <c r="S23" s="18"/>
      <c r="T23" s="18"/>
      <c r="U23" s="18"/>
    </row>
    <row r="24" spans="1:21" s="12" customFormat="1" ht="13.5" hidden="1" customHeight="1">
      <c r="A24" s="763"/>
      <c r="B24" s="753"/>
      <c r="C24" s="66" t="s">
        <v>6</v>
      </c>
      <c r="D24" s="31">
        <f>E24+M24</f>
        <v>0</v>
      </c>
      <c r="E24" s="32">
        <f>F24+I24+J24+K24+L24</f>
        <v>0</v>
      </c>
      <c r="F24" s="32">
        <f>G24+H24</f>
        <v>0</v>
      </c>
      <c r="G24" s="32"/>
      <c r="H24" s="32"/>
      <c r="I24" s="32"/>
      <c r="J24" s="32"/>
      <c r="K24" s="32"/>
      <c r="L24" s="32"/>
      <c r="M24" s="32">
        <f>N24+P24</f>
        <v>0</v>
      </c>
      <c r="N24" s="32"/>
      <c r="O24" s="32"/>
      <c r="P24" s="32"/>
      <c r="Q24" s="42"/>
      <c r="R24" s="42"/>
      <c r="S24" s="18"/>
      <c r="T24" s="18"/>
      <c r="U24" s="18"/>
    </row>
    <row r="25" spans="1:21" s="12" customFormat="1" ht="13.5" hidden="1" customHeight="1">
      <c r="A25" s="764"/>
      <c r="B25" s="754"/>
      <c r="C25" s="66" t="s">
        <v>7</v>
      </c>
      <c r="D25" s="31">
        <f>D23+D24</f>
        <v>1300000</v>
      </c>
      <c r="E25" s="32">
        <f t="shared" ref="E25:P25" si="5">E23+E24</f>
        <v>1300000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1300000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 t="shared" si="5"/>
        <v>0</v>
      </c>
      <c r="P25" s="32">
        <f t="shared" si="5"/>
        <v>0</v>
      </c>
      <c r="Q25" s="42"/>
      <c r="R25" s="42"/>
      <c r="S25" s="18"/>
      <c r="T25" s="18"/>
      <c r="U25" s="18"/>
    </row>
    <row r="26" spans="1:21" s="12" customFormat="1" ht="13.5" hidden="1" customHeight="1">
      <c r="A26" s="762" t="s">
        <v>83</v>
      </c>
      <c r="B26" s="752" t="s">
        <v>84</v>
      </c>
      <c r="C26" s="66" t="s">
        <v>5</v>
      </c>
      <c r="D26" s="31">
        <f>E26+M26</f>
        <v>6160500</v>
      </c>
      <c r="E26" s="32">
        <f>F26+I26+J26+K26+L26</f>
        <v>6158000</v>
      </c>
      <c r="F26" s="32">
        <f>G26+H26</f>
        <v>0</v>
      </c>
      <c r="G26" s="32">
        <v>0</v>
      </c>
      <c r="H26" s="32">
        <v>0</v>
      </c>
      <c r="I26" s="32">
        <v>8000</v>
      </c>
      <c r="J26" s="32">
        <v>0</v>
      </c>
      <c r="K26" s="32">
        <f>305370+174630+63630+36370+2157660+1233288+171165+97835+404109+230983+56287+32173+20998+12002+636+364+62357+35643+2863+1637+50904+29096+12089+6911+315017+178783+8717+4983+1909+1091+235431+134569+8272+4728+15907+9093+3499+2001+17180+9820</f>
        <v>6150000</v>
      </c>
      <c r="L26" s="32">
        <v>0</v>
      </c>
      <c r="M26" s="32">
        <f>N26+P26</f>
        <v>2500</v>
      </c>
      <c r="N26" s="32">
        <v>2500</v>
      </c>
      <c r="O26" s="32">
        <v>0</v>
      </c>
      <c r="P26" s="32">
        <v>0</v>
      </c>
      <c r="Q26" s="42"/>
      <c r="R26" s="42"/>
      <c r="S26" s="18"/>
      <c r="T26" s="18"/>
      <c r="U26" s="18"/>
    </row>
    <row r="27" spans="1:21" s="12" customFormat="1" ht="13.5" hidden="1" customHeight="1">
      <c r="A27" s="763"/>
      <c r="B27" s="753"/>
      <c r="C27" s="66" t="s">
        <v>6</v>
      </c>
      <c r="D27" s="31">
        <f>E27+M27</f>
        <v>0</v>
      </c>
      <c r="E27" s="32">
        <f>F27+I27+J27+K27+L27</f>
        <v>0</v>
      </c>
      <c r="F27" s="32">
        <f>G27+H27</f>
        <v>0</v>
      </c>
      <c r="G27" s="32"/>
      <c r="H27" s="32"/>
      <c r="I27" s="32"/>
      <c r="J27" s="32"/>
      <c r="K27" s="32"/>
      <c r="L27" s="32"/>
      <c r="M27" s="32">
        <f>N27+P27</f>
        <v>0</v>
      </c>
      <c r="N27" s="32"/>
      <c r="O27" s="32"/>
      <c r="P27" s="32"/>
      <c r="Q27" s="42"/>
      <c r="R27" s="42"/>
      <c r="S27" s="18"/>
      <c r="T27" s="18"/>
      <c r="U27" s="18"/>
    </row>
    <row r="28" spans="1:21" s="12" customFormat="1" ht="13.5" hidden="1" customHeight="1">
      <c r="A28" s="764"/>
      <c r="B28" s="754"/>
      <c r="C28" s="66" t="s">
        <v>7</v>
      </c>
      <c r="D28" s="31">
        <f>D26+D27</f>
        <v>6160500</v>
      </c>
      <c r="E28" s="32">
        <f t="shared" ref="E28:P28" si="6">E26+E27</f>
        <v>6158000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8000</v>
      </c>
      <c r="J28" s="32">
        <f t="shared" si="6"/>
        <v>0</v>
      </c>
      <c r="K28" s="32">
        <f t="shared" si="6"/>
        <v>6150000</v>
      </c>
      <c r="L28" s="32">
        <f t="shared" si="6"/>
        <v>0</v>
      </c>
      <c r="M28" s="32">
        <f t="shared" si="6"/>
        <v>2500</v>
      </c>
      <c r="N28" s="32">
        <f t="shared" si="6"/>
        <v>2500</v>
      </c>
      <c r="O28" s="32">
        <f t="shared" si="6"/>
        <v>0</v>
      </c>
      <c r="P28" s="32">
        <f t="shared" si="6"/>
        <v>0</v>
      </c>
      <c r="Q28" s="42"/>
      <c r="R28" s="42"/>
      <c r="S28" s="18"/>
      <c r="T28" s="18"/>
      <c r="U28" s="18"/>
    </row>
    <row r="29" spans="1:21" s="12" customFormat="1" ht="13.5" hidden="1" customHeight="1">
      <c r="A29" s="762" t="s">
        <v>10</v>
      </c>
      <c r="B29" s="752" t="s">
        <v>85</v>
      </c>
      <c r="C29" s="66" t="s">
        <v>5</v>
      </c>
      <c r="D29" s="31">
        <f>E29+M29</f>
        <v>8080000</v>
      </c>
      <c r="E29" s="32">
        <f>F29+I29+J29+K29+L29</f>
        <v>596161</v>
      </c>
      <c r="F29" s="32">
        <f>G29+H29</f>
        <v>596161</v>
      </c>
      <c r="G29" s="32">
        <v>571161</v>
      </c>
      <c r="H29" s="32">
        <f>15000+500+6500+3000</f>
        <v>25000</v>
      </c>
      <c r="I29" s="32">
        <v>0</v>
      </c>
      <c r="J29" s="32">
        <v>0</v>
      </c>
      <c r="K29" s="32">
        <v>0</v>
      </c>
      <c r="L29" s="32">
        <v>0</v>
      </c>
      <c r="M29" s="32">
        <f>N29+P29</f>
        <v>7483839</v>
      </c>
      <c r="N29" s="32">
        <v>7483839</v>
      </c>
      <c r="O29" s="32">
        <v>0</v>
      </c>
      <c r="P29" s="32">
        <v>0</v>
      </c>
      <c r="Q29" s="42"/>
      <c r="R29" s="42"/>
      <c r="S29" s="18"/>
      <c r="T29" s="18"/>
      <c r="U29" s="18"/>
    </row>
    <row r="30" spans="1:21" s="12" customFormat="1" ht="13.5" hidden="1" customHeight="1">
      <c r="A30" s="763"/>
      <c r="B30" s="753"/>
      <c r="C30" s="66" t="s">
        <v>6</v>
      </c>
      <c r="D30" s="31">
        <f>E30+M30</f>
        <v>0</v>
      </c>
      <c r="E30" s="32">
        <f>F30+I30+J30+K30+L30</f>
        <v>0</v>
      </c>
      <c r="F30" s="32">
        <f>G30+H30</f>
        <v>0</v>
      </c>
      <c r="G30" s="32"/>
      <c r="H30" s="32"/>
      <c r="I30" s="32"/>
      <c r="J30" s="32"/>
      <c r="K30" s="32"/>
      <c r="L30" s="32"/>
      <c r="M30" s="32">
        <f>N30+P30</f>
        <v>0</v>
      </c>
      <c r="N30" s="32"/>
      <c r="O30" s="32"/>
      <c r="P30" s="32"/>
      <c r="Q30" s="42"/>
      <c r="R30" s="42"/>
      <c r="S30" s="18"/>
      <c r="T30" s="18"/>
      <c r="U30" s="18"/>
    </row>
    <row r="31" spans="1:21" s="12" customFormat="1" ht="13.5" hidden="1" customHeight="1">
      <c r="A31" s="764"/>
      <c r="B31" s="754"/>
      <c r="C31" s="66" t="s">
        <v>7</v>
      </c>
      <c r="D31" s="31">
        <f>D29+D30</f>
        <v>8080000</v>
      </c>
      <c r="E31" s="32">
        <f t="shared" ref="E31:P31" si="7">E29+E30</f>
        <v>596161</v>
      </c>
      <c r="F31" s="32">
        <f t="shared" si="7"/>
        <v>596161</v>
      </c>
      <c r="G31" s="32">
        <f t="shared" si="7"/>
        <v>571161</v>
      </c>
      <c r="H31" s="32">
        <f t="shared" si="7"/>
        <v>25000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7483839</v>
      </c>
      <c r="N31" s="32">
        <f t="shared" si="7"/>
        <v>7483839</v>
      </c>
      <c r="O31" s="32">
        <f t="shared" si="7"/>
        <v>0</v>
      </c>
      <c r="P31" s="32">
        <f t="shared" si="7"/>
        <v>0</v>
      </c>
      <c r="Q31" s="42"/>
      <c r="R31" s="42"/>
      <c r="S31" s="18"/>
      <c r="T31" s="18"/>
      <c r="U31" s="18"/>
    </row>
    <row r="32" spans="1:21" s="12" customFormat="1" ht="13.5" hidden="1" customHeight="1">
      <c r="A32" s="762" t="s">
        <v>86</v>
      </c>
      <c r="B32" s="752" t="s">
        <v>43</v>
      </c>
      <c r="C32" s="66" t="s">
        <v>5</v>
      </c>
      <c r="D32" s="31">
        <f>E32+M32</f>
        <v>429846</v>
      </c>
      <c r="E32" s="32">
        <f>F32+I32+J32+K32+L32</f>
        <v>429846</v>
      </c>
      <c r="F32" s="32">
        <f>G32+H32</f>
        <v>369846</v>
      </c>
      <c r="G32" s="32">
        <v>0</v>
      </c>
      <c r="H32" s="32">
        <v>369846</v>
      </c>
      <c r="I32" s="32">
        <v>60000</v>
      </c>
      <c r="J32" s="32">
        <v>0</v>
      </c>
      <c r="K32" s="32">
        <v>0</v>
      </c>
      <c r="L32" s="32">
        <v>0</v>
      </c>
      <c r="M32" s="32">
        <f>N32+P32</f>
        <v>0</v>
      </c>
      <c r="N32" s="32">
        <v>0</v>
      </c>
      <c r="O32" s="32">
        <v>0</v>
      </c>
      <c r="P32" s="32">
        <v>0</v>
      </c>
      <c r="Q32" s="42"/>
      <c r="R32" s="42"/>
      <c r="S32" s="18"/>
      <c r="T32" s="18"/>
      <c r="U32" s="18"/>
    </row>
    <row r="33" spans="1:21" s="12" customFormat="1" ht="13.5" hidden="1" customHeight="1">
      <c r="A33" s="763"/>
      <c r="B33" s="753"/>
      <c r="C33" s="66" t="s">
        <v>6</v>
      </c>
      <c r="D33" s="31">
        <f>E33+M33</f>
        <v>0</v>
      </c>
      <c r="E33" s="32">
        <f>F33+I33+J33+K33+L33</f>
        <v>0</v>
      </c>
      <c r="F33" s="32">
        <f>G33+H33</f>
        <v>0</v>
      </c>
      <c r="G33" s="32"/>
      <c r="H33" s="32"/>
      <c r="I33" s="32"/>
      <c r="J33" s="32"/>
      <c r="K33" s="32"/>
      <c r="L33" s="32"/>
      <c r="M33" s="32">
        <f>N33+P33</f>
        <v>0</v>
      </c>
      <c r="N33" s="32"/>
      <c r="O33" s="32"/>
      <c r="P33" s="32"/>
      <c r="Q33" s="42"/>
      <c r="R33" s="42"/>
      <c r="S33" s="18"/>
      <c r="T33" s="18"/>
      <c r="U33" s="18"/>
    </row>
    <row r="34" spans="1:21" s="12" customFormat="1" ht="13.5" hidden="1" customHeight="1">
      <c r="A34" s="764"/>
      <c r="B34" s="754"/>
      <c r="C34" s="66" t="s">
        <v>7</v>
      </c>
      <c r="D34" s="31">
        <f>D32+D33</f>
        <v>429846</v>
      </c>
      <c r="E34" s="32">
        <f t="shared" ref="E34:P34" si="8">E32+E33</f>
        <v>429846</v>
      </c>
      <c r="F34" s="32">
        <f t="shared" si="8"/>
        <v>369846</v>
      </c>
      <c r="G34" s="32">
        <f t="shared" si="8"/>
        <v>0</v>
      </c>
      <c r="H34" s="32">
        <f t="shared" si="8"/>
        <v>369846</v>
      </c>
      <c r="I34" s="32">
        <f t="shared" si="8"/>
        <v>60000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8"/>
        <v>0</v>
      </c>
      <c r="P34" s="32">
        <f t="shared" si="8"/>
        <v>0</v>
      </c>
      <c r="Q34" s="42"/>
      <c r="R34" s="42"/>
      <c r="S34" s="18"/>
      <c r="T34" s="18"/>
      <c r="U34" s="18"/>
    </row>
    <row r="35" spans="1:21" s="13" customFormat="1" ht="14.25" hidden="1">
      <c r="A35" s="771" t="s">
        <v>57</v>
      </c>
      <c r="B35" s="758" t="s">
        <v>58</v>
      </c>
      <c r="C35" s="65" t="s">
        <v>5</v>
      </c>
      <c r="D35" s="33">
        <f>D38+D41</f>
        <v>320000</v>
      </c>
      <c r="E35" s="34">
        <f>E38+E41</f>
        <v>320000</v>
      </c>
      <c r="F35" s="34">
        <f t="shared" ref="F35:P35" si="9">F38+F41</f>
        <v>64000</v>
      </c>
      <c r="G35" s="34">
        <f t="shared" si="9"/>
        <v>64000</v>
      </c>
      <c r="H35" s="34">
        <f t="shared" si="9"/>
        <v>0</v>
      </c>
      <c r="I35" s="34">
        <f t="shared" si="9"/>
        <v>8000</v>
      </c>
      <c r="J35" s="34">
        <f t="shared" si="9"/>
        <v>0</v>
      </c>
      <c r="K35" s="34">
        <f t="shared" si="9"/>
        <v>248000</v>
      </c>
      <c r="L35" s="34">
        <f t="shared" si="9"/>
        <v>0</v>
      </c>
      <c r="M35" s="34">
        <f t="shared" si="9"/>
        <v>0</v>
      </c>
      <c r="N35" s="34">
        <f t="shared" si="9"/>
        <v>0</v>
      </c>
      <c r="O35" s="34">
        <f t="shared" si="9"/>
        <v>0</v>
      </c>
      <c r="P35" s="34">
        <f t="shared" si="9"/>
        <v>0</v>
      </c>
      <c r="Q35" s="52"/>
      <c r="R35" s="52"/>
      <c r="S35" s="19"/>
      <c r="T35" s="19"/>
      <c r="U35" s="19"/>
    </row>
    <row r="36" spans="1:21" s="13" customFormat="1" ht="14.25" hidden="1">
      <c r="A36" s="772"/>
      <c r="B36" s="759"/>
      <c r="C36" s="65" t="s">
        <v>6</v>
      </c>
      <c r="D36" s="33">
        <f>D39+D42</f>
        <v>0</v>
      </c>
      <c r="E36" s="34">
        <f t="shared" ref="E36:P36" si="10">E39+E42</f>
        <v>0</v>
      </c>
      <c r="F36" s="34">
        <f t="shared" si="10"/>
        <v>0</v>
      </c>
      <c r="G36" s="34">
        <f t="shared" si="10"/>
        <v>0</v>
      </c>
      <c r="H36" s="34">
        <f t="shared" si="10"/>
        <v>0</v>
      </c>
      <c r="I36" s="34">
        <f t="shared" si="10"/>
        <v>0</v>
      </c>
      <c r="J36" s="34">
        <f t="shared" si="10"/>
        <v>0</v>
      </c>
      <c r="K36" s="34">
        <f t="shared" si="10"/>
        <v>0</v>
      </c>
      <c r="L36" s="34">
        <f t="shared" si="10"/>
        <v>0</v>
      </c>
      <c r="M36" s="34">
        <f t="shared" si="10"/>
        <v>0</v>
      </c>
      <c r="N36" s="34">
        <f t="shared" si="10"/>
        <v>0</v>
      </c>
      <c r="O36" s="34">
        <f t="shared" si="10"/>
        <v>0</v>
      </c>
      <c r="P36" s="34">
        <f t="shared" si="10"/>
        <v>0</v>
      </c>
      <c r="Q36" s="52"/>
      <c r="R36" s="52"/>
      <c r="S36" s="19"/>
      <c r="T36" s="19"/>
      <c r="U36" s="19"/>
    </row>
    <row r="37" spans="1:21" s="13" customFormat="1" ht="14.25" hidden="1">
      <c r="A37" s="773"/>
      <c r="B37" s="760"/>
      <c r="C37" s="65" t="s">
        <v>7</v>
      </c>
      <c r="D37" s="33">
        <f>D35+D36</f>
        <v>320000</v>
      </c>
      <c r="E37" s="34">
        <f t="shared" ref="E37:P37" si="11">E35+E36</f>
        <v>320000</v>
      </c>
      <c r="F37" s="34">
        <f t="shared" si="11"/>
        <v>64000</v>
      </c>
      <c r="G37" s="34">
        <f t="shared" si="11"/>
        <v>64000</v>
      </c>
      <c r="H37" s="34">
        <f t="shared" si="11"/>
        <v>0</v>
      </c>
      <c r="I37" s="34">
        <f t="shared" si="11"/>
        <v>8000</v>
      </c>
      <c r="J37" s="34">
        <f t="shared" si="11"/>
        <v>0</v>
      </c>
      <c r="K37" s="34">
        <f t="shared" si="11"/>
        <v>248000</v>
      </c>
      <c r="L37" s="34">
        <f t="shared" si="11"/>
        <v>0</v>
      </c>
      <c r="M37" s="34">
        <f t="shared" si="11"/>
        <v>0</v>
      </c>
      <c r="N37" s="34">
        <f t="shared" si="11"/>
        <v>0</v>
      </c>
      <c r="O37" s="34">
        <f t="shared" si="11"/>
        <v>0</v>
      </c>
      <c r="P37" s="34">
        <f t="shared" si="11"/>
        <v>0</v>
      </c>
      <c r="Q37" s="52"/>
      <c r="R37" s="52"/>
      <c r="S37" s="19"/>
      <c r="T37" s="19"/>
      <c r="U37" s="19"/>
    </row>
    <row r="38" spans="1:21" s="12" customFormat="1" ht="19.899999999999999" hidden="1" customHeight="1">
      <c r="A38" s="762" t="s">
        <v>87</v>
      </c>
      <c r="B38" s="768" t="s">
        <v>88</v>
      </c>
      <c r="C38" s="66" t="s">
        <v>5</v>
      </c>
      <c r="D38" s="31">
        <f>E38+M38</f>
        <v>256000</v>
      </c>
      <c r="E38" s="32">
        <f>F38+I38+J38+K38+L38</f>
        <v>256000</v>
      </c>
      <c r="F38" s="32">
        <f>G38+H38</f>
        <v>0</v>
      </c>
      <c r="G38" s="32">
        <v>0</v>
      </c>
      <c r="H38" s="32">
        <v>0</v>
      </c>
      <c r="I38" s="32">
        <v>8000</v>
      </c>
      <c r="J38" s="32">
        <v>0</v>
      </c>
      <c r="K38" s="32">
        <f>112251+37417+11250+3750+21553+7184+3071+1024+1875+625+3375+1125+1500+500+3000+1000+2250+750+4500+1500+750+250+17625+5875+750+250+750+250+750+250+750+250</f>
        <v>248000</v>
      </c>
      <c r="L38" s="32">
        <v>0</v>
      </c>
      <c r="M38" s="32">
        <f>N38+P38</f>
        <v>0</v>
      </c>
      <c r="N38" s="32">
        <v>0</v>
      </c>
      <c r="O38" s="32">
        <v>0</v>
      </c>
      <c r="P38" s="32">
        <v>0</v>
      </c>
      <c r="Q38" s="42"/>
      <c r="R38" s="42"/>
      <c r="S38" s="18"/>
      <c r="T38" s="18"/>
      <c r="U38" s="18"/>
    </row>
    <row r="39" spans="1:21" s="12" customFormat="1" ht="19.899999999999999" hidden="1" customHeight="1">
      <c r="A39" s="763"/>
      <c r="B39" s="769"/>
      <c r="C39" s="66" t="s">
        <v>6</v>
      </c>
      <c r="D39" s="31">
        <f>E39+M39</f>
        <v>0</v>
      </c>
      <c r="E39" s="32">
        <f>F39+I39+J39+K39+L39</f>
        <v>0</v>
      </c>
      <c r="F39" s="32">
        <f>G39+H39</f>
        <v>0</v>
      </c>
      <c r="G39" s="32"/>
      <c r="H39" s="32"/>
      <c r="I39" s="32"/>
      <c r="J39" s="32"/>
      <c r="K39" s="32"/>
      <c r="L39" s="32"/>
      <c r="M39" s="32">
        <f>N39+P39</f>
        <v>0</v>
      </c>
      <c r="N39" s="32"/>
      <c r="O39" s="32"/>
      <c r="P39" s="32"/>
      <c r="Q39" s="42"/>
      <c r="R39" s="42"/>
      <c r="S39" s="18"/>
      <c r="T39" s="18"/>
      <c r="U39" s="18"/>
    </row>
    <row r="40" spans="1:21" s="12" customFormat="1" ht="19.899999999999999" hidden="1" customHeight="1">
      <c r="A40" s="764"/>
      <c r="B40" s="770"/>
      <c r="C40" s="66" t="s">
        <v>7</v>
      </c>
      <c r="D40" s="31">
        <f>D38+D39</f>
        <v>256000</v>
      </c>
      <c r="E40" s="32">
        <f t="shared" ref="E40:P40" si="12">E38+E39</f>
        <v>256000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8000</v>
      </c>
      <c r="J40" s="32">
        <f t="shared" si="12"/>
        <v>0</v>
      </c>
      <c r="K40" s="32">
        <f t="shared" si="12"/>
        <v>248000</v>
      </c>
      <c r="L40" s="32">
        <f t="shared" si="12"/>
        <v>0</v>
      </c>
      <c r="M40" s="32">
        <f t="shared" si="12"/>
        <v>0</v>
      </c>
      <c r="N40" s="32">
        <f t="shared" si="12"/>
        <v>0</v>
      </c>
      <c r="O40" s="32">
        <f t="shared" si="12"/>
        <v>0</v>
      </c>
      <c r="P40" s="32">
        <f t="shared" si="12"/>
        <v>0</v>
      </c>
      <c r="Q40" s="42"/>
      <c r="R40" s="42"/>
      <c r="S40" s="18"/>
      <c r="T40" s="18"/>
      <c r="U40" s="18"/>
    </row>
    <row r="41" spans="1:21" s="12" customFormat="1" ht="13.5" hidden="1" customHeight="1">
      <c r="A41" s="765" t="s">
        <v>188</v>
      </c>
      <c r="B41" s="768" t="s">
        <v>43</v>
      </c>
      <c r="C41" s="66" t="s">
        <v>5</v>
      </c>
      <c r="D41" s="31">
        <f>E41+M41</f>
        <v>64000</v>
      </c>
      <c r="E41" s="32">
        <f>F41+I41+J41+K41+L41</f>
        <v>64000</v>
      </c>
      <c r="F41" s="32">
        <f>G41+H41</f>
        <v>64000</v>
      </c>
      <c r="G41" s="32">
        <v>64000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f>N41+P41</f>
        <v>0</v>
      </c>
      <c r="N41" s="32">
        <v>0</v>
      </c>
      <c r="O41" s="32">
        <v>0</v>
      </c>
      <c r="P41" s="32">
        <v>0</v>
      </c>
      <c r="Q41" s="42"/>
      <c r="R41" s="42"/>
      <c r="S41" s="18"/>
      <c r="T41" s="18"/>
      <c r="U41" s="18"/>
    </row>
    <row r="42" spans="1:21" s="12" customFormat="1" ht="13.5" hidden="1" customHeight="1">
      <c r="A42" s="766"/>
      <c r="B42" s="769"/>
      <c r="C42" s="66" t="s">
        <v>6</v>
      </c>
      <c r="D42" s="31">
        <f>E42+M42</f>
        <v>0</v>
      </c>
      <c r="E42" s="32">
        <f>F42+I42+J42+K42+L42</f>
        <v>0</v>
      </c>
      <c r="F42" s="32">
        <f>G42+H42</f>
        <v>0</v>
      </c>
      <c r="G42" s="32"/>
      <c r="H42" s="32"/>
      <c r="I42" s="32"/>
      <c r="J42" s="32"/>
      <c r="K42" s="32"/>
      <c r="L42" s="32"/>
      <c r="M42" s="32">
        <f>N42+P42</f>
        <v>0</v>
      </c>
      <c r="N42" s="32"/>
      <c r="O42" s="32"/>
      <c r="P42" s="32"/>
      <c r="Q42" s="42"/>
      <c r="R42" s="42"/>
      <c r="S42" s="18"/>
      <c r="T42" s="18"/>
      <c r="U42" s="18"/>
    </row>
    <row r="43" spans="1:21" s="12" customFormat="1" ht="13.5" hidden="1" customHeight="1">
      <c r="A43" s="767"/>
      <c r="B43" s="770"/>
      <c r="C43" s="66" t="s">
        <v>7</v>
      </c>
      <c r="D43" s="31">
        <f>D41+D42</f>
        <v>64000</v>
      </c>
      <c r="E43" s="32">
        <f t="shared" ref="E43:P43" si="13">E41+E42</f>
        <v>64000</v>
      </c>
      <c r="F43" s="32">
        <f t="shared" si="13"/>
        <v>64000</v>
      </c>
      <c r="G43" s="32">
        <f t="shared" si="13"/>
        <v>64000</v>
      </c>
      <c r="H43" s="32">
        <f t="shared" si="13"/>
        <v>0</v>
      </c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0</v>
      </c>
      <c r="M43" s="32">
        <f t="shared" si="13"/>
        <v>0</v>
      </c>
      <c r="N43" s="32">
        <f t="shared" si="13"/>
        <v>0</v>
      </c>
      <c r="O43" s="32">
        <f t="shared" si="13"/>
        <v>0</v>
      </c>
      <c r="P43" s="32">
        <f t="shared" si="13"/>
        <v>0</v>
      </c>
      <c r="Q43" s="42"/>
      <c r="R43" s="42"/>
      <c r="S43" s="18"/>
      <c r="T43" s="18"/>
      <c r="U43" s="18"/>
    </row>
    <row r="44" spans="1:21" s="14" customFormat="1" ht="14.25">
      <c r="A44" s="771" t="s">
        <v>89</v>
      </c>
      <c r="B44" s="758" t="s">
        <v>90</v>
      </c>
      <c r="C44" s="65" t="s">
        <v>5</v>
      </c>
      <c r="D44" s="29">
        <f t="shared" ref="D44:P45" si="14">D50+D53+D47</f>
        <v>29181945</v>
      </c>
      <c r="E44" s="30">
        <f t="shared" si="14"/>
        <v>29181945</v>
      </c>
      <c r="F44" s="30">
        <f t="shared" si="14"/>
        <v>2185636</v>
      </c>
      <c r="G44" s="30">
        <f t="shared" si="14"/>
        <v>297191</v>
      </c>
      <c r="H44" s="30">
        <f t="shared" si="14"/>
        <v>1888445</v>
      </c>
      <c r="I44" s="30">
        <f t="shared" si="14"/>
        <v>1374305</v>
      </c>
      <c r="J44" s="30">
        <f t="shared" si="14"/>
        <v>0</v>
      </c>
      <c r="K44" s="30">
        <f t="shared" si="14"/>
        <v>25622004</v>
      </c>
      <c r="L44" s="30">
        <f t="shared" si="14"/>
        <v>0</v>
      </c>
      <c r="M44" s="30">
        <f t="shared" si="14"/>
        <v>0</v>
      </c>
      <c r="N44" s="30">
        <f t="shared" si="14"/>
        <v>0</v>
      </c>
      <c r="O44" s="30">
        <f t="shared" si="14"/>
        <v>0</v>
      </c>
      <c r="P44" s="30">
        <f t="shared" si="14"/>
        <v>0</v>
      </c>
      <c r="Q44" s="53"/>
      <c r="R44" s="53"/>
      <c r="S44" s="20"/>
      <c r="T44" s="20"/>
      <c r="U44" s="20"/>
    </row>
    <row r="45" spans="1:21" s="14" customFormat="1" ht="14.25">
      <c r="A45" s="772"/>
      <c r="B45" s="759"/>
      <c r="C45" s="65" t="s">
        <v>6</v>
      </c>
      <c r="D45" s="29">
        <f t="shared" si="14"/>
        <v>-11858056</v>
      </c>
      <c r="E45" s="30">
        <f t="shared" si="14"/>
        <v>-12358056</v>
      </c>
      <c r="F45" s="30">
        <f t="shared" si="14"/>
        <v>0</v>
      </c>
      <c r="G45" s="30">
        <f t="shared" si="14"/>
        <v>0</v>
      </c>
      <c r="H45" s="30">
        <f t="shared" si="14"/>
        <v>0</v>
      </c>
      <c r="I45" s="30">
        <f t="shared" si="14"/>
        <v>0</v>
      </c>
      <c r="J45" s="30">
        <f t="shared" si="14"/>
        <v>0</v>
      </c>
      <c r="K45" s="30">
        <f t="shared" si="14"/>
        <v>-12358056</v>
      </c>
      <c r="L45" s="30">
        <f t="shared" si="14"/>
        <v>0</v>
      </c>
      <c r="M45" s="30">
        <f t="shared" si="14"/>
        <v>500000</v>
      </c>
      <c r="N45" s="30">
        <f t="shared" si="14"/>
        <v>0</v>
      </c>
      <c r="O45" s="30">
        <f t="shared" si="14"/>
        <v>0</v>
      </c>
      <c r="P45" s="30">
        <f t="shared" si="14"/>
        <v>500000</v>
      </c>
      <c r="Q45" s="53"/>
      <c r="R45" s="53"/>
      <c r="S45" s="20"/>
      <c r="T45" s="20"/>
      <c r="U45" s="20"/>
    </row>
    <row r="46" spans="1:21" s="14" customFormat="1" ht="14.25">
      <c r="A46" s="773"/>
      <c r="B46" s="760"/>
      <c r="C46" s="65" t="s">
        <v>7</v>
      </c>
      <c r="D46" s="29">
        <f>D44+D45</f>
        <v>17323889</v>
      </c>
      <c r="E46" s="30">
        <f t="shared" ref="E46:P46" si="15">E44+E45</f>
        <v>16823889</v>
      </c>
      <c r="F46" s="30">
        <f t="shared" si="15"/>
        <v>2185636</v>
      </c>
      <c r="G46" s="30">
        <f t="shared" si="15"/>
        <v>297191</v>
      </c>
      <c r="H46" s="30">
        <f t="shared" si="15"/>
        <v>1888445</v>
      </c>
      <c r="I46" s="30">
        <f t="shared" si="15"/>
        <v>1374305</v>
      </c>
      <c r="J46" s="30">
        <f t="shared" si="15"/>
        <v>0</v>
      </c>
      <c r="K46" s="30">
        <f t="shared" si="15"/>
        <v>13263948</v>
      </c>
      <c r="L46" s="30">
        <f t="shared" si="15"/>
        <v>0</v>
      </c>
      <c r="M46" s="30">
        <f t="shared" si="15"/>
        <v>500000</v>
      </c>
      <c r="N46" s="30">
        <f t="shared" si="15"/>
        <v>0</v>
      </c>
      <c r="O46" s="30">
        <f t="shared" si="15"/>
        <v>0</v>
      </c>
      <c r="P46" s="30">
        <f t="shared" si="15"/>
        <v>500000</v>
      </c>
      <c r="Q46" s="53"/>
      <c r="R46" s="53"/>
      <c r="S46" s="20"/>
      <c r="T46" s="20"/>
      <c r="U46" s="20"/>
    </row>
    <row r="47" spans="1:21" s="12" customFormat="1" ht="13.5" customHeight="1">
      <c r="A47" s="762" t="s">
        <v>180</v>
      </c>
      <c r="B47" s="768" t="s">
        <v>181</v>
      </c>
      <c r="C47" s="66" t="s">
        <v>5</v>
      </c>
      <c r="D47" s="31">
        <f>E47+M47</f>
        <v>5921501</v>
      </c>
      <c r="E47" s="32">
        <f>F47+I47+J47+K47+L47</f>
        <v>5921501</v>
      </c>
      <c r="F47" s="32">
        <f>G47+H47</f>
        <v>2145636</v>
      </c>
      <c r="G47" s="32">
        <v>292191</v>
      </c>
      <c r="H47" s="32">
        <v>1853445</v>
      </c>
      <c r="I47" s="32">
        <v>1374305</v>
      </c>
      <c r="J47" s="32">
        <v>0</v>
      </c>
      <c r="K47" s="32">
        <v>2401560</v>
      </c>
      <c r="L47" s="32">
        <v>0</v>
      </c>
      <c r="M47" s="32">
        <f>N47+P47</f>
        <v>0</v>
      </c>
      <c r="N47" s="32">
        <v>0</v>
      </c>
      <c r="O47" s="32">
        <v>0</v>
      </c>
      <c r="P47" s="32">
        <v>0</v>
      </c>
      <c r="Q47" s="42"/>
      <c r="R47" s="42"/>
      <c r="S47" s="18"/>
      <c r="T47" s="18"/>
      <c r="U47" s="18"/>
    </row>
    <row r="48" spans="1:21" s="12" customFormat="1" ht="13.5" customHeight="1">
      <c r="A48" s="763"/>
      <c r="B48" s="769"/>
      <c r="C48" s="66" t="s">
        <v>6</v>
      </c>
      <c r="D48" s="31">
        <f>E48+M48</f>
        <v>500000</v>
      </c>
      <c r="E48" s="32">
        <f>F48+I48+J48+K48+L48</f>
        <v>0</v>
      </c>
      <c r="F48" s="32">
        <f>G48+H48</f>
        <v>0</v>
      </c>
      <c r="G48" s="32"/>
      <c r="H48" s="32"/>
      <c r="I48" s="32"/>
      <c r="J48" s="32"/>
      <c r="K48" s="32"/>
      <c r="L48" s="32"/>
      <c r="M48" s="32">
        <f>N48+P48</f>
        <v>500000</v>
      </c>
      <c r="N48" s="32"/>
      <c r="O48" s="32"/>
      <c r="P48" s="32">
        <v>500000</v>
      </c>
      <c r="Q48" s="42"/>
      <c r="R48" s="42"/>
      <c r="S48" s="18"/>
      <c r="T48" s="18"/>
      <c r="U48" s="18"/>
    </row>
    <row r="49" spans="1:21" s="12" customFormat="1" ht="13.5" customHeight="1">
      <c r="A49" s="764"/>
      <c r="B49" s="770"/>
      <c r="C49" s="66" t="s">
        <v>7</v>
      </c>
      <c r="D49" s="31">
        <f>D47+D48</f>
        <v>6421501</v>
      </c>
      <c r="E49" s="32">
        <f t="shared" ref="E49:P49" si="16">E47+E48</f>
        <v>5921501</v>
      </c>
      <c r="F49" s="32">
        <f t="shared" si="16"/>
        <v>2145636</v>
      </c>
      <c r="G49" s="32">
        <f t="shared" si="16"/>
        <v>292191</v>
      </c>
      <c r="H49" s="32">
        <f t="shared" si="16"/>
        <v>1853445</v>
      </c>
      <c r="I49" s="32">
        <f t="shared" si="16"/>
        <v>1374305</v>
      </c>
      <c r="J49" s="32">
        <f t="shared" si="16"/>
        <v>0</v>
      </c>
      <c r="K49" s="32">
        <f t="shared" si="16"/>
        <v>2401560</v>
      </c>
      <c r="L49" s="32">
        <f t="shared" si="16"/>
        <v>0</v>
      </c>
      <c r="M49" s="32">
        <f t="shared" si="16"/>
        <v>500000</v>
      </c>
      <c r="N49" s="32">
        <f t="shared" si="16"/>
        <v>0</v>
      </c>
      <c r="O49" s="32">
        <f t="shared" si="16"/>
        <v>0</v>
      </c>
      <c r="P49" s="32">
        <f t="shared" si="16"/>
        <v>500000</v>
      </c>
      <c r="Q49" s="42"/>
      <c r="R49" s="42"/>
      <c r="S49" s="18"/>
      <c r="T49" s="18"/>
      <c r="U49" s="18"/>
    </row>
    <row r="50" spans="1:21" s="12" customFormat="1">
      <c r="A50" s="762" t="s">
        <v>91</v>
      </c>
      <c r="B50" s="768" t="s">
        <v>92</v>
      </c>
      <c r="C50" s="66" t="s">
        <v>5</v>
      </c>
      <c r="D50" s="31">
        <f>E50+M50</f>
        <v>22912444</v>
      </c>
      <c r="E50" s="32">
        <f>F50+I50+J50+K50+L50</f>
        <v>22912444</v>
      </c>
      <c r="F50" s="32">
        <f>G50+H50</f>
        <v>40000</v>
      </c>
      <c r="G50" s="32">
        <v>5000</v>
      </c>
      <c r="H50" s="32">
        <v>35000</v>
      </c>
      <c r="I50" s="32">
        <v>0</v>
      </c>
      <c r="J50" s="32">
        <v>0</v>
      </c>
      <c r="K50" s="32">
        <v>22872444</v>
      </c>
      <c r="L50" s="32">
        <v>0</v>
      </c>
      <c r="M50" s="32">
        <f>N50+P50</f>
        <v>0</v>
      </c>
      <c r="N50" s="32">
        <v>0</v>
      </c>
      <c r="O50" s="32">
        <v>0</v>
      </c>
      <c r="P50" s="32">
        <v>0</v>
      </c>
      <c r="Q50" s="42"/>
      <c r="R50" s="42"/>
      <c r="S50" s="18"/>
      <c r="T50" s="18"/>
      <c r="U50" s="18"/>
    </row>
    <row r="51" spans="1:21" s="12" customFormat="1">
      <c r="A51" s="763"/>
      <c r="B51" s="769"/>
      <c r="C51" s="66" t="s">
        <v>6</v>
      </c>
      <c r="D51" s="31">
        <f>E51+M51</f>
        <v>-12358056</v>
      </c>
      <c r="E51" s="32">
        <f>F51+I51+J51+K51+L51</f>
        <v>-12358056</v>
      </c>
      <c r="F51" s="32">
        <f>G51+H51</f>
        <v>0</v>
      </c>
      <c r="G51" s="32"/>
      <c r="H51" s="32"/>
      <c r="I51" s="32"/>
      <c r="J51" s="32"/>
      <c r="K51" s="32">
        <f>12785-12370841</f>
        <v>-12358056</v>
      </c>
      <c r="L51" s="32"/>
      <c r="M51" s="32">
        <f>N51+P51</f>
        <v>0</v>
      </c>
      <c r="N51" s="32">
        <v>0</v>
      </c>
      <c r="O51" s="32"/>
      <c r="P51" s="32"/>
      <c r="Q51" s="42"/>
      <c r="R51" s="42"/>
      <c r="S51" s="18"/>
      <c r="T51" s="18"/>
      <c r="U51" s="18"/>
    </row>
    <row r="52" spans="1:21" s="12" customFormat="1">
      <c r="A52" s="764"/>
      <c r="B52" s="770"/>
      <c r="C52" s="66" t="s">
        <v>7</v>
      </c>
      <c r="D52" s="31">
        <f>D50+D51</f>
        <v>10554388</v>
      </c>
      <c r="E52" s="32">
        <f t="shared" ref="E52:P52" si="17">E50+E51</f>
        <v>10554388</v>
      </c>
      <c r="F52" s="32">
        <f t="shared" si="17"/>
        <v>40000</v>
      </c>
      <c r="G52" s="32">
        <f t="shared" si="17"/>
        <v>5000</v>
      </c>
      <c r="H52" s="32">
        <f t="shared" si="17"/>
        <v>35000</v>
      </c>
      <c r="I52" s="32">
        <f t="shared" si="17"/>
        <v>0</v>
      </c>
      <c r="J52" s="32">
        <f t="shared" si="17"/>
        <v>0</v>
      </c>
      <c r="K52" s="32">
        <f t="shared" si="17"/>
        <v>10514388</v>
      </c>
      <c r="L52" s="32">
        <f t="shared" si="17"/>
        <v>0</v>
      </c>
      <c r="M52" s="32">
        <f t="shared" si="17"/>
        <v>0</v>
      </c>
      <c r="N52" s="32">
        <f t="shared" si="17"/>
        <v>0</v>
      </c>
      <c r="O52" s="32">
        <f t="shared" si="17"/>
        <v>0</v>
      </c>
      <c r="P52" s="32">
        <f t="shared" si="17"/>
        <v>0</v>
      </c>
      <c r="Q52" s="42"/>
      <c r="R52" s="42"/>
      <c r="S52" s="18"/>
      <c r="T52" s="18"/>
      <c r="U52" s="18"/>
    </row>
    <row r="53" spans="1:21" s="12" customFormat="1" ht="13.5" hidden="1" customHeight="1">
      <c r="A53" s="762" t="s">
        <v>93</v>
      </c>
      <c r="B53" s="768" t="s">
        <v>43</v>
      </c>
      <c r="C53" s="66" t="s">
        <v>5</v>
      </c>
      <c r="D53" s="31">
        <f>E53+M53</f>
        <v>348000</v>
      </c>
      <c r="E53" s="32">
        <f>F53+I53+J53+K53+L53</f>
        <v>348000</v>
      </c>
      <c r="F53" s="32">
        <f>G53+H53</f>
        <v>0</v>
      </c>
      <c r="G53" s="32">
        <v>0</v>
      </c>
      <c r="H53" s="32">
        <v>0</v>
      </c>
      <c r="I53" s="32">
        <v>0</v>
      </c>
      <c r="J53" s="32">
        <v>0</v>
      </c>
      <c r="K53" s="32">
        <v>348000</v>
      </c>
      <c r="L53" s="32">
        <v>0</v>
      </c>
      <c r="M53" s="32">
        <f>N53+P53</f>
        <v>0</v>
      </c>
      <c r="N53" s="32">
        <v>0</v>
      </c>
      <c r="O53" s="32">
        <v>0</v>
      </c>
      <c r="P53" s="32">
        <v>0</v>
      </c>
      <c r="Q53" s="42"/>
      <c r="R53" s="42"/>
      <c r="S53" s="18"/>
      <c r="T53" s="18"/>
      <c r="U53" s="18"/>
    </row>
    <row r="54" spans="1:21" s="12" customFormat="1" ht="13.5" hidden="1" customHeight="1">
      <c r="A54" s="763"/>
      <c r="B54" s="769"/>
      <c r="C54" s="66" t="s">
        <v>6</v>
      </c>
      <c r="D54" s="31">
        <f>E54+M54</f>
        <v>0</v>
      </c>
      <c r="E54" s="32">
        <f>F54+I54+J54+K54+L54</f>
        <v>0</v>
      </c>
      <c r="F54" s="32">
        <f>G54+H54</f>
        <v>0</v>
      </c>
      <c r="G54" s="32"/>
      <c r="H54" s="32"/>
      <c r="I54" s="32"/>
      <c r="J54" s="32"/>
      <c r="K54" s="32"/>
      <c r="L54" s="32"/>
      <c r="M54" s="32">
        <f>N54+P54</f>
        <v>0</v>
      </c>
      <c r="N54" s="32"/>
      <c r="O54" s="32"/>
      <c r="P54" s="32"/>
      <c r="Q54" s="42"/>
      <c r="R54" s="42"/>
      <c r="S54" s="18"/>
      <c r="T54" s="18"/>
      <c r="U54" s="18"/>
    </row>
    <row r="55" spans="1:21" s="12" customFormat="1" ht="13.5" hidden="1" customHeight="1">
      <c r="A55" s="764"/>
      <c r="B55" s="770"/>
      <c r="C55" s="66" t="s">
        <v>7</v>
      </c>
      <c r="D55" s="31">
        <f>D53+D54</f>
        <v>348000</v>
      </c>
      <c r="E55" s="32">
        <f t="shared" ref="E55:P55" si="18">E53+E54</f>
        <v>348000</v>
      </c>
      <c r="F55" s="32">
        <f t="shared" si="18"/>
        <v>0</v>
      </c>
      <c r="G55" s="32">
        <f t="shared" si="18"/>
        <v>0</v>
      </c>
      <c r="H55" s="32">
        <f t="shared" si="18"/>
        <v>0</v>
      </c>
      <c r="I55" s="32">
        <f t="shared" si="18"/>
        <v>0</v>
      </c>
      <c r="J55" s="32">
        <f t="shared" si="18"/>
        <v>0</v>
      </c>
      <c r="K55" s="32">
        <f t="shared" si="18"/>
        <v>348000</v>
      </c>
      <c r="L55" s="32">
        <f t="shared" si="18"/>
        <v>0</v>
      </c>
      <c r="M55" s="32">
        <f t="shared" si="18"/>
        <v>0</v>
      </c>
      <c r="N55" s="32">
        <f t="shared" si="18"/>
        <v>0</v>
      </c>
      <c r="O55" s="32">
        <f t="shared" si="18"/>
        <v>0</v>
      </c>
      <c r="P55" s="32">
        <f t="shared" si="18"/>
        <v>0</v>
      </c>
      <c r="Q55" s="42"/>
      <c r="R55" s="42"/>
      <c r="S55" s="18"/>
      <c r="T55" s="18"/>
      <c r="U55" s="18"/>
    </row>
    <row r="56" spans="1:21" s="16" customFormat="1" ht="14.25" hidden="1">
      <c r="A56" s="771" t="s">
        <v>94</v>
      </c>
      <c r="B56" s="758" t="s">
        <v>95</v>
      </c>
      <c r="C56" s="65" t="s">
        <v>5</v>
      </c>
      <c r="D56" s="29">
        <f t="shared" ref="D56:P57" si="19">D59</f>
        <v>5816421</v>
      </c>
      <c r="E56" s="30">
        <f t="shared" si="19"/>
        <v>5022527</v>
      </c>
      <c r="F56" s="30">
        <f t="shared" si="19"/>
        <v>20200</v>
      </c>
      <c r="G56" s="30">
        <f t="shared" si="19"/>
        <v>20200</v>
      </c>
      <c r="H56" s="30">
        <f t="shared" si="19"/>
        <v>0</v>
      </c>
      <c r="I56" s="30">
        <f t="shared" si="19"/>
        <v>0</v>
      </c>
      <c r="J56" s="30">
        <f t="shared" si="19"/>
        <v>0</v>
      </c>
      <c r="K56" s="30">
        <f t="shared" si="19"/>
        <v>5002327</v>
      </c>
      <c r="L56" s="30">
        <f t="shared" si="19"/>
        <v>0</v>
      </c>
      <c r="M56" s="30">
        <f t="shared" si="19"/>
        <v>793894</v>
      </c>
      <c r="N56" s="30">
        <f t="shared" si="19"/>
        <v>793894</v>
      </c>
      <c r="O56" s="30">
        <f>O59</f>
        <v>541700</v>
      </c>
      <c r="P56" s="30">
        <f t="shared" si="19"/>
        <v>0</v>
      </c>
      <c r="Q56" s="54"/>
      <c r="R56" s="54"/>
      <c r="S56" s="22"/>
      <c r="T56" s="22"/>
      <c r="U56" s="22"/>
    </row>
    <row r="57" spans="1:21" s="16" customFormat="1" ht="14.25" hidden="1">
      <c r="A57" s="772"/>
      <c r="B57" s="759"/>
      <c r="C57" s="65" t="s">
        <v>6</v>
      </c>
      <c r="D57" s="29">
        <f t="shared" si="19"/>
        <v>0</v>
      </c>
      <c r="E57" s="30">
        <f t="shared" si="19"/>
        <v>0</v>
      </c>
      <c r="F57" s="30">
        <f t="shared" si="19"/>
        <v>0</v>
      </c>
      <c r="G57" s="30">
        <f t="shared" si="19"/>
        <v>0</v>
      </c>
      <c r="H57" s="30">
        <f t="shared" si="19"/>
        <v>0</v>
      </c>
      <c r="I57" s="30">
        <f t="shared" si="19"/>
        <v>0</v>
      </c>
      <c r="J57" s="30">
        <f t="shared" si="19"/>
        <v>0</v>
      </c>
      <c r="K57" s="30">
        <f t="shared" si="19"/>
        <v>0</v>
      </c>
      <c r="L57" s="30">
        <f t="shared" si="19"/>
        <v>0</v>
      </c>
      <c r="M57" s="30">
        <f t="shared" si="19"/>
        <v>0</v>
      </c>
      <c r="N57" s="30">
        <f t="shared" si="19"/>
        <v>0</v>
      </c>
      <c r="O57" s="30">
        <f t="shared" si="19"/>
        <v>0</v>
      </c>
      <c r="P57" s="30">
        <f t="shared" si="19"/>
        <v>0</v>
      </c>
      <c r="Q57" s="54"/>
      <c r="R57" s="54"/>
      <c r="S57" s="22"/>
      <c r="T57" s="22"/>
      <c r="U57" s="22"/>
    </row>
    <row r="58" spans="1:21" s="16" customFormat="1" ht="14.25" hidden="1">
      <c r="A58" s="773"/>
      <c r="B58" s="760"/>
      <c r="C58" s="65" t="s">
        <v>7</v>
      </c>
      <c r="D58" s="29">
        <f>D56+D57</f>
        <v>5816421</v>
      </c>
      <c r="E58" s="30">
        <f t="shared" ref="E58:P58" si="20">E56+E57</f>
        <v>5022527</v>
      </c>
      <c r="F58" s="30">
        <f t="shared" si="20"/>
        <v>20200</v>
      </c>
      <c r="G58" s="30">
        <f t="shared" si="20"/>
        <v>20200</v>
      </c>
      <c r="H58" s="30">
        <f t="shared" si="20"/>
        <v>0</v>
      </c>
      <c r="I58" s="30">
        <f t="shared" si="20"/>
        <v>0</v>
      </c>
      <c r="J58" s="30">
        <f t="shared" si="20"/>
        <v>0</v>
      </c>
      <c r="K58" s="30">
        <f t="shared" si="20"/>
        <v>5002327</v>
      </c>
      <c r="L58" s="30">
        <f t="shared" si="20"/>
        <v>0</v>
      </c>
      <c r="M58" s="30">
        <f t="shared" si="20"/>
        <v>793894</v>
      </c>
      <c r="N58" s="30">
        <f t="shared" si="20"/>
        <v>793894</v>
      </c>
      <c r="O58" s="30">
        <f t="shared" si="20"/>
        <v>541700</v>
      </c>
      <c r="P58" s="30">
        <f t="shared" si="20"/>
        <v>0</v>
      </c>
      <c r="Q58" s="54"/>
      <c r="R58" s="54"/>
      <c r="S58" s="22"/>
      <c r="T58" s="22"/>
      <c r="U58" s="22"/>
    </row>
    <row r="59" spans="1:21" s="15" customFormat="1" ht="13.5" hidden="1" customHeight="1">
      <c r="A59" s="762" t="s">
        <v>96</v>
      </c>
      <c r="B59" s="752" t="s">
        <v>97</v>
      </c>
      <c r="C59" s="66" t="s">
        <v>5</v>
      </c>
      <c r="D59" s="31">
        <f>E59+M59</f>
        <v>5816421</v>
      </c>
      <c r="E59" s="32">
        <f>F59+I59+J59+K59+L59</f>
        <v>5022527</v>
      </c>
      <c r="F59" s="32">
        <f>G59+H59</f>
        <v>20200</v>
      </c>
      <c r="G59" s="32">
        <v>20200</v>
      </c>
      <c r="H59" s="32">
        <v>0</v>
      </c>
      <c r="I59" s="32">
        <v>0</v>
      </c>
      <c r="J59" s="32">
        <v>0</v>
      </c>
      <c r="K59" s="32">
        <v>5002327</v>
      </c>
      <c r="L59" s="32">
        <v>0</v>
      </c>
      <c r="M59" s="32">
        <f>N59+P59</f>
        <v>793894</v>
      </c>
      <c r="N59" s="32">
        <v>793894</v>
      </c>
      <c r="O59" s="32">
        <v>541700</v>
      </c>
      <c r="P59" s="32">
        <v>0</v>
      </c>
      <c r="Q59" s="55"/>
      <c r="R59" s="55"/>
      <c r="S59" s="21"/>
      <c r="T59" s="21"/>
      <c r="U59" s="21"/>
    </row>
    <row r="60" spans="1:21" s="15" customFormat="1" ht="13.5" hidden="1" customHeight="1">
      <c r="A60" s="763"/>
      <c r="B60" s="753"/>
      <c r="C60" s="66" t="s">
        <v>6</v>
      </c>
      <c r="D60" s="31">
        <f>E60+M60</f>
        <v>0</v>
      </c>
      <c r="E60" s="32">
        <f>F60+I60+J60+K60+L60</f>
        <v>0</v>
      </c>
      <c r="F60" s="32">
        <f>G60+H60</f>
        <v>0</v>
      </c>
      <c r="G60" s="32"/>
      <c r="H60" s="32"/>
      <c r="I60" s="32"/>
      <c r="J60" s="32"/>
      <c r="K60" s="32"/>
      <c r="L60" s="32"/>
      <c r="M60" s="32">
        <f>N60+P60</f>
        <v>0</v>
      </c>
      <c r="N60" s="32"/>
      <c r="O60" s="32"/>
      <c r="P60" s="32"/>
      <c r="Q60" s="55"/>
      <c r="R60" s="55"/>
      <c r="S60" s="21"/>
      <c r="T60" s="21"/>
      <c r="U60" s="21"/>
    </row>
    <row r="61" spans="1:21" s="15" customFormat="1" ht="13.5" hidden="1" customHeight="1">
      <c r="A61" s="764"/>
      <c r="B61" s="754"/>
      <c r="C61" s="66" t="s">
        <v>7</v>
      </c>
      <c r="D61" s="31">
        <f>D59+D60</f>
        <v>5816421</v>
      </c>
      <c r="E61" s="32">
        <f t="shared" ref="E61:P61" si="21">E59+E60</f>
        <v>5022527</v>
      </c>
      <c r="F61" s="32">
        <f t="shared" si="21"/>
        <v>20200</v>
      </c>
      <c r="G61" s="32">
        <f t="shared" si="21"/>
        <v>20200</v>
      </c>
      <c r="H61" s="32">
        <f t="shared" si="21"/>
        <v>0</v>
      </c>
      <c r="I61" s="32">
        <f t="shared" si="21"/>
        <v>0</v>
      </c>
      <c r="J61" s="32">
        <f t="shared" si="21"/>
        <v>0</v>
      </c>
      <c r="K61" s="32">
        <f t="shared" si="21"/>
        <v>5002327</v>
      </c>
      <c r="L61" s="32">
        <f t="shared" si="21"/>
        <v>0</v>
      </c>
      <c r="M61" s="32">
        <f t="shared" si="21"/>
        <v>793894</v>
      </c>
      <c r="N61" s="32">
        <f t="shared" si="21"/>
        <v>793894</v>
      </c>
      <c r="O61" s="32">
        <f t="shared" si="21"/>
        <v>541700</v>
      </c>
      <c r="P61" s="32">
        <f t="shared" si="21"/>
        <v>0</v>
      </c>
      <c r="Q61" s="55"/>
      <c r="R61" s="55"/>
      <c r="S61" s="21"/>
      <c r="T61" s="21"/>
      <c r="U61" s="21"/>
    </row>
    <row r="62" spans="1:21" s="14" customFormat="1" ht="14.25">
      <c r="A62" s="771" t="s">
        <v>11</v>
      </c>
      <c r="B62" s="758" t="s">
        <v>12</v>
      </c>
      <c r="C62" s="65" t="s">
        <v>5</v>
      </c>
      <c r="D62" s="29">
        <f>D65+D68+D71+D77+D86+D80+D74+D83</f>
        <v>530360493</v>
      </c>
      <c r="E62" s="30">
        <f>E65+E68+E71+E77+E86+E80+E74+E83</f>
        <v>207951317</v>
      </c>
      <c r="F62" s="30">
        <f t="shared" ref="F62:P62" si="22">F65+F68+F71+F77+F86+F80+F74+F83</f>
        <v>59739834</v>
      </c>
      <c r="G62" s="30">
        <f t="shared" si="22"/>
        <v>15277386</v>
      </c>
      <c r="H62" s="30">
        <f t="shared" si="22"/>
        <v>44462448</v>
      </c>
      <c r="I62" s="30">
        <f t="shared" si="22"/>
        <v>146409128</v>
      </c>
      <c r="J62" s="30">
        <f t="shared" si="22"/>
        <v>79000</v>
      </c>
      <c r="K62" s="30">
        <f t="shared" si="22"/>
        <v>1723355</v>
      </c>
      <c r="L62" s="30">
        <f t="shared" si="22"/>
        <v>0</v>
      </c>
      <c r="M62" s="30">
        <f t="shared" si="22"/>
        <v>322409176</v>
      </c>
      <c r="N62" s="30">
        <f t="shared" si="22"/>
        <v>322359176</v>
      </c>
      <c r="O62" s="30">
        <f>O65+O68+O71+O77+O86+O80+O74+O83</f>
        <v>196147844</v>
      </c>
      <c r="P62" s="30">
        <f t="shared" si="22"/>
        <v>50000</v>
      </c>
      <c r="Q62" s="53"/>
      <c r="R62" s="53"/>
      <c r="S62" s="20"/>
      <c r="T62" s="20"/>
      <c r="U62" s="20"/>
    </row>
    <row r="63" spans="1:21" s="14" customFormat="1" ht="14.25">
      <c r="A63" s="772"/>
      <c r="B63" s="759"/>
      <c r="C63" s="65" t="s">
        <v>6</v>
      </c>
      <c r="D63" s="29">
        <f>D66+D69+D72+D78+D87+D81+D75+D84</f>
        <v>20168634</v>
      </c>
      <c r="E63" s="30">
        <f t="shared" ref="E63:P63" si="23">E66+E69+E72+E78+E87+E81+E75+E84</f>
        <v>9523148</v>
      </c>
      <c r="F63" s="30">
        <f t="shared" si="23"/>
        <v>7249927</v>
      </c>
      <c r="G63" s="30">
        <f t="shared" si="23"/>
        <v>0</v>
      </c>
      <c r="H63" s="30">
        <f t="shared" si="23"/>
        <v>7249927</v>
      </c>
      <c r="I63" s="30">
        <f t="shared" si="23"/>
        <v>2202207</v>
      </c>
      <c r="J63" s="30">
        <f t="shared" si="23"/>
        <v>0</v>
      </c>
      <c r="K63" s="30">
        <f t="shared" si="23"/>
        <v>71014</v>
      </c>
      <c r="L63" s="30">
        <f t="shared" si="23"/>
        <v>0</v>
      </c>
      <c r="M63" s="30">
        <f t="shared" si="23"/>
        <v>10645486</v>
      </c>
      <c r="N63" s="30">
        <f t="shared" si="23"/>
        <v>10645486</v>
      </c>
      <c r="O63" s="30">
        <f t="shared" si="23"/>
        <v>-4354437</v>
      </c>
      <c r="P63" s="30">
        <f t="shared" si="23"/>
        <v>0</v>
      </c>
      <c r="Q63" s="53"/>
      <c r="R63" s="53"/>
      <c r="S63" s="20"/>
      <c r="T63" s="20"/>
      <c r="U63" s="20"/>
    </row>
    <row r="64" spans="1:21" s="14" customFormat="1" ht="14.25">
      <c r="A64" s="773"/>
      <c r="B64" s="760"/>
      <c r="C64" s="65" t="s">
        <v>7</v>
      </c>
      <c r="D64" s="29">
        <f>D62+D63</f>
        <v>550529127</v>
      </c>
      <c r="E64" s="30">
        <f t="shared" ref="E64:P64" si="24">E62+E63</f>
        <v>217474465</v>
      </c>
      <c r="F64" s="30">
        <f t="shared" si="24"/>
        <v>66989761</v>
      </c>
      <c r="G64" s="30">
        <f t="shared" si="24"/>
        <v>15277386</v>
      </c>
      <c r="H64" s="30">
        <f t="shared" si="24"/>
        <v>51712375</v>
      </c>
      <c r="I64" s="30">
        <f t="shared" si="24"/>
        <v>148611335</v>
      </c>
      <c r="J64" s="30">
        <f t="shared" si="24"/>
        <v>79000</v>
      </c>
      <c r="K64" s="30">
        <f t="shared" si="24"/>
        <v>1794369</v>
      </c>
      <c r="L64" s="30">
        <f t="shared" si="24"/>
        <v>0</v>
      </c>
      <c r="M64" s="30">
        <f t="shared" si="24"/>
        <v>333054662</v>
      </c>
      <c r="N64" s="30">
        <f t="shared" si="24"/>
        <v>333004662</v>
      </c>
      <c r="O64" s="30">
        <f t="shared" si="24"/>
        <v>191793407</v>
      </c>
      <c r="P64" s="30">
        <f t="shared" si="24"/>
        <v>50000</v>
      </c>
      <c r="Q64" s="53"/>
      <c r="R64" s="53"/>
      <c r="S64" s="20"/>
      <c r="T64" s="20"/>
      <c r="U64" s="20"/>
    </row>
    <row r="65" spans="1:21" s="12" customFormat="1" ht="13.5" customHeight="1">
      <c r="A65" s="762" t="s">
        <v>98</v>
      </c>
      <c r="B65" s="752" t="s">
        <v>99</v>
      </c>
      <c r="C65" s="66" t="s">
        <v>5</v>
      </c>
      <c r="D65" s="31">
        <f t="shared" ref="D65:D87" si="25">E65+M65</f>
        <v>114560000</v>
      </c>
      <c r="E65" s="32">
        <f t="shared" ref="E65:E87" si="26">F65+I65+J65+K65+L65</f>
        <v>103490000</v>
      </c>
      <c r="F65" s="32">
        <f t="shared" ref="F65:F87" si="27">G65+H65</f>
        <v>6990000</v>
      </c>
      <c r="G65" s="32">
        <v>0</v>
      </c>
      <c r="H65" s="32">
        <v>6990000</v>
      </c>
      <c r="I65" s="32">
        <v>96500000</v>
      </c>
      <c r="J65" s="32">
        <v>0</v>
      </c>
      <c r="K65" s="32">
        <v>0</v>
      </c>
      <c r="L65" s="32">
        <v>0</v>
      </c>
      <c r="M65" s="32">
        <f>N65+P65</f>
        <v>11070000</v>
      </c>
      <c r="N65" s="32">
        <v>11070000</v>
      </c>
      <c r="O65" s="32">
        <v>0</v>
      </c>
      <c r="P65" s="32">
        <v>0</v>
      </c>
      <c r="Q65" s="42"/>
      <c r="R65" s="42"/>
      <c r="S65" s="18"/>
      <c r="T65" s="18"/>
      <c r="U65" s="18"/>
    </row>
    <row r="66" spans="1:21" s="12" customFormat="1" ht="13.5" customHeight="1">
      <c r="A66" s="763"/>
      <c r="B66" s="753"/>
      <c r="C66" s="66" t="s">
        <v>6</v>
      </c>
      <c r="D66" s="31">
        <f t="shared" si="25"/>
        <v>-3690000</v>
      </c>
      <c r="E66" s="32">
        <f t="shared" si="26"/>
        <v>0</v>
      </c>
      <c r="F66" s="32">
        <f t="shared" si="27"/>
        <v>0</v>
      </c>
      <c r="G66" s="32"/>
      <c r="H66" s="32"/>
      <c r="I66" s="32"/>
      <c r="J66" s="32"/>
      <c r="K66" s="32"/>
      <c r="L66" s="32"/>
      <c r="M66" s="32">
        <f>N66+P66</f>
        <v>-3690000</v>
      </c>
      <c r="N66" s="32">
        <v>-3690000</v>
      </c>
      <c r="O66" s="32"/>
      <c r="P66" s="32"/>
      <c r="Q66" s="42"/>
      <c r="R66" s="42"/>
      <c r="S66" s="18"/>
      <c r="T66" s="18"/>
      <c r="U66" s="18"/>
    </row>
    <row r="67" spans="1:21" s="12" customFormat="1" ht="13.15" customHeight="1">
      <c r="A67" s="764"/>
      <c r="B67" s="754"/>
      <c r="C67" s="66" t="s">
        <v>7</v>
      </c>
      <c r="D67" s="31">
        <f>D65+D66</f>
        <v>110870000</v>
      </c>
      <c r="E67" s="32">
        <f t="shared" ref="E67:P67" si="28">E65+E66</f>
        <v>103490000</v>
      </c>
      <c r="F67" s="32">
        <f t="shared" si="28"/>
        <v>6990000</v>
      </c>
      <c r="G67" s="32">
        <f t="shared" si="28"/>
        <v>0</v>
      </c>
      <c r="H67" s="32">
        <f t="shared" si="28"/>
        <v>6990000</v>
      </c>
      <c r="I67" s="32">
        <f t="shared" si="28"/>
        <v>96500000</v>
      </c>
      <c r="J67" s="32">
        <f t="shared" si="28"/>
        <v>0</v>
      </c>
      <c r="K67" s="32">
        <f t="shared" si="28"/>
        <v>0</v>
      </c>
      <c r="L67" s="32">
        <f t="shared" si="28"/>
        <v>0</v>
      </c>
      <c r="M67" s="32">
        <f t="shared" si="28"/>
        <v>7380000</v>
      </c>
      <c r="N67" s="32">
        <f t="shared" si="28"/>
        <v>7380000</v>
      </c>
      <c r="O67" s="32">
        <f t="shared" si="28"/>
        <v>0</v>
      </c>
      <c r="P67" s="32">
        <f t="shared" si="28"/>
        <v>0</v>
      </c>
      <c r="Q67" s="42"/>
      <c r="R67" s="42"/>
      <c r="S67" s="18"/>
      <c r="T67" s="18"/>
      <c r="U67" s="18"/>
    </row>
    <row r="68" spans="1:21" s="12" customFormat="1" ht="13.5" hidden="1" customHeight="1">
      <c r="A68" s="762" t="s">
        <v>100</v>
      </c>
      <c r="B68" s="752" t="s">
        <v>101</v>
      </c>
      <c r="C68" s="66" t="s">
        <v>5</v>
      </c>
      <c r="D68" s="31">
        <f t="shared" si="25"/>
        <v>1199983</v>
      </c>
      <c r="E68" s="32">
        <f t="shared" si="26"/>
        <v>20040</v>
      </c>
      <c r="F68" s="32">
        <f t="shared" si="27"/>
        <v>0</v>
      </c>
      <c r="G68" s="32">
        <v>0</v>
      </c>
      <c r="H68" s="32">
        <v>0</v>
      </c>
      <c r="I68" s="32">
        <v>0</v>
      </c>
      <c r="J68" s="32">
        <v>0</v>
      </c>
      <c r="K68" s="32">
        <f>999983-832952-146991</f>
        <v>20040</v>
      </c>
      <c r="L68" s="32">
        <v>0</v>
      </c>
      <c r="M68" s="32">
        <f t="shared" ref="M68:M87" si="29">N68+P68</f>
        <v>1179943</v>
      </c>
      <c r="N68" s="32">
        <v>1179943</v>
      </c>
      <c r="O68" s="32">
        <v>979943</v>
      </c>
      <c r="P68" s="32">
        <v>0</v>
      </c>
      <c r="Q68" s="42"/>
      <c r="R68" s="42"/>
      <c r="S68" s="18"/>
      <c r="T68" s="18"/>
      <c r="U68" s="18"/>
    </row>
    <row r="69" spans="1:21" s="12" customFormat="1" ht="13.5" hidden="1" customHeight="1">
      <c r="A69" s="763"/>
      <c r="B69" s="753"/>
      <c r="C69" s="66" t="s">
        <v>6</v>
      </c>
      <c r="D69" s="31">
        <f t="shared" si="25"/>
        <v>0</v>
      </c>
      <c r="E69" s="32">
        <f t="shared" si="26"/>
        <v>0</v>
      </c>
      <c r="F69" s="32">
        <f t="shared" si="27"/>
        <v>0</v>
      </c>
      <c r="G69" s="32"/>
      <c r="H69" s="32"/>
      <c r="I69" s="32"/>
      <c r="J69" s="32"/>
      <c r="K69" s="32"/>
      <c r="L69" s="32"/>
      <c r="M69" s="32">
        <f t="shared" si="29"/>
        <v>0</v>
      </c>
      <c r="N69" s="32"/>
      <c r="O69" s="32"/>
      <c r="P69" s="32"/>
      <c r="Q69" s="42"/>
      <c r="R69" s="42"/>
      <c r="S69" s="18"/>
      <c r="T69" s="18"/>
      <c r="U69" s="18"/>
    </row>
    <row r="70" spans="1:21" s="12" customFormat="1" ht="13.5" hidden="1" customHeight="1">
      <c r="A70" s="764"/>
      <c r="B70" s="754"/>
      <c r="C70" s="66" t="s">
        <v>7</v>
      </c>
      <c r="D70" s="31">
        <f>D68+D69</f>
        <v>1199983</v>
      </c>
      <c r="E70" s="32">
        <f t="shared" ref="E70:P70" si="30">E68+E69</f>
        <v>20040</v>
      </c>
      <c r="F70" s="32">
        <f t="shared" si="30"/>
        <v>0</v>
      </c>
      <c r="G70" s="32">
        <f t="shared" si="30"/>
        <v>0</v>
      </c>
      <c r="H70" s="32">
        <f t="shared" si="30"/>
        <v>0</v>
      </c>
      <c r="I70" s="32">
        <f t="shared" si="30"/>
        <v>0</v>
      </c>
      <c r="J70" s="32">
        <f t="shared" si="30"/>
        <v>0</v>
      </c>
      <c r="K70" s="32">
        <f t="shared" si="30"/>
        <v>20040</v>
      </c>
      <c r="L70" s="32">
        <f t="shared" si="30"/>
        <v>0</v>
      </c>
      <c r="M70" s="32">
        <f t="shared" si="30"/>
        <v>1179943</v>
      </c>
      <c r="N70" s="32">
        <f t="shared" si="30"/>
        <v>1179943</v>
      </c>
      <c r="O70" s="32">
        <f t="shared" si="30"/>
        <v>979943</v>
      </c>
      <c r="P70" s="32">
        <f t="shared" si="30"/>
        <v>0</v>
      </c>
      <c r="Q70" s="42"/>
      <c r="R70" s="42"/>
      <c r="S70" s="18"/>
      <c r="T70" s="18"/>
      <c r="U70" s="18"/>
    </row>
    <row r="71" spans="1:21" s="12" customFormat="1" ht="13.5" hidden="1" customHeight="1">
      <c r="A71" s="762" t="s">
        <v>40</v>
      </c>
      <c r="B71" s="752" t="s">
        <v>41</v>
      </c>
      <c r="C71" s="66" t="s">
        <v>5</v>
      </c>
      <c r="D71" s="31">
        <f t="shared" si="25"/>
        <v>35067666</v>
      </c>
      <c r="E71" s="32">
        <f t="shared" si="26"/>
        <v>35067666</v>
      </c>
      <c r="F71" s="32">
        <f t="shared" si="27"/>
        <v>1836</v>
      </c>
      <c r="G71" s="32">
        <v>0</v>
      </c>
      <c r="H71" s="32">
        <v>1836</v>
      </c>
      <c r="I71" s="32">
        <v>35065830</v>
      </c>
      <c r="J71" s="32">
        <v>0</v>
      </c>
      <c r="K71" s="32">
        <v>0</v>
      </c>
      <c r="L71" s="32">
        <v>0</v>
      </c>
      <c r="M71" s="32">
        <f t="shared" si="29"/>
        <v>0</v>
      </c>
      <c r="N71" s="32">
        <v>0</v>
      </c>
      <c r="O71" s="32">
        <v>0</v>
      </c>
      <c r="P71" s="32">
        <v>0</v>
      </c>
      <c r="Q71" s="42"/>
      <c r="R71" s="42"/>
      <c r="S71" s="18"/>
      <c r="T71" s="18"/>
      <c r="U71" s="18"/>
    </row>
    <row r="72" spans="1:21" s="12" customFormat="1" ht="13.5" hidden="1" customHeight="1">
      <c r="A72" s="763"/>
      <c r="B72" s="753"/>
      <c r="C72" s="66" t="s">
        <v>6</v>
      </c>
      <c r="D72" s="31">
        <f t="shared" si="25"/>
        <v>0</v>
      </c>
      <c r="E72" s="32">
        <f t="shared" si="26"/>
        <v>0</v>
      </c>
      <c r="F72" s="32">
        <f t="shared" si="27"/>
        <v>0</v>
      </c>
      <c r="G72" s="32"/>
      <c r="H72" s="32"/>
      <c r="I72" s="32"/>
      <c r="J72" s="32"/>
      <c r="K72" s="32"/>
      <c r="L72" s="32"/>
      <c r="M72" s="32">
        <f t="shared" si="29"/>
        <v>0</v>
      </c>
      <c r="N72" s="32"/>
      <c r="O72" s="32"/>
      <c r="P72" s="32"/>
      <c r="Q72" s="42"/>
      <c r="R72" s="42"/>
      <c r="S72" s="18"/>
      <c r="T72" s="18"/>
      <c r="U72" s="18"/>
    </row>
    <row r="73" spans="1:21" s="12" customFormat="1" ht="13.5" hidden="1" customHeight="1">
      <c r="A73" s="764"/>
      <c r="B73" s="754"/>
      <c r="C73" s="66" t="s">
        <v>7</v>
      </c>
      <c r="D73" s="31">
        <f>D71+D72</f>
        <v>35067666</v>
      </c>
      <c r="E73" s="32">
        <f t="shared" ref="E73:P73" si="31">E71+E72</f>
        <v>35067666</v>
      </c>
      <c r="F73" s="32">
        <f t="shared" si="31"/>
        <v>1836</v>
      </c>
      <c r="G73" s="32">
        <f t="shared" si="31"/>
        <v>0</v>
      </c>
      <c r="H73" s="32">
        <f t="shared" si="31"/>
        <v>1836</v>
      </c>
      <c r="I73" s="32">
        <f t="shared" si="31"/>
        <v>35065830</v>
      </c>
      <c r="J73" s="32">
        <f t="shared" si="31"/>
        <v>0</v>
      </c>
      <c r="K73" s="32">
        <f t="shared" si="31"/>
        <v>0</v>
      </c>
      <c r="L73" s="32">
        <f t="shared" si="31"/>
        <v>0</v>
      </c>
      <c r="M73" s="32">
        <f t="shared" si="31"/>
        <v>0</v>
      </c>
      <c r="N73" s="32">
        <f t="shared" si="31"/>
        <v>0</v>
      </c>
      <c r="O73" s="32">
        <f t="shared" si="31"/>
        <v>0</v>
      </c>
      <c r="P73" s="32">
        <f t="shared" si="31"/>
        <v>0</v>
      </c>
      <c r="Q73" s="42"/>
      <c r="R73" s="42"/>
      <c r="S73" s="18"/>
      <c r="T73" s="18"/>
      <c r="U73" s="18"/>
    </row>
    <row r="74" spans="1:21" s="12" customFormat="1" ht="13.5" customHeight="1">
      <c r="A74" s="765">
        <v>60004</v>
      </c>
      <c r="B74" s="752" t="s">
        <v>189</v>
      </c>
      <c r="C74" s="66" t="s">
        <v>5</v>
      </c>
      <c r="D74" s="31">
        <f t="shared" si="25"/>
        <v>14793298</v>
      </c>
      <c r="E74" s="32">
        <f t="shared" si="26"/>
        <v>14793298</v>
      </c>
      <c r="F74" s="32">
        <f t="shared" si="27"/>
        <v>0</v>
      </c>
      <c r="G74" s="32">
        <v>0</v>
      </c>
      <c r="H74" s="32">
        <v>0</v>
      </c>
      <c r="I74" s="32">
        <v>14793298</v>
      </c>
      <c r="J74" s="32">
        <v>0</v>
      </c>
      <c r="K74" s="32">
        <v>0</v>
      </c>
      <c r="L74" s="32">
        <v>0</v>
      </c>
      <c r="M74" s="32">
        <f t="shared" si="29"/>
        <v>0</v>
      </c>
      <c r="N74" s="32">
        <v>0</v>
      </c>
      <c r="O74" s="32">
        <v>0</v>
      </c>
      <c r="P74" s="32">
        <v>0</v>
      </c>
      <c r="Q74" s="42"/>
      <c r="R74" s="42"/>
      <c r="S74" s="18"/>
      <c r="T74" s="18"/>
      <c r="U74" s="18"/>
    </row>
    <row r="75" spans="1:21" s="12" customFormat="1" ht="13.5" customHeight="1">
      <c r="A75" s="766"/>
      <c r="B75" s="753"/>
      <c r="C75" s="66" t="s">
        <v>6</v>
      </c>
      <c r="D75" s="31">
        <f t="shared" si="25"/>
        <v>2202207</v>
      </c>
      <c r="E75" s="32">
        <f t="shared" si="26"/>
        <v>2202207</v>
      </c>
      <c r="F75" s="32">
        <f t="shared" si="27"/>
        <v>0</v>
      </c>
      <c r="G75" s="32"/>
      <c r="H75" s="32"/>
      <c r="I75" s="32">
        <v>2202207</v>
      </c>
      <c r="J75" s="32"/>
      <c r="K75" s="32"/>
      <c r="L75" s="32"/>
      <c r="M75" s="32">
        <f t="shared" si="29"/>
        <v>0</v>
      </c>
      <c r="N75" s="32"/>
      <c r="O75" s="32"/>
      <c r="P75" s="32"/>
      <c r="Q75" s="42"/>
      <c r="R75" s="42"/>
      <c r="S75" s="18"/>
      <c r="T75" s="18"/>
      <c r="U75" s="18"/>
    </row>
    <row r="76" spans="1:21" s="12" customFormat="1" ht="13.5" customHeight="1">
      <c r="A76" s="767"/>
      <c r="B76" s="754"/>
      <c r="C76" s="66" t="s">
        <v>7</v>
      </c>
      <c r="D76" s="31">
        <f>D74+D75</f>
        <v>16995505</v>
      </c>
      <c r="E76" s="32">
        <f t="shared" ref="E76:P76" si="32">E74+E75</f>
        <v>16995505</v>
      </c>
      <c r="F76" s="32">
        <f t="shared" si="32"/>
        <v>0</v>
      </c>
      <c r="G76" s="32">
        <f t="shared" si="32"/>
        <v>0</v>
      </c>
      <c r="H76" s="32">
        <f t="shared" si="32"/>
        <v>0</v>
      </c>
      <c r="I76" s="32">
        <f t="shared" si="32"/>
        <v>16995505</v>
      </c>
      <c r="J76" s="32">
        <f t="shared" si="32"/>
        <v>0</v>
      </c>
      <c r="K76" s="32">
        <f t="shared" si="32"/>
        <v>0</v>
      </c>
      <c r="L76" s="32">
        <f t="shared" si="32"/>
        <v>0</v>
      </c>
      <c r="M76" s="32">
        <f t="shared" si="32"/>
        <v>0</v>
      </c>
      <c r="N76" s="32">
        <f t="shared" si="32"/>
        <v>0</v>
      </c>
      <c r="O76" s="32">
        <f t="shared" si="32"/>
        <v>0</v>
      </c>
      <c r="P76" s="32">
        <f t="shared" si="32"/>
        <v>0</v>
      </c>
      <c r="Q76" s="42"/>
      <c r="R76" s="42"/>
      <c r="S76" s="18"/>
      <c r="T76" s="18"/>
      <c r="U76" s="18"/>
    </row>
    <row r="77" spans="1:21" s="12" customFormat="1" ht="13.5" customHeight="1">
      <c r="A77" s="762" t="s">
        <v>13</v>
      </c>
      <c r="B77" s="752" t="s">
        <v>102</v>
      </c>
      <c r="C77" s="66" t="s">
        <v>5</v>
      </c>
      <c r="D77" s="31">
        <f t="shared" si="25"/>
        <v>358639841</v>
      </c>
      <c r="E77" s="32">
        <f t="shared" si="26"/>
        <v>53661824</v>
      </c>
      <c r="F77" s="32">
        <f t="shared" si="27"/>
        <v>52422998</v>
      </c>
      <c r="G77" s="32">
        <v>15109189</v>
      </c>
      <c r="H77" s="32">
        <v>37313809</v>
      </c>
      <c r="I77" s="32">
        <v>0</v>
      </c>
      <c r="J77" s="32">
        <v>79000</v>
      </c>
      <c r="K77" s="32">
        <v>1159826</v>
      </c>
      <c r="L77" s="32">
        <v>0</v>
      </c>
      <c r="M77" s="32">
        <f t="shared" si="29"/>
        <v>304978017</v>
      </c>
      <c r="N77" s="32">
        <v>304978017</v>
      </c>
      <c r="O77" s="32">
        <v>195167901</v>
      </c>
      <c r="P77" s="32">
        <v>0</v>
      </c>
      <c r="Q77" s="42"/>
      <c r="R77" s="42"/>
      <c r="S77" s="18"/>
      <c r="T77" s="18"/>
      <c r="U77" s="18"/>
    </row>
    <row r="78" spans="1:21" s="12" customFormat="1" ht="13.5" customHeight="1">
      <c r="A78" s="763"/>
      <c r="B78" s="753"/>
      <c r="C78" s="66" t="s">
        <v>6</v>
      </c>
      <c r="D78" s="31">
        <f t="shared" si="25"/>
        <v>21656427</v>
      </c>
      <c r="E78" s="32">
        <f t="shared" si="26"/>
        <v>7320941</v>
      </c>
      <c r="F78" s="32">
        <f t="shared" si="27"/>
        <v>7249927</v>
      </c>
      <c r="G78" s="32"/>
      <c r="H78" s="32">
        <f>130000+38000+2160000+4905815+14768+1344</f>
        <v>7249927</v>
      </c>
      <c r="I78" s="32"/>
      <c r="J78" s="32"/>
      <c r="K78" s="32">
        <f>8338+977-550-214+1225+110+171+14+52442+7242+1071+188</f>
        <v>71014</v>
      </c>
      <c r="L78" s="32"/>
      <c r="M78" s="32">
        <f t="shared" si="29"/>
        <v>14335486</v>
      </c>
      <c r="N78" s="32">
        <f>19089923-4402959+48522-400000</f>
        <v>14335486</v>
      </c>
      <c r="O78" s="32">
        <f>-4402959+48522</f>
        <v>-4354437</v>
      </c>
      <c r="P78" s="32"/>
      <c r="Q78" s="42"/>
      <c r="R78" s="42"/>
      <c r="S78" s="18"/>
      <c r="T78" s="18"/>
      <c r="U78" s="18"/>
    </row>
    <row r="79" spans="1:21" s="12" customFormat="1" ht="13.5" customHeight="1">
      <c r="A79" s="764"/>
      <c r="B79" s="754"/>
      <c r="C79" s="66" t="s">
        <v>7</v>
      </c>
      <c r="D79" s="31">
        <f>D77+D78</f>
        <v>380296268</v>
      </c>
      <c r="E79" s="32">
        <f t="shared" ref="E79:P79" si="33">E77+E78</f>
        <v>60982765</v>
      </c>
      <c r="F79" s="32">
        <f t="shared" si="33"/>
        <v>59672925</v>
      </c>
      <c r="G79" s="32">
        <f t="shared" si="33"/>
        <v>15109189</v>
      </c>
      <c r="H79" s="32">
        <f t="shared" si="33"/>
        <v>44563736</v>
      </c>
      <c r="I79" s="32">
        <f t="shared" si="33"/>
        <v>0</v>
      </c>
      <c r="J79" s="32">
        <f t="shared" si="33"/>
        <v>79000</v>
      </c>
      <c r="K79" s="32">
        <f t="shared" si="33"/>
        <v>1230840</v>
      </c>
      <c r="L79" s="32">
        <f t="shared" si="33"/>
        <v>0</v>
      </c>
      <c r="M79" s="32">
        <f t="shared" si="33"/>
        <v>319313503</v>
      </c>
      <c r="N79" s="32">
        <f t="shared" si="33"/>
        <v>319313503</v>
      </c>
      <c r="O79" s="32">
        <f t="shared" si="33"/>
        <v>190813464</v>
      </c>
      <c r="P79" s="32">
        <f t="shared" si="33"/>
        <v>0</v>
      </c>
      <c r="Q79" s="42"/>
      <c r="R79" s="42"/>
      <c r="S79" s="18"/>
      <c r="T79" s="18"/>
      <c r="U79" s="18"/>
    </row>
    <row r="80" spans="1:21" s="12" customFormat="1" ht="13.5" hidden="1" customHeight="1">
      <c r="A80" s="762" t="s">
        <v>65</v>
      </c>
      <c r="B80" s="752" t="s">
        <v>103</v>
      </c>
      <c r="C80" s="66" t="s">
        <v>5</v>
      </c>
      <c r="D80" s="31">
        <f t="shared" si="25"/>
        <v>4800000</v>
      </c>
      <c r="E80" s="32">
        <f t="shared" si="26"/>
        <v>0</v>
      </c>
      <c r="F80" s="32">
        <f t="shared" si="27"/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f>N80+P80</f>
        <v>4800000</v>
      </c>
      <c r="N80" s="32">
        <v>4800000</v>
      </c>
      <c r="O80" s="32">
        <v>0</v>
      </c>
      <c r="P80" s="32">
        <v>0</v>
      </c>
      <c r="Q80" s="42"/>
      <c r="R80" s="42"/>
      <c r="S80" s="18"/>
      <c r="T80" s="18"/>
      <c r="U80" s="18"/>
    </row>
    <row r="81" spans="1:21" s="12" customFormat="1" ht="13.5" hidden="1" customHeight="1">
      <c r="A81" s="763"/>
      <c r="B81" s="753"/>
      <c r="C81" s="66" t="s">
        <v>6</v>
      </c>
      <c r="D81" s="31">
        <f t="shared" si="25"/>
        <v>0</v>
      </c>
      <c r="E81" s="32">
        <f t="shared" si="26"/>
        <v>0</v>
      </c>
      <c r="F81" s="32">
        <f t="shared" si="27"/>
        <v>0</v>
      </c>
      <c r="G81" s="32"/>
      <c r="H81" s="32"/>
      <c r="I81" s="32"/>
      <c r="J81" s="32"/>
      <c r="K81" s="32"/>
      <c r="L81" s="32"/>
      <c r="M81" s="32">
        <f>N81+P81</f>
        <v>0</v>
      </c>
      <c r="N81" s="32"/>
      <c r="O81" s="32"/>
      <c r="P81" s="32"/>
      <c r="Q81" s="42"/>
      <c r="R81" s="42"/>
      <c r="S81" s="18"/>
      <c r="T81" s="18"/>
      <c r="U81" s="18"/>
    </row>
    <row r="82" spans="1:21" s="12" customFormat="1" ht="13.5" hidden="1" customHeight="1">
      <c r="A82" s="764"/>
      <c r="B82" s="754"/>
      <c r="C82" s="66" t="s">
        <v>7</v>
      </c>
      <c r="D82" s="31">
        <f>D80+D81</f>
        <v>4800000</v>
      </c>
      <c r="E82" s="32">
        <f t="shared" ref="E82:P82" si="34">E80+E81</f>
        <v>0</v>
      </c>
      <c r="F82" s="32">
        <f t="shared" si="34"/>
        <v>0</v>
      </c>
      <c r="G82" s="32">
        <f t="shared" si="34"/>
        <v>0</v>
      </c>
      <c r="H82" s="32">
        <f t="shared" si="34"/>
        <v>0</v>
      </c>
      <c r="I82" s="32">
        <f t="shared" si="34"/>
        <v>0</v>
      </c>
      <c r="J82" s="32">
        <f t="shared" si="34"/>
        <v>0</v>
      </c>
      <c r="K82" s="32">
        <f t="shared" si="34"/>
        <v>0</v>
      </c>
      <c r="L82" s="32">
        <f t="shared" si="34"/>
        <v>0</v>
      </c>
      <c r="M82" s="32">
        <f t="shared" si="34"/>
        <v>4800000</v>
      </c>
      <c r="N82" s="32">
        <f t="shared" si="34"/>
        <v>4800000</v>
      </c>
      <c r="O82" s="32">
        <f t="shared" si="34"/>
        <v>0</v>
      </c>
      <c r="P82" s="32">
        <f t="shared" si="34"/>
        <v>0</v>
      </c>
      <c r="Q82" s="42"/>
      <c r="R82" s="42"/>
      <c r="S82" s="18"/>
      <c r="T82" s="18"/>
      <c r="U82" s="18"/>
    </row>
    <row r="83" spans="1:21" s="43" customFormat="1" ht="13.5" hidden="1" customHeight="1">
      <c r="A83" s="765">
        <v>60017</v>
      </c>
      <c r="B83" s="768" t="s">
        <v>197</v>
      </c>
      <c r="C83" s="66" t="s">
        <v>5</v>
      </c>
      <c r="D83" s="67">
        <f>E83+M83</f>
        <v>331216</v>
      </c>
      <c r="E83" s="32">
        <f>F83+I83+J83+K83+L83</f>
        <v>0</v>
      </c>
      <c r="F83" s="32">
        <f>G83+H83</f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f>N83+P83</f>
        <v>331216</v>
      </c>
      <c r="N83" s="32">
        <v>331216</v>
      </c>
      <c r="O83" s="32">
        <v>0</v>
      </c>
      <c r="P83" s="32">
        <v>0</v>
      </c>
      <c r="Q83" s="42"/>
      <c r="R83" s="42"/>
      <c r="S83" s="42"/>
      <c r="T83" s="42"/>
      <c r="U83" s="42"/>
    </row>
    <row r="84" spans="1:21" s="43" customFormat="1" ht="13.5" hidden="1" customHeight="1">
      <c r="A84" s="766"/>
      <c r="B84" s="769"/>
      <c r="C84" s="66" t="s">
        <v>6</v>
      </c>
      <c r="D84" s="67">
        <f>E84+M84</f>
        <v>0</v>
      </c>
      <c r="E84" s="32">
        <f>F84+I84+J84+K84+L84</f>
        <v>0</v>
      </c>
      <c r="F84" s="32">
        <f>G84+H84</f>
        <v>0</v>
      </c>
      <c r="G84" s="32"/>
      <c r="H84" s="32"/>
      <c r="I84" s="32"/>
      <c r="J84" s="32"/>
      <c r="K84" s="32"/>
      <c r="L84" s="32"/>
      <c r="M84" s="32">
        <f>N84+P84</f>
        <v>0</v>
      </c>
      <c r="N84" s="32"/>
      <c r="O84" s="32"/>
      <c r="P84" s="32"/>
      <c r="Q84" s="42"/>
      <c r="R84" s="42"/>
      <c r="S84" s="42"/>
      <c r="T84" s="42"/>
      <c r="U84" s="42"/>
    </row>
    <row r="85" spans="1:21" s="43" customFormat="1" ht="13.5" hidden="1" customHeight="1">
      <c r="A85" s="767"/>
      <c r="B85" s="770"/>
      <c r="C85" s="66" t="s">
        <v>7</v>
      </c>
      <c r="D85" s="67">
        <f>D83+D84</f>
        <v>331216</v>
      </c>
      <c r="E85" s="32">
        <f t="shared" ref="E85:P85" si="35">E83+E84</f>
        <v>0</v>
      </c>
      <c r="F85" s="32">
        <f t="shared" si="35"/>
        <v>0</v>
      </c>
      <c r="G85" s="32">
        <f t="shared" si="35"/>
        <v>0</v>
      </c>
      <c r="H85" s="32">
        <f t="shared" si="35"/>
        <v>0</v>
      </c>
      <c r="I85" s="32">
        <f t="shared" si="35"/>
        <v>0</v>
      </c>
      <c r="J85" s="32">
        <f t="shared" si="35"/>
        <v>0</v>
      </c>
      <c r="K85" s="32">
        <f t="shared" si="35"/>
        <v>0</v>
      </c>
      <c r="L85" s="32">
        <f t="shared" si="35"/>
        <v>0</v>
      </c>
      <c r="M85" s="32">
        <f t="shared" si="35"/>
        <v>331216</v>
      </c>
      <c r="N85" s="32">
        <f t="shared" si="35"/>
        <v>331216</v>
      </c>
      <c r="O85" s="32">
        <f t="shared" si="35"/>
        <v>0</v>
      </c>
      <c r="P85" s="32">
        <f t="shared" si="35"/>
        <v>0</v>
      </c>
      <c r="Q85" s="42"/>
      <c r="R85" s="42"/>
      <c r="S85" s="42"/>
      <c r="T85" s="42"/>
      <c r="U85" s="42"/>
    </row>
    <row r="86" spans="1:21" s="12" customFormat="1" ht="13.5" hidden="1" customHeight="1">
      <c r="A86" s="762" t="s">
        <v>42</v>
      </c>
      <c r="B86" s="752" t="s">
        <v>43</v>
      </c>
      <c r="C86" s="66" t="s">
        <v>5</v>
      </c>
      <c r="D86" s="31">
        <f t="shared" si="25"/>
        <v>968489</v>
      </c>
      <c r="E86" s="32">
        <f t="shared" si="26"/>
        <v>918489</v>
      </c>
      <c r="F86" s="32">
        <f t="shared" si="27"/>
        <v>325000</v>
      </c>
      <c r="G86" s="32">
        <v>168197</v>
      </c>
      <c r="H86" s="32">
        <v>156803</v>
      </c>
      <c r="I86" s="32">
        <v>50000</v>
      </c>
      <c r="J86" s="32">
        <v>0</v>
      </c>
      <c r="K86" s="32">
        <v>543489</v>
      </c>
      <c r="L86" s="32">
        <v>0</v>
      </c>
      <c r="M86" s="32">
        <f t="shared" si="29"/>
        <v>50000</v>
      </c>
      <c r="N86" s="32">
        <v>0</v>
      </c>
      <c r="O86" s="32">
        <v>0</v>
      </c>
      <c r="P86" s="32">
        <v>50000</v>
      </c>
      <c r="Q86" s="42"/>
      <c r="R86" s="42"/>
      <c r="S86" s="18"/>
      <c r="T86" s="18"/>
      <c r="U86" s="18"/>
    </row>
    <row r="87" spans="1:21" s="12" customFormat="1" ht="13.5" hidden="1" customHeight="1">
      <c r="A87" s="763"/>
      <c r="B87" s="753"/>
      <c r="C87" s="66" t="s">
        <v>6</v>
      </c>
      <c r="D87" s="31">
        <f t="shared" si="25"/>
        <v>0</v>
      </c>
      <c r="E87" s="32">
        <f t="shared" si="26"/>
        <v>0</v>
      </c>
      <c r="F87" s="32">
        <f t="shared" si="27"/>
        <v>0</v>
      </c>
      <c r="G87" s="32"/>
      <c r="H87" s="32"/>
      <c r="I87" s="32"/>
      <c r="J87" s="32"/>
      <c r="K87" s="32"/>
      <c r="L87" s="32"/>
      <c r="M87" s="32">
        <f t="shared" si="29"/>
        <v>0</v>
      </c>
      <c r="N87" s="32"/>
      <c r="O87" s="32"/>
      <c r="P87" s="32"/>
      <c r="Q87" s="42"/>
      <c r="R87" s="42"/>
      <c r="S87" s="18"/>
      <c r="T87" s="18"/>
      <c r="U87" s="18"/>
    </row>
    <row r="88" spans="1:21" s="12" customFormat="1" ht="13.5" hidden="1" customHeight="1">
      <c r="A88" s="764"/>
      <c r="B88" s="754"/>
      <c r="C88" s="66" t="s">
        <v>7</v>
      </c>
      <c r="D88" s="31">
        <f>D86+D87</f>
        <v>968489</v>
      </c>
      <c r="E88" s="32">
        <f t="shared" ref="E88:P88" si="36">E86+E87</f>
        <v>918489</v>
      </c>
      <c r="F88" s="32">
        <f t="shared" si="36"/>
        <v>325000</v>
      </c>
      <c r="G88" s="32">
        <f t="shared" si="36"/>
        <v>168197</v>
      </c>
      <c r="H88" s="32">
        <f t="shared" si="36"/>
        <v>156803</v>
      </c>
      <c r="I88" s="32">
        <f t="shared" si="36"/>
        <v>50000</v>
      </c>
      <c r="J88" s="32">
        <f t="shared" si="36"/>
        <v>0</v>
      </c>
      <c r="K88" s="32">
        <f t="shared" si="36"/>
        <v>543489</v>
      </c>
      <c r="L88" s="32">
        <f t="shared" si="36"/>
        <v>0</v>
      </c>
      <c r="M88" s="32">
        <f t="shared" si="36"/>
        <v>50000</v>
      </c>
      <c r="N88" s="32">
        <f t="shared" si="36"/>
        <v>0</v>
      </c>
      <c r="O88" s="32">
        <f t="shared" si="36"/>
        <v>0</v>
      </c>
      <c r="P88" s="32">
        <f t="shared" si="36"/>
        <v>50000</v>
      </c>
      <c r="Q88" s="42"/>
      <c r="R88" s="42"/>
      <c r="S88" s="18"/>
      <c r="T88" s="18"/>
      <c r="U88" s="18"/>
    </row>
    <row r="89" spans="1:21" s="14" customFormat="1" ht="14.25" hidden="1">
      <c r="A89" s="771" t="s">
        <v>59</v>
      </c>
      <c r="B89" s="758" t="s">
        <v>60</v>
      </c>
      <c r="C89" s="65" t="s">
        <v>5</v>
      </c>
      <c r="D89" s="29">
        <f t="shared" ref="D89:P90" si="37">D92+D95</f>
        <v>1497636</v>
      </c>
      <c r="E89" s="30">
        <f t="shared" si="37"/>
        <v>1497636</v>
      </c>
      <c r="F89" s="30">
        <f t="shared" si="37"/>
        <v>692819</v>
      </c>
      <c r="G89" s="30">
        <f t="shared" si="37"/>
        <v>192000</v>
      </c>
      <c r="H89" s="30">
        <f t="shared" si="37"/>
        <v>500819</v>
      </c>
      <c r="I89" s="30">
        <f t="shared" si="37"/>
        <v>150000</v>
      </c>
      <c r="J89" s="30">
        <f t="shared" si="37"/>
        <v>0</v>
      </c>
      <c r="K89" s="30">
        <f t="shared" si="37"/>
        <v>654817</v>
      </c>
      <c r="L89" s="30">
        <f t="shared" si="37"/>
        <v>0</v>
      </c>
      <c r="M89" s="30">
        <f t="shared" si="37"/>
        <v>0</v>
      </c>
      <c r="N89" s="30">
        <f t="shared" si="37"/>
        <v>0</v>
      </c>
      <c r="O89" s="30">
        <f t="shared" si="37"/>
        <v>0</v>
      </c>
      <c r="P89" s="30">
        <f t="shared" si="37"/>
        <v>0</v>
      </c>
      <c r="Q89" s="53"/>
      <c r="R89" s="53"/>
      <c r="S89" s="20"/>
      <c r="T89" s="20"/>
      <c r="U89" s="20"/>
    </row>
    <row r="90" spans="1:21" s="14" customFormat="1" ht="14.25" hidden="1">
      <c r="A90" s="772"/>
      <c r="B90" s="759"/>
      <c r="C90" s="65" t="s">
        <v>6</v>
      </c>
      <c r="D90" s="29">
        <f t="shared" si="37"/>
        <v>0</v>
      </c>
      <c r="E90" s="30">
        <f t="shared" si="37"/>
        <v>0</v>
      </c>
      <c r="F90" s="30">
        <f t="shared" si="37"/>
        <v>0</v>
      </c>
      <c r="G90" s="30">
        <f t="shared" si="37"/>
        <v>0</v>
      </c>
      <c r="H90" s="30">
        <f t="shared" si="37"/>
        <v>0</v>
      </c>
      <c r="I90" s="30">
        <f t="shared" si="37"/>
        <v>0</v>
      </c>
      <c r="J90" s="30">
        <f t="shared" si="37"/>
        <v>0</v>
      </c>
      <c r="K90" s="30">
        <f t="shared" si="37"/>
        <v>0</v>
      </c>
      <c r="L90" s="30">
        <f t="shared" si="37"/>
        <v>0</v>
      </c>
      <c r="M90" s="30">
        <f t="shared" si="37"/>
        <v>0</v>
      </c>
      <c r="N90" s="30">
        <f t="shared" si="37"/>
        <v>0</v>
      </c>
      <c r="O90" s="30">
        <f t="shared" si="37"/>
        <v>0</v>
      </c>
      <c r="P90" s="30">
        <f t="shared" si="37"/>
        <v>0</v>
      </c>
      <c r="Q90" s="53"/>
      <c r="R90" s="53"/>
      <c r="S90" s="20"/>
      <c r="T90" s="20"/>
      <c r="U90" s="20"/>
    </row>
    <row r="91" spans="1:21" s="14" customFormat="1" ht="14.25" hidden="1">
      <c r="A91" s="773"/>
      <c r="B91" s="760"/>
      <c r="C91" s="65" t="s">
        <v>7</v>
      </c>
      <c r="D91" s="29">
        <f>D89+D90</f>
        <v>1497636</v>
      </c>
      <c r="E91" s="30">
        <f t="shared" ref="E91:P91" si="38">E89+E90</f>
        <v>1497636</v>
      </c>
      <c r="F91" s="30">
        <f t="shared" si="38"/>
        <v>692819</v>
      </c>
      <c r="G91" s="30">
        <f t="shared" si="38"/>
        <v>192000</v>
      </c>
      <c r="H91" s="30">
        <f t="shared" si="38"/>
        <v>500819</v>
      </c>
      <c r="I91" s="30">
        <f t="shared" si="38"/>
        <v>150000</v>
      </c>
      <c r="J91" s="30">
        <f t="shared" si="38"/>
        <v>0</v>
      </c>
      <c r="K91" s="30">
        <f t="shared" si="38"/>
        <v>654817</v>
      </c>
      <c r="L91" s="30">
        <f t="shared" si="38"/>
        <v>0</v>
      </c>
      <c r="M91" s="30">
        <f t="shared" si="38"/>
        <v>0</v>
      </c>
      <c r="N91" s="30">
        <f t="shared" si="38"/>
        <v>0</v>
      </c>
      <c r="O91" s="30">
        <f t="shared" si="38"/>
        <v>0</v>
      </c>
      <c r="P91" s="30">
        <f t="shared" si="38"/>
        <v>0</v>
      </c>
      <c r="Q91" s="53"/>
      <c r="R91" s="53"/>
      <c r="S91" s="20"/>
      <c r="T91" s="20"/>
      <c r="U91" s="20"/>
    </row>
    <row r="92" spans="1:21" s="12" customFormat="1" ht="13.5" hidden="1" customHeight="1">
      <c r="A92" s="762" t="s">
        <v>104</v>
      </c>
      <c r="B92" s="752" t="s">
        <v>105</v>
      </c>
      <c r="C92" s="66" t="s">
        <v>5</v>
      </c>
      <c r="D92" s="31">
        <f>E92+M92</f>
        <v>653819</v>
      </c>
      <c r="E92" s="32">
        <f>F92+I92+J92+K92+L92</f>
        <v>653819</v>
      </c>
      <c r="F92" s="32">
        <f>G92+H92</f>
        <v>503819</v>
      </c>
      <c r="G92" s="32">
        <v>3000</v>
      </c>
      <c r="H92" s="32">
        <f>3000+1000+58250+414903+23666</f>
        <v>500819</v>
      </c>
      <c r="I92" s="32">
        <v>150000</v>
      </c>
      <c r="J92" s="32">
        <v>0</v>
      </c>
      <c r="K92" s="32">
        <v>0</v>
      </c>
      <c r="L92" s="32">
        <v>0</v>
      </c>
      <c r="M92" s="32">
        <f>N92+P92</f>
        <v>0</v>
      </c>
      <c r="N92" s="32">
        <v>0</v>
      </c>
      <c r="O92" s="32">
        <v>0</v>
      </c>
      <c r="P92" s="32">
        <v>0</v>
      </c>
      <c r="Q92" s="42"/>
      <c r="R92" s="42"/>
      <c r="S92" s="18"/>
      <c r="T92" s="18"/>
      <c r="U92" s="18"/>
    </row>
    <row r="93" spans="1:21" s="12" customFormat="1" ht="13.5" hidden="1" customHeight="1">
      <c r="A93" s="763"/>
      <c r="B93" s="753"/>
      <c r="C93" s="66" t="s">
        <v>6</v>
      </c>
      <c r="D93" s="31">
        <f>E93+M93</f>
        <v>0</v>
      </c>
      <c r="E93" s="32">
        <f>F93+I93+J93+K93+L93</f>
        <v>0</v>
      </c>
      <c r="F93" s="32">
        <f>G93+H93</f>
        <v>0</v>
      </c>
      <c r="G93" s="32"/>
      <c r="H93" s="32"/>
      <c r="I93" s="32"/>
      <c r="J93" s="32"/>
      <c r="K93" s="32"/>
      <c r="L93" s="32"/>
      <c r="M93" s="32">
        <f>N93+P93</f>
        <v>0</v>
      </c>
      <c r="N93" s="32"/>
      <c r="O93" s="32"/>
      <c r="P93" s="32"/>
      <c r="Q93" s="42"/>
      <c r="R93" s="42"/>
      <c r="S93" s="18"/>
      <c r="T93" s="18"/>
      <c r="U93" s="18"/>
    </row>
    <row r="94" spans="1:21" s="12" customFormat="1" ht="13.5" hidden="1" customHeight="1">
      <c r="A94" s="764"/>
      <c r="B94" s="754"/>
      <c r="C94" s="66" t="s">
        <v>7</v>
      </c>
      <c r="D94" s="31">
        <f>D92+D93</f>
        <v>653819</v>
      </c>
      <c r="E94" s="32">
        <f t="shared" ref="E94:P94" si="39">E92+E93</f>
        <v>653819</v>
      </c>
      <c r="F94" s="32">
        <f t="shared" si="39"/>
        <v>503819</v>
      </c>
      <c r="G94" s="32">
        <f t="shared" si="39"/>
        <v>3000</v>
      </c>
      <c r="H94" s="32">
        <f t="shared" si="39"/>
        <v>500819</v>
      </c>
      <c r="I94" s="32">
        <f t="shared" si="39"/>
        <v>150000</v>
      </c>
      <c r="J94" s="32">
        <f t="shared" si="39"/>
        <v>0</v>
      </c>
      <c r="K94" s="32">
        <f t="shared" si="39"/>
        <v>0</v>
      </c>
      <c r="L94" s="32">
        <f t="shared" si="39"/>
        <v>0</v>
      </c>
      <c r="M94" s="32">
        <f t="shared" si="39"/>
        <v>0</v>
      </c>
      <c r="N94" s="32">
        <f t="shared" si="39"/>
        <v>0</v>
      </c>
      <c r="O94" s="32">
        <f t="shared" si="39"/>
        <v>0</v>
      </c>
      <c r="P94" s="32">
        <f t="shared" si="39"/>
        <v>0</v>
      </c>
      <c r="Q94" s="42"/>
      <c r="R94" s="42"/>
      <c r="S94" s="18"/>
      <c r="T94" s="18"/>
      <c r="U94" s="18"/>
    </row>
    <row r="95" spans="1:21" s="12" customFormat="1" ht="13.5" hidden="1" customHeight="1">
      <c r="A95" s="762" t="s">
        <v>66</v>
      </c>
      <c r="B95" s="752" t="s">
        <v>43</v>
      </c>
      <c r="C95" s="66" t="s">
        <v>5</v>
      </c>
      <c r="D95" s="31">
        <f>E95+M95</f>
        <v>843817</v>
      </c>
      <c r="E95" s="32">
        <f>F95+I95+J95+K95+L95</f>
        <v>843817</v>
      </c>
      <c r="F95" s="32">
        <f>G95+H95</f>
        <v>189000</v>
      </c>
      <c r="G95" s="32">
        <v>189000</v>
      </c>
      <c r="H95" s="32">
        <v>0</v>
      </c>
      <c r="I95" s="32">
        <v>0</v>
      </c>
      <c r="J95" s="32">
        <v>0</v>
      </c>
      <c r="K95" s="32">
        <v>654817</v>
      </c>
      <c r="L95" s="32">
        <v>0</v>
      </c>
      <c r="M95" s="32">
        <f>N95+P95</f>
        <v>0</v>
      </c>
      <c r="N95" s="32">
        <v>0</v>
      </c>
      <c r="O95" s="32">
        <v>0</v>
      </c>
      <c r="P95" s="32">
        <v>0</v>
      </c>
      <c r="Q95" s="42"/>
      <c r="R95" s="42"/>
      <c r="S95" s="18"/>
      <c r="T95" s="18"/>
      <c r="U95" s="18"/>
    </row>
    <row r="96" spans="1:21" s="12" customFormat="1" ht="13.5" hidden="1" customHeight="1">
      <c r="A96" s="763"/>
      <c r="B96" s="753"/>
      <c r="C96" s="66" t="s">
        <v>6</v>
      </c>
      <c r="D96" s="31">
        <f>E96+M96</f>
        <v>0</v>
      </c>
      <c r="E96" s="32">
        <f>F96+I96+J96+K96+L96</f>
        <v>0</v>
      </c>
      <c r="F96" s="32">
        <f>G96+H96</f>
        <v>0</v>
      </c>
      <c r="G96" s="32"/>
      <c r="H96" s="32"/>
      <c r="I96" s="32"/>
      <c r="J96" s="32"/>
      <c r="K96" s="32"/>
      <c r="L96" s="32"/>
      <c r="M96" s="32">
        <f>N96+P96</f>
        <v>0</v>
      </c>
      <c r="N96" s="32"/>
      <c r="O96" s="32"/>
      <c r="P96" s="32"/>
      <c r="Q96" s="42"/>
      <c r="R96" s="42"/>
      <c r="S96" s="18"/>
      <c r="T96" s="18"/>
      <c r="U96" s="18"/>
    </row>
    <row r="97" spans="1:21" s="12" customFormat="1" ht="13.5" hidden="1" customHeight="1">
      <c r="A97" s="764"/>
      <c r="B97" s="754"/>
      <c r="C97" s="66" t="s">
        <v>7</v>
      </c>
      <c r="D97" s="31">
        <f>D95+D96</f>
        <v>843817</v>
      </c>
      <c r="E97" s="32">
        <f t="shared" ref="E97:P97" si="40">E95+E96</f>
        <v>843817</v>
      </c>
      <c r="F97" s="32">
        <f t="shared" si="40"/>
        <v>189000</v>
      </c>
      <c r="G97" s="32">
        <f t="shared" si="40"/>
        <v>189000</v>
      </c>
      <c r="H97" s="32">
        <f t="shared" si="40"/>
        <v>0</v>
      </c>
      <c r="I97" s="32">
        <f t="shared" si="40"/>
        <v>0</v>
      </c>
      <c r="J97" s="32">
        <f t="shared" si="40"/>
        <v>0</v>
      </c>
      <c r="K97" s="32">
        <f t="shared" si="40"/>
        <v>654817</v>
      </c>
      <c r="L97" s="32">
        <f t="shared" si="40"/>
        <v>0</v>
      </c>
      <c r="M97" s="32">
        <f t="shared" si="40"/>
        <v>0</v>
      </c>
      <c r="N97" s="32">
        <f t="shared" si="40"/>
        <v>0</v>
      </c>
      <c r="O97" s="32">
        <f t="shared" si="40"/>
        <v>0</v>
      </c>
      <c r="P97" s="32">
        <f t="shared" si="40"/>
        <v>0</v>
      </c>
      <c r="Q97" s="42"/>
      <c r="R97" s="42"/>
      <c r="S97" s="18"/>
      <c r="T97" s="18"/>
      <c r="U97" s="18"/>
    </row>
    <row r="98" spans="1:21" s="14" customFormat="1" ht="14.25">
      <c r="A98" s="771" t="s">
        <v>14</v>
      </c>
      <c r="B98" s="758" t="s">
        <v>15</v>
      </c>
      <c r="C98" s="65" t="s">
        <v>5</v>
      </c>
      <c r="D98" s="29">
        <f t="shared" ref="D98:P99" si="41">D101</f>
        <v>877895</v>
      </c>
      <c r="E98" s="30">
        <f t="shared" si="41"/>
        <v>772500</v>
      </c>
      <c r="F98" s="30">
        <f t="shared" si="41"/>
        <v>772500</v>
      </c>
      <c r="G98" s="30">
        <f t="shared" si="41"/>
        <v>0</v>
      </c>
      <c r="H98" s="30">
        <f t="shared" si="41"/>
        <v>772500</v>
      </c>
      <c r="I98" s="30">
        <f t="shared" si="41"/>
        <v>0</v>
      </c>
      <c r="J98" s="30">
        <f t="shared" si="41"/>
        <v>0</v>
      </c>
      <c r="K98" s="30">
        <f t="shared" si="41"/>
        <v>0</v>
      </c>
      <c r="L98" s="30">
        <f t="shared" si="41"/>
        <v>0</v>
      </c>
      <c r="M98" s="30">
        <f t="shared" si="41"/>
        <v>105395</v>
      </c>
      <c r="N98" s="30">
        <f t="shared" si="41"/>
        <v>105395</v>
      </c>
      <c r="O98" s="30">
        <f>O101</f>
        <v>0</v>
      </c>
      <c r="P98" s="30">
        <f t="shared" si="41"/>
        <v>0</v>
      </c>
      <c r="Q98" s="53"/>
      <c r="R98" s="53"/>
      <c r="S98" s="20"/>
      <c r="T98" s="20"/>
      <c r="U98" s="20"/>
    </row>
    <row r="99" spans="1:21" s="14" customFormat="1" ht="14.25">
      <c r="A99" s="772"/>
      <c r="B99" s="759"/>
      <c r="C99" s="65" t="s">
        <v>6</v>
      </c>
      <c r="D99" s="29">
        <f t="shared" si="41"/>
        <v>84993</v>
      </c>
      <c r="E99" s="30">
        <f t="shared" si="41"/>
        <v>0</v>
      </c>
      <c r="F99" s="30">
        <f t="shared" si="41"/>
        <v>0</v>
      </c>
      <c r="G99" s="30">
        <f t="shared" si="41"/>
        <v>0</v>
      </c>
      <c r="H99" s="30">
        <f t="shared" si="41"/>
        <v>0</v>
      </c>
      <c r="I99" s="30">
        <f t="shared" si="41"/>
        <v>0</v>
      </c>
      <c r="J99" s="30">
        <f t="shared" si="41"/>
        <v>0</v>
      </c>
      <c r="K99" s="30">
        <f t="shared" si="41"/>
        <v>0</v>
      </c>
      <c r="L99" s="30">
        <f t="shared" si="41"/>
        <v>0</v>
      </c>
      <c r="M99" s="30">
        <f t="shared" si="41"/>
        <v>84993</v>
      </c>
      <c r="N99" s="30">
        <f t="shared" si="41"/>
        <v>84993</v>
      </c>
      <c r="O99" s="30">
        <f t="shared" si="41"/>
        <v>0</v>
      </c>
      <c r="P99" s="30">
        <f t="shared" si="41"/>
        <v>0</v>
      </c>
      <c r="Q99" s="53"/>
      <c r="R99" s="53"/>
      <c r="S99" s="20"/>
      <c r="T99" s="20"/>
      <c r="U99" s="20"/>
    </row>
    <row r="100" spans="1:21" s="14" customFormat="1" ht="14.25">
      <c r="A100" s="773"/>
      <c r="B100" s="760"/>
      <c r="C100" s="65" t="s">
        <v>7</v>
      </c>
      <c r="D100" s="29">
        <f>D98+D99</f>
        <v>962888</v>
      </c>
      <c r="E100" s="30">
        <f t="shared" ref="E100:P100" si="42">E98+E99</f>
        <v>772500</v>
      </c>
      <c r="F100" s="30">
        <f t="shared" si="42"/>
        <v>772500</v>
      </c>
      <c r="G100" s="30">
        <f t="shared" si="42"/>
        <v>0</v>
      </c>
      <c r="H100" s="30">
        <f t="shared" si="42"/>
        <v>772500</v>
      </c>
      <c r="I100" s="30">
        <f t="shared" si="42"/>
        <v>0</v>
      </c>
      <c r="J100" s="30">
        <f t="shared" si="42"/>
        <v>0</v>
      </c>
      <c r="K100" s="30">
        <f t="shared" si="42"/>
        <v>0</v>
      </c>
      <c r="L100" s="30">
        <f t="shared" si="42"/>
        <v>0</v>
      </c>
      <c r="M100" s="30">
        <f t="shared" si="42"/>
        <v>190388</v>
      </c>
      <c r="N100" s="30">
        <f t="shared" si="42"/>
        <v>190388</v>
      </c>
      <c r="O100" s="30">
        <f t="shared" si="42"/>
        <v>0</v>
      </c>
      <c r="P100" s="30">
        <f t="shared" si="42"/>
        <v>0</v>
      </c>
      <c r="Q100" s="53"/>
      <c r="R100" s="53"/>
      <c r="S100" s="20"/>
      <c r="T100" s="20"/>
      <c r="U100" s="20"/>
    </row>
    <row r="101" spans="1:21" s="12" customFormat="1" ht="13.5" customHeight="1">
      <c r="A101" s="762" t="s">
        <v>16</v>
      </c>
      <c r="B101" s="752" t="s">
        <v>106</v>
      </c>
      <c r="C101" s="66" t="s">
        <v>5</v>
      </c>
      <c r="D101" s="31">
        <f>E101+M101</f>
        <v>877895</v>
      </c>
      <c r="E101" s="32">
        <f>F101+I101+J101+K101+L101</f>
        <v>772500</v>
      </c>
      <c r="F101" s="32">
        <f>G101+H101</f>
        <v>772500</v>
      </c>
      <c r="G101" s="32">
        <v>0</v>
      </c>
      <c r="H101" s="32">
        <f>795140-22640</f>
        <v>772500</v>
      </c>
      <c r="I101" s="32">
        <v>0</v>
      </c>
      <c r="J101" s="32">
        <v>0</v>
      </c>
      <c r="K101" s="32">
        <v>0</v>
      </c>
      <c r="L101" s="32">
        <v>0</v>
      </c>
      <c r="M101" s="32">
        <f>N101+P101</f>
        <v>105395</v>
      </c>
      <c r="N101" s="32">
        <v>105395</v>
      </c>
      <c r="O101" s="32">
        <v>0</v>
      </c>
      <c r="P101" s="32">
        <v>0</v>
      </c>
      <c r="Q101" s="42"/>
      <c r="R101" s="42"/>
      <c r="S101" s="18"/>
      <c r="T101" s="18"/>
      <c r="U101" s="18"/>
    </row>
    <row r="102" spans="1:21" s="12" customFormat="1" ht="13.5" customHeight="1">
      <c r="A102" s="763"/>
      <c r="B102" s="753"/>
      <c r="C102" s="66" t="s">
        <v>6</v>
      </c>
      <c r="D102" s="31">
        <f>E102+M102</f>
        <v>84993</v>
      </c>
      <c r="E102" s="32">
        <f>F102+I102+J102+K102+L102</f>
        <v>0</v>
      </c>
      <c r="F102" s="32">
        <f>G102+H102</f>
        <v>0</v>
      </c>
      <c r="G102" s="32"/>
      <c r="H102" s="32"/>
      <c r="I102" s="32"/>
      <c r="J102" s="32"/>
      <c r="K102" s="32"/>
      <c r="L102" s="32"/>
      <c r="M102" s="32">
        <f>N102+P102</f>
        <v>84993</v>
      </c>
      <c r="N102" s="32">
        <v>84993</v>
      </c>
      <c r="O102" s="32"/>
      <c r="P102" s="32"/>
      <c r="Q102" s="42"/>
      <c r="R102" s="42"/>
      <c r="S102" s="18"/>
      <c r="T102" s="18"/>
      <c r="U102" s="18"/>
    </row>
    <row r="103" spans="1:21" s="12" customFormat="1" ht="13.5" customHeight="1">
      <c r="A103" s="764"/>
      <c r="B103" s="754"/>
      <c r="C103" s="66" t="s">
        <v>7</v>
      </c>
      <c r="D103" s="31">
        <f>D101+D102</f>
        <v>962888</v>
      </c>
      <c r="E103" s="32">
        <f t="shared" ref="E103:P103" si="43">E101+E102</f>
        <v>772500</v>
      </c>
      <c r="F103" s="32">
        <f t="shared" si="43"/>
        <v>772500</v>
      </c>
      <c r="G103" s="32">
        <f t="shared" si="43"/>
        <v>0</v>
      </c>
      <c r="H103" s="32">
        <f t="shared" si="43"/>
        <v>772500</v>
      </c>
      <c r="I103" s="32">
        <f t="shared" si="43"/>
        <v>0</v>
      </c>
      <c r="J103" s="32">
        <f t="shared" si="43"/>
        <v>0</v>
      </c>
      <c r="K103" s="32">
        <f t="shared" si="43"/>
        <v>0</v>
      </c>
      <c r="L103" s="32">
        <f t="shared" si="43"/>
        <v>0</v>
      </c>
      <c r="M103" s="32">
        <f t="shared" si="43"/>
        <v>190388</v>
      </c>
      <c r="N103" s="32">
        <f t="shared" si="43"/>
        <v>190388</v>
      </c>
      <c r="O103" s="32">
        <f t="shared" si="43"/>
        <v>0</v>
      </c>
      <c r="P103" s="32">
        <f t="shared" si="43"/>
        <v>0</v>
      </c>
      <c r="Q103" s="42"/>
      <c r="R103" s="42"/>
      <c r="S103" s="18"/>
      <c r="T103" s="18"/>
      <c r="U103" s="18"/>
    </row>
    <row r="104" spans="1:21" s="14" customFormat="1" ht="14.25" hidden="1">
      <c r="A104" s="771" t="s">
        <v>17</v>
      </c>
      <c r="B104" s="758" t="s">
        <v>18</v>
      </c>
      <c r="C104" s="65" t="s">
        <v>5</v>
      </c>
      <c r="D104" s="40">
        <f>D107+D110+D113+D116+D119</f>
        <v>7463846</v>
      </c>
      <c r="E104" s="30">
        <f t="shared" ref="E104:P105" si="44">E107+E110+E113+E116+E119</f>
        <v>5298646</v>
      </c>
      <c r="F104" s="30">
        <f t="shared" si="44"/>
        <v>5294146</v>
      </c>
      <c r="G104" s="30">
        <f t="shared" si="44"/>
        <v>4549812</v>
      </c>
      <c r="H104" s="30">
        <f t="shared" si="44"/>
        <v>744334</v>
      </c>
      <c r="I104" s="30">
        <f t="shared" si="44"/>
        <v>0</v>
      </c>
      <c r="J104" s="30">
        <f t="shared" si="44"/>
        <v>4500</v>
      </c>
      <c r="K104" s="30">
        <f t="shared" si="44"/>
        <v>0</v>
      </c>
      <c r="L104" s="30">
        <f t="shared" si="44"/>
        <v>0</v>
      </c>
      <c r="M104" s="30">
        <f t="shared" si="44"/>
        <v>2165200</v>
      </c>
      <c r="N104" s="30">
        <f t="shared" si="44"/>
        <v>12500</v>
      </c>
      <c r="O104" s="30">
        <f t="shared" si="44"/>
        <v>0</v>
      </c>
      <c r="P104" s="30">
        <f t="shared" si="44"/>
        <v>2152700</v>
      </c>
      <c r="Q104" s="53"/>
      <c r="R104" s="53"/>
      <c r="S104" s="20"/>
      <c r="T104" s="20"/>
      <c r="U104" s="20"/>
    </row>
    <row r="105" spans="1:21" s="14" customFormat="1" ht="14.25" hidden="1">
      <c r="A105" s="772"/>
      <c r="B105" s="759"/>
      <c r="C105" s="65" t="s">
        <v>6</v>
      </c>
      <c r="D105" s="40">
        <f>D108+D111+D114+D117+D120</f>
        <v>0</v>
      </c>
      <c r="E105" s="30">
        <f t="shared" si="44"/>
        <v>0</v>
      </c>
      <c r="F105" s="30">
        <f t="shared" si="44"/>
        <v>0</v>
      </c>
      <c r="G105" s="30">
        <f t="shared" si="44"/>
        <v>0</v>
      </c>
      <c r="H105" s="30">
        <f t="shared" si="44"/>
        <v>0</v>
      </c>
      <c r="I105" s="30">
        <f t="shared" si="44"/>
        <v>0</v>
      </c>
      <c r="J105" s="30">
        <f t="shared" si="44"/>
        <v>0</v>
      </c>
      <c r="K105" s="30">
        <f t="shared" si="44"/>
        <v>0</v>
      </c>
      <c r="L105" s="30">
        <f t="shared" si="44"/>
        <v>0</v>
      </c>
      <c r="M105" s="30">
        <f t="shared" si="44"/>
        <v>0</v>
      </c>
      <c r="N105" s="30">
        <f t="shared" si="44"/>
        <v>0</v>
      </c>
      <c r="O105" s="30">
        <f t="shared" si="44"/>
        <v>0</v>
      </c>
      <c r="P105" s="30">
        <f t="shared" si="44"/>
        <v>0</v>
      </c>
      <c r="Q105" s="53"/>
      <c r="R105" s="53"/>
      <c r="S105" s="20"/>
      <c r="T105" s="20"/>
      <c r="U105" s="20"/>
    </row>
    <row r="106" spans="1:21" s="14" customFormat="1" ht="14.25" hidden="1">
      <c r="A106" s="773"/>
      <c r="B106" s="760"/>
      <c r="C106" s="65" t="s">
        <v>7</v>
      </c>
      <c r="D106" s="40">
        <f>D104+D105</f>
        <v>7463846</v>
      </c>
      <c r="E106" s="30">
        <f t="shared" ref="E106:P106" si="45">E104+E105</f>
        <v>5298646</v>
      </c>
      <c r="F106" s="30">
        <f t="shared" si="45"/>
        <v>5294146</v>
      </c>
      <c r="G106" s="30">
        <f t="shared" si="45"/>
        <v>4549812</v>
      </c>
      <c r="H106" s="30">
        <f t="shared" si="45"/>
        <v>744334</v>
      </c>
      <c r="I106" s="30">
        <f t="shared" si="45"/>
        <v>0</v>
      </c>
      <c r="J106" s="30">
        <f t="shared" si="45"/>
        <v>4500</v>
      </c>
      <c r="K106" s="30">
        <f t="shared" si="45"/>
        <v>0</v>
      </c>
      <c r="L106" s="30">
        <f t="shared" si="45"/>
        <v>0</v>
      </c>
      <c r="M106" s="30">
        <f t="shared" si="45"/>
        <v>2165200</v>
      </c>
      <c r="N106" s="30">
        <f t="shared" si="45"/>
        <v>12500</v>
      </c>
      <c r="O106" s="30">
        <f t="shared" si="45"/>
        <v>0</v>
      </c>
      <c r="P106" s="30">
        <f t="shared" si="45"/>
        <v>2152700</v>
      </c>
      <c r="Q106" s="53"/>
      <c r="R106" s="53"/>
      <c r="S106" s="20"/>
      <c r="T106" s="20"/>
      <c r="U106" s="20"/>
    </row>
    <row r="107" spans="1:21" s="36" customFormat="1" ht="13.5" hidden="1" customHeight="1">
      <c r="A107" s="762" t="s">
        <v>19</v>
      </c>
      <c r="B107" s="752" t="s">
        <v>107</v>
      </c>
      <c r="C107" s="66" t="s">
        <v>5</v>
      </c>
      <c r="D107" s="56">
        <f>E107+M107</f>
        <v>4854146</v>
      </c>
      <c r="E107" s="57">
        <f>F107+I107+J107+K107+L107</f>
        <v>4854146</v>
      </c>
      <c r="F107" s="57">
        <f>G107+H107</f>
        <v>4849646</v>
      </c>
      <c r="G107" s="57">
        <v>4280312</v>
      </c>
      <c r="H107" s="57">
        <f>78000+111500+1000+93000+39395+3000+100000+15000+9000+8000+82939+2500+15000+11000</f>
        <v>569334</v>
      </c>
      <c r="I107" s="57">
        <v>0</v>
      </c>
      <c r="J107" s="57">
        <v>4500</v>
      </c>
      <c r="K107" s="57">
        <v>0</v>
      </c>
      <c r="L107" s="57">
        <v>0</v>
      </c>
      <c r="M107" s="57">
        <f>N107+P107</f>
        <v>0</v>
      </c>
      <c r="N107" s="57">
        <v>0</v>
      </c>
      <c r="O107" s="57">
        <v>0</v>
      </c>
      <c r="P107" s="57">
        <v>0</v>
      </c>
      <c r="Q107" s="58"/>
      <c r="R107" s="58"/>
      <c r="S107" s="35"/>
      <c r="T107" s="35"/>
      <c r="U107" s="35"/>
    </row>
    <row r="108" spans="1:21" s="36" customFormat="1" ht="13.5" hidden="1" customHeight="1">
      <c r="A108" s="763"/>
      <c r="B108" s="753"/>
      <c r="C108" s="66" t="s">
        <v>6</v>
      </c>
      <c r="D108" s="56">
        <f>E108+M108</f>
        <v>0</v>
      </c>
      <c r="E108" s="57">
        <f>F108+I108+J108+K108+L108</f>
        <v>0</v>
      </c>
      <c r="F108" s="57">
        <f>G108+H108</f>
        <v>0</v>
      </c>
      <c r="G108" s="57"/>
      <c r="H108" s="57"/>
      <c r="I108" s="57"/>
      <c r="J108" s="57"/>
      <c r="K108" s="57"/>
      <c r="L108" s="57"/>
      <c r="M108" s="57">
        <f>N108+P108</f>
        <v>0</v>
      </c>
      <c r="N108" s="57"/>
      <c r="O108" s="57"/>
      <c r="P108" s="57"/>
      <c r="Q108" s="58"/>
      <c r="R108" s="58"/>
      <c r="S108" s="35"/>
      <c r="T108" s="35"/>
      <c r="U108" s="35"/>
    </row>
    <row r="109" spans="1:21" s="36" customFormat="1" ht="13.5" hidden="1" customHeight="1">
      <c r="A109" s="764"/>
      <c r="B109" s="754"/>
      <c r="C109" s="66" t="s">
        <v>7</v>
      </c>
      <c r="D109" s="56">
        <f>D107+D108</f>
        <v>4854146</v>
      </c>
      <c r="E109" s="57">
        <f t="shared" ref="E109:P109" si="46">E107+E108</f>
        <v>4854146</v>
      </c>
      <c r="F109" s="57">
        <f t="shared" si="46"/>
        <v>4849646</v>
      </c>
      <c r="G109" s="57">
        <f t="shared" si="46"/>
        <v>4280312</v>
      </c>
      <c r="H109" s="57">
        <f t="shared" si="46"/>
        <v>569334</v>
      </c>
      <c r="I109" s="57">
        <f t="shared" si="46"/>
        <v>0</v>
      </c>
      <c r="J109" s="57">
        <f t="shared" si="46"/>
        <v>4500</v>
      </c>
      <c r="K109" s="57">
        <f t="shared" si="46"/>
        <v>0</v>
      </c>
      <c r="L109" s="57">
        <f t="shared" si="46"/>
        <v>0</v>
      </c>
      <c r="M109" s="57">
        <f t="shared" si="46"/>
        <v>0</v>
      </c>
      <c r="N109" s="57">
        <f t="shared" si="46"/>
        <v>0</v>
      </c>
      <c r="O109" s="57">
        <f t="shared" si="46"/>
        <v>0</v>
      </c>
      <c r="P109" s="57">
        <f t="shared" si="46"/>
        <v>0</v>
      </c>
      <c r="Q109" s="58"/>
      <c r="R109" s="58"/>
      <c r="S109" s="35"/>
      <c r="T109" s="35"/>
      <c r="U109" s="35"/>
    </row>
    <row r="110" spans="1:21" s="12" customFormat="1" ht="13.5" hidden="1" customHeight="1">
      <c r="A110" s="762" t="s">
        <v>108</v>
      </c>
      <c r="B110" s="752" t="s">
        <v>109</v>
      </c>
      <c r="C110" s="66" t="s">
        <v>5</v>
      </c>
      <c r="D110" s="31">
        <f>E110+M110</f>
        <v>25500</v>
      </c>
      <c r="E110" s="32">
        <f>F110+I110+J110+K110+L110</f>
        <v>25500</v>
      </c>
      <c r="F110" s="32">
        <f>G110+H110</f>
        <v>25500</v>
      </c>
      <c r="G110" s="32">
        <v>500</v>
      </c>
      <c r="H110" s="32">
        <f>3000+22000</f>
        <v>25000</v>
      </c>
      <c r="I110" s="32">
        <v>0</v>
      </c>
      <c r="J110" s="32">
        <v>0</v>
      </c>
      <c r="K110" s="32">
        <v>0</v>
      </c>
      <c r="L110" s="32">
        <v>0</v>
      </c>
      <c r="M110" s="32">
        <f>N110+P110</f>
        <v>0</v>
      </c>
      <c r="N110" s="57">
        <v>0</v>
      </c>
      <c r="O110" s="57">
        <v>0</v>
      </c>
      <c r="P110" s="57">
        <v>0</v>
      </c>
      <c r="Q110" s="42"/>
      <c r="R110" s="42"/>
      <c r="S110" s="18"/>
      <c r="T110" s="18"/>
      <c r="U110" s="18"/>
    </row>
    <row r="111" spans="1:21" s="12" customFormat="1" ht="13.5" hidden="1" customHeight="1">
      <c r="A111" s="763"/>
      <c r="B111" s="753"/>
      <c r="C111" s="66" t="s">
        <v>6</v>
      </c>
      <c r="D111" s="31">
        <f>E111+M111</f>
        <v>0</v>
      </c>
      <c r="E111" s="32">
        <f>F111+I111+J111+K111+L111</f>
        <v>0</v>
      </c>
      <c r="F111" s="32">
        <f>G111+H111</f>
        <v>0</v>
      </c>
      <c r="G111" s="32"/>
      <c r="H111" s="32"/>
      <c r="I111" s="32"/>
      <c r="J111" s="32"/>
      <c r="K111" s="32"/>
      <c r="L111" s="32"/>
      <c r="M111" s="32">
        <f>N111+P111</f>
        <v>0</v>
      </c>
      <c r="N111" s="57"/>
      <c r="O111" s="57"/>
      <c r="P111" s="57"/>
      <c r="Q111" s="42"/>
      <c r="R111" s="42"/>
      <c r="S111" s="18"/>
      <c r="T111" s="18"/>
      <c r="U111" s="18"/>
    </row>
    <row r="112" spans="1:21" s="12" customFormat="1" ht="13.5" hidden="1" customHeight="1">
      <c r="A112" s="764"/>
      <c r="B112" s="754"/>
      <c r="C112" s="66" t="s">
        <v>7</v>
      </c>
      <c r="D112" s="31">
        <f>D110+D111</f>
        <v>25500</v>
      </c>
      <c r="E112" s="32">
        <f t="shared" ref="E112:P112" si="47">E110+E111</f>
        <v>25500</v>
      </c>
      <c r="F112" s="32">
        <f t="shared" si="47"/>
        <v>25500</v>
      </c>
      <c r="G112" s="32">
        <f t="shared" si="47"/>
        <v>500</v>
      </c>
      <c r="H112" s="32">
        <f t="shared" si="47"/>
        <v>25000</v>
      </c>
      <c r="I112" s="32">
        <f t="shared" si="47"/>
        <v>0</v>
      </c>
      <c r="J112" s="32">
        <f t="shared" si="47"/>
        <v>0</v>
      </c>
      <c r="K112" s="32">
        <f t="shared" si="47"/>
        <v>0</v>
      </c>
      <c r="L112" s="32">
        <f t="shared" si="47"/>
        <v>0</v>
      </c>
      <c r="M112" s="32">
        <f t="shared" si="47"/>
        <v>0</v>
      </c>
      <c r="N112" s="32">
        <f t="shared" si="47"/>
        <v>0</v>
      </c>
      <c r="O112" s="32">
        <f t="shared" si="47"/>
        <v>0</v>
      </c>
      <c r="P112" s="32">
        <f t="shared" si="47"/>
        <v>0</v>
      </c>
      <c r="Q112" s="42"/>
      <c r="R112" s="42"/>
      <c r="S112" s="18"/>
      <c r="T112" s="18"/>
      <c r="U112" s="18"/>
    </row>
    <row r="113" spans="1:21" s="12" customFormat="1" ht="13.5" hidden="1" customHeight="1">
      <c r="A113" s="762" t="s">
        <v>44</v>
      </c>
      <c r="B113" s="752" t="s">
        <v>45</v>
      </c>
      <c r="C113" s="66" t="s">
        <v>5</v>
      </c>
      <c r="D113" s="31">
        <f>E113+M113</f>
        <v>269000</v>
      </c>
      <c r="E113" s="32">
        <f>F113+I113+J113+K113+L113</f>
        <v>269000</v>
      </c>
      <c r="F113" s="32">
        <f>G113+H113</f>
        <v>269000</v>
      </c>
      <c r="G113" s="32">
        <v>269000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f>N113+P113</f>
        <v>0</v>
      </c>
      <c r="N113" s="57">
        <v>0</v>
      </c>
      <c r="O113" s="57">
        <v>0</v>
      </c>
      <c r="P113" s="57">
        <v>0</v>
      </c>
      <c r="Q113" s="42"/>
      <c r="R113" s="42"/>
      <c r="S113" s="18"/>
      <c r="T113" s="18"/>
      <c r="U113" s="18"/>
    </row>
    <row r="114" spans="1:21" s="12" customFormat="1" ht="13.5" hidden="1" customHeight="1">
      <c r="A114" s="763"/>
      <c r="B114" s="753"/>
      <c r="C114" s="66" t="s">
        <v>6</v>
      </c>
      <c r="D114" s="31">
        <f>E114+M114</f>
        <v>0</v>
      </c>
      <c r="E114" s="32">
        <f>F114+I114+J114+K114+L114</f>
        <v>0</v>
      </c>
      <c r="F114" s="32">
        <f>G114+H114</f>
        <v>0</v>
      </c>
      <c r="G114" s="32"/>
      <c r="H114" s="32"/>
      <c r="I114" s="32"/>
      <c r="J114" s="32"/>
      <c r="K114" s="32"/>
      <c r="L114" s="32"/>
      <c r="M114" s="32">
        <f>N114+P114</f>
        <v>0</v>
      </c>
      <c r="N114" s="57"/>
      <c r="O114" s="57"/>
      <c r="P114" s="57"/>
      <c r="Q114" s="42"/>
      <c r="R114" s="42"/>
      <c r="S114" s="18"/>
      <c r="T114" s="18"/>
      <c r="U114" s="18"/>
    </row>
    <row r="115" spans="1:21" s="12" customFormat="1" ht="13.5" hidden="1" customHeight="1">
      <c r="A115" s="764"/>
      <c r="B115" s="754"/>
      <c r="C115" s="66" t="s">
        <v>7</v>
      </c>
      <c r="D115" s="31">
        <f>D113+D114</f>
        <v>269000</v>
      </c>
      <c r="E115" s="32">
        <f t="shared" ref="E115:P115" si="48">E113+E114</f>
        <v>269000</v>
      </c>
      <c r="F115" s="32">
        <f t="shared" si="48"/>
        <v>269000</v>
      </c>
      <c r="G115" s="32">
        <f t="shared" si="48"/>
        <v>269000</v>
      </c>
      <c r="H115" s="32">
        <f t="shared" si="48"/>
        <v>0</v>
      </c>
      <c r="I115" s="32">
        <f t="shared" si="48"/>
        <v>0</v>
      </c>
      <c r="J115" s="32">
        <f t="shared" si="48"/>
        <v>0</v>
      </c>
      <c r="K115" s="32">
        <f t="shared" si="48"/>
        <v>0</v>
      </c>
      <c r="L115" s="32">
        <f t="shared" si="48"/>
        <v>0</v>
      </c>
      <c r="M115" s="32">
        <f t="shared" si="48"/>
        <v>0</v>
      </c>
      <c r="N115" s="32">
        <f t="shared" si="48"/>
        <v>0</v>
      </c>
      <c r="O115" s="32">
        <f t="shared" si="48"/>
        <v>0</v>
      </c>
      <c r="P115" s="32">
        <f t="shared" si="48"/>
        <v>0</v>
      </c>
      <c r="Q115" s="42"/>
      <c r="R115" s="42"/>
      <c r="S115" s="18"/>
      <c r="T115" s="18"/>
      <c r="U115" s="18"/>
    </row>
    <row r="116" spans="1:21" s="12" customFormat="1" ht="13.5" hidden="1" customHeight="1">
      <c r="A116" s="762" t="s">
        <v>36</v>
      </c>
      <c r="B116" s="752" t="s">
        <v>67</v>
      </c>
      <c r="C116" s="66" t="s">
        <v>5</v>
      </c>
      <c r="D116" s="31">
        <f>E116+M116</f>
        <v>162500</v>
      </c>
      <c r="E116" s="32">
        <f>F116+I116+J116+K116+L116</f>
        <v>150000</v>
      </c>
      <c r="F116" s="32">
        <f>G116+H116</f>
        <v>150000</v>
      </c>
      <c r="G116" s="32">
        <v>0</v>
      </c>
      <c r="H116" s="32">
        <f>162500-12500</f>
        <v>150000</v>
      </c>
      <c r="I116" s="32">
        <v>0</v>
      </c>
      <c r="J116" s="32">
        <v>0</v>
      </c>
      <c r="K116" s="32">
        <v>0</v>
      </c>
      <c r="L116" s="32">
        <v>0</v>
      </c>
      <c r="M116" s="32">
        <f>N116+P116</f>
        <v>12500</v>
      </c>
      <c r="N116" s="32">
        <v>12500</v>
      </c>
      <c r="O116" s="32">
        <v>0</v>
      </c>
      <c r="P116" s="32">
        <v>0</v>
      </c>
      <c r="Q116" s="42"/>
      <c r="R116" s="42"/>
      <c r="S116" s="18"/>
      <c r="T116" s="18"/>
      <c r="U116" s="18"/>
    </row>
    <row r="117" spans="1:21" s="12" customFormat="1" ht="13.5" hidden="1" customHeight="1">
      <c r="A117" s="763"/>
      <c r="B117" s="753"/>
      <c r="C117" s="66" t="s">
        <v>6</v>
      </c>
      <c r="D117" s="31">
        <f>E117+M117</f>
        <v>0</v>
      </c>
      <c r="E117" s="32">
        <f>F117+I117+J117+K117+L117</f>
        <v>0</v>
      </c>
      <c r="F117" s="32">
        <f>G117+H117</f>
        <v>0</v>
      </c>
      <c r="G117" s="32"/>
      <c r="H117" s="32"/>
      <c r="I117" s="32"/>
      <c r="J117" s="32"/>
      <c r="K117" s="32"/>
      <c r="L117" s="32"/>
      <c r="M117" s="32">
        <f>N117+P117</f>
        <v>0</v>
      </c>
      <c r="N117" s="32"/>
      <c r="O117" s="32"/>
      <c r="P117" s="32"/>
      <c r="Q117" s="42"/>
      <c r="R117" s="42"/>
      <c r="S117" s="18"/>
      <c r="T117" s="18"/>
      <c r="U117" s="18"/>
    </row>
    <row r="118" spans="1:21" s="12" customFormat="1" ht="13.5" hidden="1" customHeight="1">
      <c r="A118" s="764"/>
      <c r="B118" s="754"/>
      <c r="C118" s="66" t="s">
        <v>7</v>
      </c>
      <c r="D118" s="31">
        <f>D116+D117</f>
        <v>162500</v>
      </c>
      <c r="E118" s="32">
        <f t="shared" ref="E118:P118" si="49">E116+E117</f>
        <v>150000</v>
      </c>
      <c r="F118" s="32">
        <f t="shared" si="49"/>
        <v>150000</v>
      </c>
      <c r="G118" s="32">
        <f t="shared" si="49"/>
        <v>0</v>
      </c>
      <c r="H118" s="32">
        <f t="shared" si="49"/>
        <v>150000</v>
      </c>
      <c r="I118" s="32">
        <f t="shared" si="49"/>
        <v>0</v>
      </c>
      <c r="J118" s="32">
        <f t="shared" si="49"/>
        <v>0</v>
      </c>
      <c r="K118" s="32">
        <f t="shared" si="49"/>
        <v>0</v>
      </c>
      <c r="L118" s="32">
        <f t="shared" si="49"/>
        <v>0</v>
      </c>
      <c r="M118" s="32">
        <f t="shared" si="49"/>
        <v>12500</v>
      </c>
      <c r="N118" s="32">
        <f t="shared" si="49"/>
        <v>12500</v>
      </c>
      <c r="O118" s="32">
        <f t="shared" si="49"/>
        <v>0</v>
      </c>
      <c r="P118" s="32">
        <f t="shared" si="49"/>
        <v>0</v>
      </c>
      <c r="Q118" s="42"/>
      <c r="R118" s="42"/>
      <c r="S118" s="18"/>
      <c r="T118" s="18"/>
      <c r="U118" s="18"/>
    </row>
    <row r="119" spans="1:21" s="12" customFormat="1" ht="13.5" hidden="1" customHeight="1">
      <c r="A119" s="765">
        <v>71095</v>
      </c>
      <c r="B119" s="752" t="s">
        <v>43</v>
      </c>
      <c r="C119" s="66" t="s">
        <v>5</v>
      </c>
      <c r="D119" s="31">
        <f>E119+M119</f>
        <v>2152700</v>
      </c>
      <c r="E119" s="32">
        <f>F119+I119+J119+K119+L119</f>
        <v>0</v>
      </c>
      <c r="F119" s="32">
        <f>G119+H119</f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f>N119+P119</f>
        <v>2152700</v>
      </c>
      <c r="N119" s="32">
        <v>0</v>
      </c>
      <c r="O119" s="32">
        <v>0</v>
      </c>
      <c r="P119" s="32">
        <v>2152700</v>
      </c>
      <c r="Q119" s="42"/>
      <c r="R119" s="42"/>
      <c r="S119" s="18"/>
      <c r="T119" s="18"/>
      <c r="U119" s="18"/>
    </row>
    <row r="120" spans="1:21" s="12" customFormat="1" ht="13.5" hidden="1" customHeight="1">
      <c r="A120" s="766"/>
      <c r="B120" s="753"/>
      <c r="C120" s="66" t="s">
        <v>6</v>
      </c>
      <c r="D120" s="31">
        <f>E120+M120</f>
        <v>0</v>
      </c>
      <c r="E120" s="32">
        <f>F120+I120+J120+K120+L120</f>
        <v>0</v>
      </c>
      <c r="F120" s="32">
        <f>G120+H120</f>
        <v>0</v>
      </c>
      <c r="G120" s="32"/>
      <c r="H120" s="32"/>
      <c r="I120" s="32"/>
      <c r="J120" s="32"/>
      <c r="K120" s="32"/>
      <c r="L120" s="32"/>
      <c r="M120" s="32">
        <f>N120+P120</f>
        <v>0</v>
      </c>
      <c r="N120" s="32"/>
      <c r="O120" s="32"/>
      <c r="P120" s="32"/>
      <c r="Q120" s="42"/>
      <c r="R120" s="42"/>
      <c r="S120" s="18"/>
      <c r="T120" s="18"/>
      <c r="U120" s="18"/>
    </row>
    <row r="121" spans="1:21" s="12" customFormat="1" ht="13.5" hidden="1" customHeight="1">
      <c r="A121" s="767"/>
      <c r="B121" s="754"/>
      <c r="C121" s="66" t="s">
        <v>7</v>
      </c>
      <c r="D121" s="31">
        <f>D119+D120</f>
        <v>2152700</v>
      </c>
      <c r="E121" s="32">
        <f t="shared" ref="E121:P121" si="50">E119+E120</f>
        <v>0</v>
      </c>
      <c r="F121" s="32">
        <f t="shared" si="50"/>
        <v>0</v>
      </c>
      <c r="G121" s="32">
        <f t="shared" si="50"/>
        <v>0</v>
      </c>
      <c r="H121" s="32">
        <f t="shared" si="50"/>
        <v>0</v>
      </c>
      <c r="I121" s="32">
        <f t="shared" si="50"/>
        <v>0</v>
      </c>
      <c r="J121" s="32">
        <f t="shared" si="50"/>
        <v>0</v>
      </c>
      <c r="K121" s="32">
        <f t="shared" si="50"/>
        <v>0</v>
      </c>
      <c r="L121" s="32">
        <f t="shared" si="50"/>
        <v>0</v>
      </c>
      <c r="M121" s="32">
        <f t="shared" si="50"/>
        <v>2152700</v>
      </c>
      <c r="N121" s="32">
        <f t="shared" si="50"/>
        <v>0</v>
      </c>
      <c r="O121" s="32">
        <f t="shared" si="50"/>
        <v>0</v>
      </c>
      <c r="P121" s="32">
        <f t="shared" si="50"/>
        <v>2152700</v>
      </c>
      <c r="Q121" s="42"/>
      <c r="R121" s="42"/>
      <c r="S121" s="18"/>
      <c r="T121" s="18"/>
      <c r="U121" s="18"/>
    </row>
    <row r="122" spans="1:21" s="14" customFormat="1" ht="14.25">
      <c r="A122" s="771" t="s">
        <v>61</v>
      </c>
      <c r="B122" s="758" t="s">
        <v>62</v>
      </c>
      <c r="C122" s="65" t="s">
        <v>5</v>
      </c>
      <c r="D122" s="37">
        <f t="shared" ref="D122:P123" si="51">D125</f>
        <v>108478893</v>
      </c>
      <c r="E122" s="38">
        <f t="shared" si="51"/>
        <v>6408752</v>
      </c>
      <c r="F122" s="38">
        <f t="shared" si="51"/>
        <v>1731905</v>
      </c>
      <c r="G122" s="38">
        <f t="shared" si="51"/>
        <v>0</v>
      </c>
      <c r="H122" s="38">
        <f t="shared" si="51"/>
        <v>1731905</v>
      </c>
      <c r="I122" s="38">
        <f t="shared" si="51"/>
        <v>0</v>
      </c>
      <c r="J122" s="38">
        <f t="shared" si="51"/>
        <v>0</v>
      </c>
      <c r="K122" s="38">
        <f t="shared" si="51"/>
        <v>4676847</v>
      </c>
      <c r="L122" s="38">
        <f t="shared" si="51"/>
        <v>0</v>
      </c>
      <c r="M122" s="38">
        <f t="shared" si="51"/>
        <v>102070141</v>
      </c>
      <c r="N122" s="38">
        <f t="shared" si="51"/>
        <v>100034090</v>
      </c>
      <c r="O122" s="38">
        <f>O125</f>
        <v>99318094</v>
      </c>
      <c r="P122" s="38">
        <f t="shared" si="51"/>
        <v>2036051</v>
      </c>
      <c r="Q122" s="53"/>
      <c r="R122" s="53"/>
      <c r="S122" s="20"/>
      <c r="T122" s="20"/>
      <c r="U122" s="20"/>
    </row>
    <row r="123" spans="1:21" s="14" customFormat="1" ht="14.25">
      <c r="A123" s="772"/>
      <c r="B123" s="759"/>
      <c r="C123" s="65" t="s">
        <v>6</v>
      </c>
      <c r="D123" s="37">
        <f t="shared" si="51"/>
        <v>2417561</v>
      </c>
      <c r="E123" s="38">
        <f t="shared" si="51"/>
        <v>2417561</v>
      </c>
      <c r="F123" s="38">
        <f t="shared" si="51"/>
        <v>2417561</v>
      </c>
      <c r="G123" s="38">
        <f t="shared" si="51"/>
        <v>0</v>
      </c>
      <c r="H123" s="38">
        <f t="shared" si="51"/>
        <v>2417561</v>
      </c>
      <c r="I123" s="38">
        <f t="shared" si="51"/>
        <v>0</v>
      </c>
      <c r="J123" s="38">
        <f t="shared" si="51"/>
        <v>0</v>
      </c>
      <c r="K123" s="38">
        <f t="shared" si="51"/>
        <v>0</v>
      </c>
      <c r="L123" s="38">
        <f t="shared" si="51"/>
        <v>0</v>
      </c>
      <c r="M123" s="38">
        <f t="shared" si="51"/>
        <v>0</v>
      </c>
      <c r="N123" s="38">
        <f t="shared" si="51"/>
        <v>0</v>
      </c>
      <c r="O123" s="38">
        <f t="shared" si="51"/>
        <v>0</v>
      </c>
      <c r="P123" s="38">
        <f t="shared" si="51"/>
        <v>0</v>
      </c>
      <c r="Q123" s="53"/>
      <c r="R123" s="53"/>
      <c r="S123" s="20"/>
      <c r="T123" s="20"/>
      <c r="U123" s="20"/>
    </row>
    <row r="124" spans="1:21" s="14" customFormat="1" ht="14.25">
      <c r="A124" s="773"/>
      <c r="B124" s="760"/>
      <c r="C124" s="65" t="s">
        <v>7</v>
      </c>
      <c r="D124" s="37">
        <f>D122+D123</f>
        <v>110896454</v>
      </c>
      <c r="E124" s="38">
        <f t="shared" ref="E124:P124" si="52">E122+E123</f>
        <v>8826313</v>
      </c>
      <c r="F124" s="38">
        <f t="shared" si="52"/>
        <v>4149466</v>
      </c>
      <c r="G124" s="38">
        <f t="shared" si="52"/>
        <v>0</v>
      </c>
      <c r="H124" s="38">
        <f t="shared" si="52"/>
        <v>4149466</v>
      </c>
      <c r="I124" s="38">
        <f t="shared" si="52"/>
        <v>0</v>
      </c>
      <c r="J124" s="38">
        <f t="shared" si="52"/>
        <v>0</v>
      </c>
      <c r="K124" s="38">
        <f t="shared" si="52"/>
        <v>4676847</v>
      </c>
      <c r="L124" s="38">
        <f t="shared" si="52"/>
        <v>0</v>
      </c>
      <c r="M124" s="38">
        <f t="shared" si="52"/>
        <v>102070141</v>
      </c>
      <c r="N124" s="38">
        <f t="shared" si="52"/>
        <v>100034090</v>
      </c>
      <c r="O124" s="38">
        <f t="shared" si="52"/>
        <v>99318094</v>
      </c>
      <c r="P124" s="38">
        <f t="shared" si="52"/>
        <v>2036051</v>
      </c>
      <c r="Q124" s="53"/>
      <c r="R124" s="53"/>
      <c r="S124" s="20"/>
      <c r="T124" s="20"/>
      <c r="U124" s="20"/>
    </row>
    <row r="125" spans="1:21" s="36" customFormat="1" ht="13.5" customHeight="1">
      <c r="A125" s="762" t="s">
        <v>63</v>
      </c>
      <c r="B125" s="752" t="s">
        <v>43</v>
      </c>
      <c r="C125" s="66" t="s">
        <v>5</v>
      </c>
      <c r="D125" s="31">
        <f>E125+M125</f>
        <v>108478893</v>
      </c>
      <c r="E125" s="32">
        <f>F125+I125+J125+K125+L125</f>
        <v>6408752</v>
      </c>
      <c r="F125" s="32">
        <f>G125+H125</f>
        <v>1731905</v>
      </c>
      <c r="G125" s="32">
        <v>0</v>
      </c>
      <c r="H125" s="32">
        <f>8900+565681+851263+22593+159708+123760</f>
        <v>1731905</v>
      </c>
      <c r="I125" s="32">
        <v>0</v>
      </c>
      <c r="J125" s="32">
        <v>0</v>
      </c>
      <c r="K125" s="32">
        <v>4676847</v>
      </c>
      <c r="L125" s="32">
        <v>0</v>
      </c>
      <c r="M125" s="32">
        <f>N125+P125</f>
        <v>102070141</v>
      </c>
      <c r="N125" s="32">
        <v>100034090</v>
      </c>
      <c r="O125" s="32">
        <v>99318094</v>
      </c>
      <c r="P125" s="32">
        <v>2036051</v>
      </c>
      <c r="Q125" s="58"/>
      <c r="R125" s="58"/>
      <c r="S125" s="35"/>
      <c r="T125" s="35"/>
      <c r="U125" s="35"/>
    </row>
    <row r="126" spans="1:21" s="36" customFormat="1" ht="13.5" customHeight="1">
      <c r="A126" s="763"/>
      <c r="B126" s="753"/>
      <c r="C126" s="66" t="s">
        <v>6</v>
      </c>
      <c r="D126" s="31">
        <f>E126+M126</f>
        <v>2417561</v>
      </c>
      <c r="E126" s="32">
        <f>F126+I126+J126+K126+L126</f>
        <v>2417561</v>
      </c>
      <c r="F126" s="32">
        <f>G126+H126</f>
        <v>2417561</v>
      </c>
      <c r="G126" s="32"/>
      <c r="H126" s="32">
        <v>2417561</v>
      </c>
      <c r="I126" s="32"/>
      <c r="J126" s="32"/>
      <c r="K126" s="32"/>
      <c r="L126" s="32"/>
      <c r="M126" s="32">
        <f>N126+P126</f>
        <v>0</v>
      </c>
      <c r="N126" s="32"/>
      <c r="O126" s="32"/>
      <c r="P126" s="32"/>
      <c r="Q126" s="58"/>
      <c r="R126" s="58"/>
      <c r="S126" s="35"/>
      <c r="T126" s="35"/>
      <c r="U126" s="35"/>
    </row>
    <row r="127" spans="1:21" s="36" customFormat="1" ht="13.5" customHeight="1">
      <c r="A127" s="764"/>
      <c r="B127" s="754"/>
      <c r="C127" s="66" t="s">
        <v>7</v>
      </c>
      <c r="D127" s="31">
        <f>D125+D126</f>
        <v>110896454</v>
      </c>
      <c r="E127" s="32">
        <f t="shared" ref="E127:P127" si="53">E125+E126</f>
        <v>8826313</v>
      </c>
      <c r="F127" s="32">
        <f t="shared" si="53"/>
        <v>4149466</v>
      </c>
      <c r="G127" s="32">
        <f t="shared" si="53"/>
        <v>0</v>
      </c>
      <c r="H127" s="32">
        <f t="shared" si="53"/>
        <v>4149466</v>
      </c>
      <c r="I127" s="32">
        <f t="shared" si="53"/>
        <v>0</v>
      </c>
      <c r="J127" s="32">
        <f t="shared" si="53"/>
        <v>0</v>
      </c>
      <c r="K127" s="32">
        <f t="shared" si="53"/>
        <v>4676847</v>
      </c>
      <c r="L127" s="32">
        <f t="shared" si="53"/>
        <v>0</v>
      </c>
      <c r="M127" s="32">
        <f t="shared" si="53"/>
        <v>102070141</v>
      </c>
      <c r="N127" s="32">
        <f t="shared" si="53"/>
        <v>100034090</v>
      </c>
      <c r="O127" s="32">
        <f t="shared" si="53"/>
        <v>99318094</v>
      </c>
      <c r="P127" s="32">
        <f t="shared" si="53"/>
        <v>2036051</v>
      </c>
      <c r="Q127" s="58"/>
      <c r="R127" s="58"/>
      <c r="S127" s="35"/>
      <c r="T127" s="35"/>
      <c r="U127" s="35"/>
    </row>
    <row r="128" spans="1:21" s="14" customFormat="1" ht="14.25">
      <c r="A128" s="771" t="s">
        <v>190</v>
      </c>
      <c r="B128" s="758" t="s">
        <v>191</v>
      </c>
      <c r="C128" s="65" t="s">
        <v>5</v>
      </c>
      <c r="D128" s="37">
        <f t="shared" ref="D128:P129" si="54">D134+D131</f>
        <v>3650000</v>
      </c>
      <c r="E128" s="38">
        <f t="shared" si="54"/>
        <v>200000</v>
      </c>
      <c r="F128" s="38">
        <f t="shared" si="54"/>
        <v>0</v>
      </c>
      <c r="G128" s="38">
        <f t="shared" si="54"/>
        <v>0</v>
      </c>
      <c r="H128" s="38">
        <f t="shared" si="54"/>
        <v>0</v>
      </c>
      <c r="I128" s="38">
        <f t="shared" si="54"/>
        <v>200000</v>
      </c>
      <c r="J128" s="38">
        <f t="shared" si="54"/>
        <v>0</v>
      </c>
      <c r="K128" s="38">
        <f t="shared" si="54"/>
        <v>0</v>
      </c>
      <c r="L128" s="38">
        <f t="shared" si="54"/>
        <v>0</v>
      </c>
      <c r="M128" s="38">
        <f t="shared" si="54"/>
        <v>3450000</v>
      </c>
      <c r="N128" s="38">
        <f t="shared" si="54"/>
        <v>3450000</v>
      </c>
      <c r="O128" s="38">
        <f t="shared" si="54"/>
        <v>0</v>
      </c>
      <c r="P128" s="38">
        <f t="shared" si="54"/>
        <v>0</v>
      </c>
      <c r="Q128" s="53"/>
      <c r="R128" s="53"/>
      <c r="S128" s="20"/>
      <c r="T128" s="20"/>
      <c r="U128" s="20"/>
    </row>
    <row r="129" spans="1:21" s="14" customFormat="1" ht="14.25">
      <c r="A129" s="772"/>
      <c r="B129" s="759"/>
      <c r="C129" s="65" t="s">
        <v>6</v>
      </c>
      <c r="D129" s="37">
        <f t="shared" si="54"/>
        <v>100000</v>
      </c>
      <c r="E129" s="38">
        <f t="shared" si="54"/>
        <v>0</v>
      </c>
      <c r="F129" s="38">
        <f t="shared" si="54"/>
        <v>0</v>
      </c>
      <c r="G129" s="38">
        <f t="shared" si="54"/>
        <v>0</v>
      </c>
      <c r="H129" s="38">
        <f t="shared" si="54"/>
        <v>0</v>
      </c>
      <c r="I129" s="38">
        <f t="shared" si="54"/>
        <v>0</v>
      </c>
      <c r="J129" s="38">
        <f t="shared" si="54"/>
        <v>0</v>
      </c>
      <c r="K129" s="38">
        <f t="shared" si="54"/>
        <v>0</v>
      </c>
      <c r="L129" s="38">
        <f t="shared" si="54"/>
        <v>0</v>
      </c>
      <c r="M129" s="38">
        <f t="shared" si="54"/>
        <v>100000</v>
      </c>
      <c r="N129" s="38">
        <f t="shared" si="54"/>
        <v>0</v>
      </c>
      <c r="O129" s="38">
        <f t="shared" si="54"/>
        <v>0</v>
      </c>
      <c r="P129" s="38">
        <f t="shared" si="54"/>
        <v>100000</v>
      </c>
      <c r="Q129" s="53"/>
      <c r="R129" s="53"/>
      <c r="S129" s="20"/>
      <c r="T129" s="20"/>
      <c r="U129" s="20"/>
    </row>
    <row r="130" spans="1:21" s="14" customFormat="1" ht="14.25">
      <c r="A130" s="773"/>
      <c r="B130" s="760"/>
      <c r="C130" s="65" t="s">
        <v>7</v>
      </c>
      <c r="D130" s="37">
        <f>D128+D129</f>
        <v>3750000</v>
      </c>
      <c r="E130" s="38">
        <f t="shared" ref="E130:P130" si="55">E128+E129</f>
        <v>200000</v>
      </c>
      <c r="F130" s="38">
        <f t="shared" si="55"/>
        <v>0</v>
      </c>
      <c r="G130" s="38">
        <f t="shared" si="55"/>
        <v>0</v>
      </c>
      <c r="H130" s="38">
        <f t="shared" si="55"/>
        <v>0</v>
      </c>
      <c r="I130" s="38">
        <f t="shared" si="55"/>
        <v>200000</v>
      </c>
      <c r="J130" s="38">
        <f t="shared" si="55"/>
        <v>0</v>
      </c>
      <c r="K130" s="38">
        <f t="shared" si="55"/>
        <v>0</v>
      </c>
      <c r="L130" s="38">
        <f t="shared" si="55"/>
        <v>0</v>
      </c>
      <c r="M130" s="38">
        <f t="shared" si="55"/>
        <v>3550000</v>
      </c>
      <c r="N130" s="38">
        <f t="shared" si="55"/>
        <v>3450000</v>
      </c>
      <c r="O130" s="38">
        <f t="shared" si="55"/>
        <v>0</v>
      </c>
      <c r="P130" s="38">
        <f t="shared" si="55"/>
        <v>100000</v>
      </c>
      <c r="Q130" s="53"/>
      <c r="R130" s="53"/>
      <c r="S130" s="20"/>
      <c r="T130" s="20"/>
      <c r="U130" s="20"/>
    </row>
    <row r="131" spans="1:21" s="36" customFormat="1" ht="13.5" hidden="1" customHeight="1">
      <c r="A131" s="762" t="s">
        <v>192</v>
      </c>
      <c r="B131" s="752" t="s">
        <v>193</v>
      </c>
      <c r="C131" s="66" t="s">
        <v>5</v>
      </c>
      <c r="D131" s="31">
        <f>E131+M131</f>
        <v>200000</v>
      </c>
      <c r="E131" s="32">
        <f>F131+I131+J131+K131+L131</f>
        <v>200000</v>
      </c>
      <c r="F131" s="32">
        <f>G131+H131</f>
        <v>0</v>
      </c>
      <c r="G131" s="32">
        <v>0</v>
      </c>
      <c r="H131" s="32">
        <v>0</v>
      </c>
      <c r="I131" s="32">
        <v>200000</v>
      </c>
      <c r="J131" s="32">
        <v>0</v>
      </c>
      <c r="K131" s="32">
        <v>0</v>
      </c>
      <c r="L131" s="32">
        <v>0</v>
      </c>
      <c r="M131" s="32">
        <f>N131+P131</f>
        <v>0</v>
      </c>
      <c r="N131" s="32">
        <v>0</v>
      </c>
      <c r="O131" s="32">
        <v>0</v>
      </c>
      <c r="P131" s="32">
        <v>0</v>
      </c>
      <c r="Q131" s="58"/>
      <c r="R131" s="58"/>
      <c r="S131" s="35"/>
      <c r="T131" s="35"/>
      <c r="U131" s="35"/>
    </row>
    <row r="132" spans="1:21" s="36" customFormat="1" ht="13.5" hidden="1" customHeight="1">
      <c r="A132" s="763"/>
      <c r="B132" s="753"/>
      <c r="C132" s="66" t="s">
        <v>6</v>
      </c>
      <c r="D132" s="31">
        <f>E132+M132</f>
        <v>0</v>
      </c>
      <c r="E132" s="32">
        <f>F132+I132+J132+K132+L132</f>
        <v>0</v>
      </c>
      <c r="F132" s="32">
        <f>G132+H132</f>
        <v>0</v>
      </c>
      <c r="G132" s="32"/>
      <c r="H132" s="32"/>
      <c r="I132" s="32"/>
      <c r="J132" s="32"/>
      <c r="K132" s="32"/>
      <c r="L132" s="32"/>
      <c r="M132" s="32">
        <f>N132+P132</f>
        <v>0</v>
      </c>
      <c r="N132" s="32"/>
      <c r="O132" s="32"/>
      <c r="P132" s="32"/>
      <c r="Q132" s="58"/>
      <c r="R132" s="58"/>
      <c r="S132" s="35"/>
      <c r="T132" s="35"/>
      <c r="U132" s="35"/>
    </row>
    <row r="133" spans="1:21" s="36" customFormat="1" ht="13.5" hidden="1" customHeight="1">
      <c r="A133" s="764"/>
      <c r="B133" s="754"/>
      <c r="C133" s="66" t="s">
        <v>7</v>
      </c>
      <c r="D133" s="31">
        <f>D131+D132</f>
        <v>200000</v>
      </c>
      <c r="E133" s="32">
        <f t="shared" ref="E133:P133" si="56">E131+E132</f>
        <v>200000</v>
      </c>
      <c r="F133" s="32">
        <f t="shared" si="56"/>
        <v>0</v>
      </c>
      <c r="G133" s="32">
        <f t="shared" si="56"/>
        <v>0</v>
      </c>
      <c r="H133" s="32">
        <f t="shared" si="56"/>
        <v>0</v>
      </c>
      <c r="I133" s="32">
        <f t="shared" si="56"/>
        <v>200000</v>
      </c>
      <c r="J133" s="32">
        <f t="shared" si="56"/>
        <v>0</v>
      </c>
      <c r="K133" s="32">
        <f t="shared" si="56"/>
        <v>0</v>
      </c>
      <c r="L133" s="32">
        <f t="shared" si="56"/>
        <v>0</v>
      </c>
      <c r="M133" s="32">
        <f t="shared" si="56"/>
        <v>0</v>
      </c>
      <c r="N133" s="32">
        <f t="shared" si="56"/>
        <v>0</v>
      </c>
      <c r="O133" s="32">
        <f t="shared" si="56"/>
        <v>0</v>
      </c>
      <c r="P133" s="32">
        <f t="shared" si="56"/>
        <v>0</v>
      </c>
      <c r="Q133" s="58"/>
      <c r="R133" s="58"/>
      <c r="S133" s="35"/>
      <c r="T133" s="35"/>
      <c r="U133" s="35"/>
    </row>
    <row r="134" spans="1:21" s="36" customFormat="1" ht="13.5" customHeight="1">
      <c r="A134" s="762" t="s">
        <v>194</v>
      </c>
      <c r="B134" s="752" t="s">
        <v>43</v>
      </c>
      <c r="C134" s="66" t="s">
        <v>5</v>
      </c>
      <c r="D134" s="31">
        <f>E134+M134</f>
        <v>3450000</v>
      </c>
      <c r="E134" s="32">
        <f>F134+I134+J134+K134+L134</f>
        <v>0</v>
      </c>
      <c r="F134" s="32">
        <f>G134+H134</f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f>N134+P134</f>
        <v>3450000</v>
      </c>
      <c r="N134" s="32">
        <v>3450000</v>
      </c>
      <c r="O134" s="32">
        <v>0</v>
      </c>
      <c r="P134" s="32">
        <v>0</v>
      </c>
      <c r="Q134" s="58"/>
      <c r="R134" s="58"/>
      <c r="S134" s="35"/>
      <c r="T134" s="35"/>
      <c r="U134" s="35"/>
    </row>
    <row r="135" spans="1:21" s="36" customFormat="1" ht="13.5" customHeight="1">
      <c r="A135" s="763"/>
      <c r="B135" s="753"/>
      <c r="C135" s="66" t="s">
        <v>6</v>
      </c>
      <c r="D135" s="31">
        <f>E135+M135</f>
        <v>100000</v>
      </c>
      <c r="E135" s="32">
        <f>F135+I135+J135+K135+L135</f>
        <v>0</v>
      </c>
      <c r="F135" s="32">
        <f>G135+H135</f>
        <v>0</v>
      </c>
      <c r="G135" s="32"/>
      <c r="H135" s="32"/>
      <c r="I135" s="32"/>
      <c r="J135" s="32"/>
      <c r="K135" s="32"/>
      <c r="L135" s="32"/>
      <c r="M135" s="32">
        <f>N135+P135</f>
        <v>100000</v>
      </c>
      <c r="N135" s="32"/>
      <c r="O135" s="32"/>
      <c r="P135" s="32">
        <v>100000</v>
      </c>
      <c r="Q135" s="58"/>
      <c r="R135" s="58"/>
      <c r="S135" s="35"/>
      <c r="T135" s="35"/>
      <c r="U135" s="35"/>
    </row>
    <row r="136" spans="1:21" s="36" customFormat="1" ht="13.5" customHeight="1">
      <c r="A136" s="764"/>
      <c r="B136" s="754"/>
      <c r="C136" s="66" t="s">
        <v>7</v>
      </c>
      <c r="D136" s="31">
        <f>D134+D135</f>
        <v>3550000</v>
      </c>
      <c r="E136" s="32">
        <f t="shared" ref="E136:P136" si="57">E134+E135</f>
        <v>0</v>
      </c>
      <c r="F136" s="32">
        <f t="shared" si="57"/>
        <v>0</v>
      </c>
      <c r="G136" s="32">
        <f t="shared" si="57"/>
        <v>0</v>
      </c>
      <c r="H136" s="32">
        <f t="shared" si="57"/>
        <v>0</v>
      </c>
      <c r="I136" s="32">
        <f t="shared" si="57"/>
        <v>0</v>
      </c>
      <c r="J136" s="32">
        <f t="shared" si="57"/>
        <v>0</v>
      </c>
      <c r="K136" s="32">
        <f t="shared" si="57"/>
        <v>0</v>
      </c>
      <c r="L136" s="32">
        <f t="shared" si="57"/>
        <v>0</v>
      </c>
      <c r="M136" s="32">
        <f t="shared" si="57"/>
        <v>3550000</v>
      </c>
      <c r="N136" s="32">
        <f t="shared" si="57"/>
        <v>3450000</v>
      </c>
      <c r="O136" s="32">
        <f t="shared" si="57"/>
        <v>0</v>
      </c>
      <c r="P136" s="32">
        <f t="shared" si="57"/>
        <v>100000</v>
      </c>
      <c r="Q136" s="58"/>
      <c r="R136" s="58"/>
      <c r="S136" s="35"/>
      <c r="T136" s="35"/>
      <c r="U136" s="35"/>
    </row>
    <row r="137" spans="1:21" s="14" customFormat="1" ht="15.6" customHeight="1">
      <c r="A137" s="771" t="s">
        <v>20</v>
      </c>
      <c r="B137" s="758" t="s">
        <v>21</v>
      </c>
      <c r="C137" s="65" t="s">
        <v>5</v>
      </c>
      <c r="D137" s="29">
        <f t="shared" ref="D137:P138" si="58">D140+D143+D146+D149+D155+D152</f>
        <v>146616037</v>
      </c>
      <c r="E137" s="30">
        <f t="shared" si="58"/>
        <v>141577662</v>
      </c>
      <c r="F137" s="30">
        <f t="shared" si="58"/>
        <v>55054585</v>
      </c>
      <c r="G137" s="30">
        <f t="shared" si="58"/>
        <v>37103300</v>
      </c>
      <c r="H137" s="30">
        <f t="shared" si="58"/>
        <v>17951285</v>
      </c>
      <c r="I137" s="30">
        <f t="shared" si="58"/>
        <v>135000</v>
      </c>
      <c r="J137" s="30">
        <f t="shared" si="58"/>
        <v>1343000</v>
      </c>
      <c r="K137" s="30">
        <f t="shared" si="58"/>
        <v>85045077</v>
      </c>
      <c r="L137" s="30">
        <f t="shared" si="58"/>
        <v>0</v>
      </c>
      <c r="M137" s="30">
        <f t="shared" si="58"/>
        <v>5038375</v>
      </c>
      <c r="N137" s="30">
        <f t="shared" si="58"/>
        <v>5038375</v>
      </c>
      <c r="O137" s="30">
        <f t="shared" si="58"/>
        <v>180000</v>
      </c>
      <c r="P137" s="30">
        <f t="shared" si="58"/>
        <v>0</v>
      </c>
      <c r="Q137" s="53"/>
      <c r="R137" s="53"/>
      <c r="S137" s="20"/>
      <c r="T137" s="20"/>
      <c r="U137" s="20"/>
    </row>
    <row r="138" spans="1:21" s="14" customFormat="1" ht="15.6" customHeight="1">
      <c r="A138" s="772"/>
      <c r="B138" s="759"/>
      <c r="C138" s="65" t="s">
        <v>6</v>
      </c>
      <c r="D138" s="29">
        <f t="shared" si="58"/>
        <v>-7448698</v>
      </c>
      <c r="E138" s="30">
        <f t="shared" si="58"/>
        <v>-7648698</v>
      </c>
      <c r="F138" s="30">
        <f t="shared" si="58"/>
        <v>350000</v>
      </c>
      <c r="G138" s="30">
        <f t="shared" si="58"/>
        <v>0</v>
      </c>
      <c r="H138" s="30">
        <f t="shared" si="58"/>
        <v>350000</v>
      </c>
      <c r="I138" s="30">
        <f t="shared" si="58"/>
        <v>0</v>
      </c>
      <c r="J138" s="30">
        <f t="shared" si="58"/>
        <v>0</v>
      </c>
      <c r="K138" s="30">
        <f t="shared" si="58"/>
        <v>-7998698</v>
      </c>
      <c r="L138" s="30">
        <f t="shared" si="58"/>
        <v>0</v>
      </c>
      <c r="M138" s="30">
        <f t="shared" si="58"/>
        <v>200000</v>
      </c>
      <c r="N138" s="30">
        <f t="shared" si="58"/>
        <v>200000</v>
      </c>
      <c r="O138" s="30">
        <f t="shared" si="58"/>
        <v>0</v>
      </c>
      <c r="P138" s="30">
        <f t="shared" si="58"/>
        <v>0</v>
      </c>
      <c r="Q138" s="53"/>
      <c r="R138" s="53"/>
      <c r="S138" s="20"/>
      <c r="T138" s="20"/>
      <c r="U138" s="20"/>
    </row>
    <row r="139" spans="1:21" s="14" customFormat="1" ht="15.6" customHeight="1">
      <c r="A139" s="773"/>
      <c r="B139" s="760"/>
      <c r="C139" s="111" t="s">
        <v>7</v>
      </c>
      <c r="D139" s="29">
        <f>D137+D138</f>
        <v>139167339</v>
      </c>
      <c r="E139" s="30">
        <f t="shared" ref="E139:P139" si="59">E137+E138</f>
        <v>133928964</v>
      </c>
      <c r="F139" s="30">
        <f t="shared" si="59"/>
        <v>55404585</v>
      </c>
      <c r="G139" s="30">
        <f t="shared" si="59"/>
        <v>37103300</v>
      </c>
      <c r="H139" s="30">
        <f t="shared" si="59"/>
        <v>18301285</v>
      </c>
      <c r="I139" s="30">
        <f t="shared" si="59"/>
        <v>135000</v>
      </c>
      <c r="J139" s="30">
        <f t="shared" si="59"/>
        <v>1343000</v>
      </c>
      <c r="K139" s="30">
        <f t="shared" si="59"/>
        <v>77046379</v>
      </c>
      <c r="L139" s="30">
        <f t="shared" si="59"/>
        <v>0</v>
      </c>
      <c r="M139" s="30">
        <f t="shared" si="59"/>
        <v>5238375</v>
      </c>
      <c r="N139" s="30">
        <f t="shared" si="59"/>
        <v>5238375</v>
      </c>
      <c r="O139" s="30">
        <f t="shared" si="59"/>
        <v>180000</v>
      </c>
      <c r="P139" s="30">
        <f t="shared" si="59"/>
        <v>0</v>
      </c>
      <c r="Q139" s="53"/>
      <c r="R139" s="53"/>
      <c r="S139" s="20"/>
      <c r="T139" s="20"/>
      <c r="U139" s="20"/>
    </row>
    <row r="140" spans="1:21" s="36" customFormat="1" ht="13.5" hidden="1" customHeight="1">
      <c r="A140" s="762" t="s">
        <v>110</v>
      </c>
      <c r="B140" s="752" t="s">
        <v>111</v>
      </c>
      <c r="C140" s="66" t="s">
        <v>5</v>
      </c>
      <c r="D140" s="31">
        <f t="shared" ref="D140:D156" si="60">E140+M140</f>
        <v>1494000</v>
      </c>
      <c r="E140" s="32">
        <f t="shared" ref="E140:E156" si="61">F140+I140+J140+K140+L140</f>
        <v>1494000</v>
      </c>
      <c r="F140" s="32">
        <f t="shared" ref="F140:F156" si="62">G140+H140</f>
        <v>394000</v>
      </c>
      <c r="G140" s="32">
        <v>33000</v>
      </c>
      <c r="H140" s="32">
        <v>361000</v>
      </c>
      <c r="I140" s="32">
        <v>0</v>
      </c>
      <c r="J140" s="32">
        <v>1100000</v>
      </c>
      <c r="K140" s="32">
        <v>0</v>
      </c>
      <c r="L140" s="32">
        <v>0</v>
      </c>
      <c r="M140" s="32">
        <f t="shared" ref="M140:M156" si="63">N140+P140</f>
        <v>0</v>
      </c>
      <c r="N140" s="32">
        <v>0</v>
      </c>
      <c r="O140" s="32">
        <v>0</v>
      </c>
      <c r="P140" s="32">
        <v>0</v>
      </c>
      <c r="Q140" s="58"/>
      <c r="R140" s="58"/>
      <c r="S140" s="35"/>
      <c r="T140" s="35"/>
      <c r="U140" s="35"/>
    </row>
    <row r="141" spans="1:21" s="36" customFormat="1" ht="13.5" hidden="1" customHeight="1">
      <c r="A141" s="763"/>
      <c r="B141" s="753"/>
      <c r="C141" s="66" t="s">
        <v>6</v>
      </c>
      <c r="D141" s="31">
        <f t="shared" si="60"/>
        <v>0</v>
      </c>
      <c r="E141" s="32">
        <f t="shared" si="61"/>
        <v>0</v>
      </c>
      <c r="F141" s="32">
        <f t="shared" si="62"/>
        <v>0</v>
      </c>
      <c r="G141" s="32"/>
      <c r="H141" s="32"/>
      <c r="I141" s="32"/>
      <c r="J141" s="32"/>
      <c r="K141" s="32"/>
      <c r="L141" s="32"/>
      <c r="M141" s="32">
        <f t="shared" si="63"/>
        <v>0</v>
      </c>
      <c r="N141" s="32"/>
      <c r="O141" s="32"/>
      <c r="P141" s="32"/>
      <c r="Q141" s="58"/>
      <c r="R141" s="58"/>
      <c r="S141" s="35"/>
      <c r="T141" s="35"/>
      <c r="U141" s="35"/>
    </row>
    <row r="142" spans="1:21" s="36" customFormat="1" ht="13.5" hidden="1" customHeight="1">
      <c r="A142" s="764"/>
      <c r="B142" s="754"/>
      <c r="C142" s="66" t="s">
        <v>7</v>
      </c>
      <c r="D142" s="31">
        <f>D140+D141</f>
        <v>1494000</v>
      </c>
      <c r="E142" s="32">
        <f t="shared" ref="E142:P142" si="64">E140+E141</f>
        <v>1494000</v>
      </c>
      <c r="F142" s="32">
        <f t="shared" si="64"/>
        <v>394000</v>
      </c>
      <c r="G142" s="32">
        <f t="shared" si="64"/>
        <v>33000</v>
      </c>
      <c r="H142" s="32">
        <f t="shared" si="64"/>
        <v>361000</v>
      </c>
      <c r="I142" s="32">
        <f t="shared" si="64"/>
        <v>0</v>
      </c>
      <c r="J142" s="32">
        <f t="shared" si="64"/>
        <v>1100000</v>
      </c>
      <c r="K142" s="32">
        <f t="shared" si="64"/>
        <v>0</v>
      </c>
      <c r="L142" s="32">
        <f t="shared" si="64"/>
        <v>0</v>
      </c>
      <c r="M142" s="32">
        <f t="shared" si="64"/>
        <v>0</v>
      </c>
      <c r="N142" s="32">
        <f t="shared" si="64"/>
        <v>0</v>
      </c>
      <c r="O142" s="32">
        <f t="shared" si="64"/>
        <v>0</v>
      </c>
      <c r="P142" s="32">
        <f t="shared" si="64"/>
        <v>0</v>
      </c>
      <c r="Q142" s="58"/>
      <c r="R142" s="58"/>
      <c r="S142" s="35"/>
      <c r="T142" s="35"/>
      <c r="U142" s="35"/>
    </row>
    <row r="143" spans="1:21" s="36" customFormat="1" ht="13.5" customHeight="1">
      <c r="A143" s="762" t="s">
        <v>22</v>
      </c>
      <c r="B143" s="752" t="s">
        <v>112</v>
      </c>
      <c r="C143" s="66" t="s">
        <v>5</v>
      </c>
      <c r="D143" s="31">
        <f t="shared" si="60"/>
        <v>112311489</v>
      </c>
      <c r="E143" s="32">
        <f t="shared" si="61"/>
        <v>107273114</v>
      </c>
      <c r="F143" s="32">
        <f t="shared" si="62"/>
        <v>46037285</v>
      </c>
      <c r="G143" s="32">
        <v>36865000</v>
      </c>
      <c r="H143" s="32">
        <v>9172285</v>
      </c>
      <c r="I143" s="32">
        <v>0</v>
      </c>
      <c r="J143" s="32">
        <v>76000</v>
      </c>
      <c r="K143" s="32">
        <v>61159829</v>
      </c>
      <c r="L143" s="32">
        <v>0</v>
      </c>
      <c r="M143" s="32">
        <f t="shared" si="63"/>
        <v>5038375</v>
      </c>
      <c r="N143" s="32">
        <v>5038375</v>
      </c>
      <c r="O143" s="32">
        <v>180000</v>
      </c>
      <c r="P143" s="32">
        <v>0</v>
      </c>
      <c r="Q143" s="58"/>
      <c r="R143" s="58"/>
      <c r="S143" s="35"/>
      <c r="T143" s="35"/>
      <c r="U143" s="35"/>
    </row>
    <row r="144" spans="1:21" s="36" customFormat="1" ht="13.5" customHeight="1">
      <c r="A144" s="763"/>
      <c r="B144" s="753"/>
      <c r="C144" s="66" t="s">
        <v>6</v>
      </c>
      <c r="D144" s="31">
        <f t="shared" si="60"/>
        <v>-7553925</v>
      </c>
      <c r="E144" s="32">
        <f t="shared" si="61"/>
        <v>-7753925</v>
      </c>
      <c r="F144" s="32">
        <f t="shared" si="62"/>
        <v>0</v>
      </c>
      <c r="G144" s="32"/>
      <c r="H144" s="32"/>
      <c r="I144" s="32"/>
      <c r="J144" s="32"/>
      <c r="K144" s="32">
        <f>500004+88236-7090840-1251325</f>
        <v>-7753925</v>
      </c>
      <c r="L144" s="32"/>
      <c r="M144" s="32">
        <f t="shared" si="63"/>
        <v>200000</v>
      </c>
      <c r="N144" s="32">
        <v>200000</v>
      </c>
      <c r="O144" s="32"/>
      <c r="P144" s="32"/>
      <c r="Q144" s="58"/>
      <c r="R144" s="58"/>
      <c r="S144" s="35"/>
      <c r="T144" s="35"/>
      <c r="U144" s="35"/>
    </row>
    <row r="145" spans="1:21" s="36" customFormat="1" ht="13.5" customHeight="1">
      <c r="A145" s="764"/>
      <c r="B145" s="754"/>
      <c r="C145" s="64" t="s">
        <v>7</v>
      </c>
      <c r="D145" s="31">
        <f>D143+D144</f>
        <v>104757564</v>
      </c>
      <c r="E145" s="32">
        <f t="shared" ref="E145:P145" si="65">E143+E144</f>
        <v>99519189</v>
      </c>
      <c r="F145" s="32">
        <f t="shared" si="65"/>
        <v>46037285</v>
      </c>
      <c r="G145" s="32">
        <f t="shared" si="65"/>
        <v>36865000</v>
      </c>
      <c r="H145" s="32">
        <f t="shared" si="65"/>
        <v>9172285</v>
      </c>
      <c r="I145" s="32">
        <f t="shared" si="65"/>
        <v>0</v>
      </c>
      <c r="J145" s="32">
        <f t="shared" si="65"/>
        <v>76000</v>
      </c>
      <c r="K145" s="32">
        <f t="shared" si="65"/>
        <v>53405904</v>
      </c>
      <c r="L145" s="32">
        <f t="shared" si="65"/>
        <v>0</v>
      </c>
      <c r="M145" s="32">
        <f t="shared" si="65"/>
        <v>5238375</v>
      </c>
      <c r="N145" s="32">
        <f t="shared" si="65"/>
        <v>5238375</v>
      </c>
      <c r="O145" s="32">
        <f t="shared" si="65"/>
        <v>180000</v>
      </c>
      <c r="P145" s="32">
        <f t="shared" si="65"/>
        <v>0</v>
      </c>
      <c r="Q145" s="58"/>
      <c r="R145" s="58"/>
      <c r="S145" s="35"/>
      <c r="T145" s="35"/>
      <c r="U145" s="35"/>
    </row>
    <row r="146" spans="1:21" s="12" customFormat="1" hidden="1">
      <c r="A146" s="762" t="s">
        <v>113</v>
      </c>
      <c r="B146" s="752" t="s">
        <v>114</v>
      </c>
      <c r="C146" s="66" t="s">
        <v>5</v>
      </c>
      <c r="D146" s="31">
        <f t="shared" si="60"/>
        <v>450000</v>
      </c>
      <c r="E146" s="32">
        <f t="shared" si="61"/>
        <v>450000</v>
      </c>
      <c r="F146" s="32">
        <f t="shared" si="62"/>
        <v>450000</v>
      </c>
      <c r="G146" s="32">
        <v>3000</v>
      </c>
      <c r="H146" s="32">
        <f>12000+3300+14100+24000+17500+800+153300+5000+214000+2500+500</f>
        <v>447000</v>
      </c>
      <c r="I146" s="32">
        <v>0</v>
      </c>
      <c r="J146" s="32">
        <v>0</v>
      </c>
      <c r="K146" s="32">
        <v>0</v>
      </c>
      <c r="L146" s="32">
        <v>0</v>
      </c>
      <c r="M146" s="32">
        <f t="shared" si="63"/>
        <v>0</v>
      </c>
      <c r="N146" s="32">
        <v>0</v>
      </c>
      <c r="O146" s="32">
        <v>0</v>
      </c>
      <c r="P146" s="32">
        <v>0</v>
      </c>
      <c r="Q146" s="42"/>
      <c r="R146" s="42"/>
      <c r="S146" s="18"/>
      <c r="T146" s="18"/>
      <c r="U146" s="18"/>
    </row>
    <row r="147" spans="1:21" s="12" customFormat="1" hidden="1">
      <c r="A147" s="763"/>
      <c r="B147" s="753"/>
      <c r="C147" s="66" t="s">
        <v>6</v>
      </c>
      <c r="D147" s="31">
        <f t="shared" si="60"/>
        <v>0</v>
      </c>
      <c r="E147" s="32">
        <f t="shared" si="61"/>
        <v>0</v>
      </c>
      <c r="F147" s="32">
        <f t="shared" si="62"/>
        <v>0</v>
      </c>
      <c r="G147" s="32"/>
      <c r="H147" s="32"/>
      <c r="I147" s="32"/>
      <c r="J147" s="32"/>
      <c r="K147" s="32"/>
      <c r="L147" s="32"/>
      <c r="M147" s="32">
        <f t="shared" si="63"/>
        <v>0</v>
      </c>
      <c r="N147" s="32"/>
      <c r="O147" s="32"/>
      <c r="P147" s="32"/>
      <c r="Q147" s="42"/>
      <c r="R147" s="42"/>
      <c r="S147" s="18"/>
      <c r="T147" s="18"/>
      <c r="U147" s="18"/>
    </row>
    <row r="148" spans="1:21" s="12" customFormat="1" hidden="1">
      <c r="A148" s="764"/>
      <c r="B148" s="754"/>
      <c r="C148" s="66" t="s">
        <v>7</v>
      </c>
      <c r="D148" s="31">
        <f>D146+D147</f>
        <v>450000</v>
      </c>
      <c r="E148" s="32">
        <f t="shared" ref="E148:P148" si="66">E146+E147</f>
        <v>450000</v>
      </c>
      <c r="F148" s="32">
        <f t="shared" si="66"/>
        <v>450000</v>
      </c>
      <c r="G148" s="32">
        <f t="shared" si="66"/>
        <v>3000</v>
      </c>
      <c r="H148" s="32">
        <f t="shared" si="66"/>
        <v>447000</v>
      </c>
      <c r="I148" s="32">
        <f t="shared" si="66"/>
        <v>0</v>
      </c>
      <c r="J148" s="32">
        <f t="shared" si="66"/>
        <v>0</v>
      </c>
      <c r="K148" s="32">
        <f t="shared" si="66"/>
        <v>0</v>
      </c>
      <c r="L148" s="32">
        <f t="shared" si="66"/>
        <v>0</v>
      </c>
      <c r="M148" s="32">
        <f t="shared" si="66"/>
        <v>0</v>
      </c>
      <c r="N148" s="32">
        <f t="shared" si="66"/>
        <v>0</v>
      </c>
      <c r="O148" s="32">
        <f t="shared" si="66"/>
        <v>0</v>
      </c>
      <c r="P148" s="32">
        <f t="shared" si="66"/>
        <v>0</v>
      </c>
      <c r="Q148" s="42"/>
      <c r="R148" s="42"/>
      <c r="S148" s="18"/>
      <c r="T148" s="18"/>
      <c r="U148" s="18"/>
    </row>
    <row r="149" spans="1:21" s="36" customFormat="1" ht="13.5" customHeight="1">
      <c r="A149" s="762" t="s">
        <v>115</v>
      </c>
      <c r="B149" s="752" t="s">
        <v>116</v>
      </c>
      <c r="C149" s="66" t="s">
        <v>5</v>
      </c>
      <c r="D149" s="31">
        <f t="shared" si="60"/>
        <v>28150480</v>
      </c>
      <c r="E149" s="32">
        <f t="shared" si="61"/>
        <v>28150480</v>
      </c>
      <c r="F149" s="32">
        <f t="shared" si="62"/>
        <v>6327500</v>
      </c>
      <c r="G149" s="32">
        <v>100000</v>
      </c>
      <c r="H149" s="32">
        <v>6227500</v>
      </c>
      <c r="I149" s="32">
        <v>0</v>
      </c>
      <c r="J149" s="32">
        <v>0</v>
      </c>
      <c r="K149" s="32">
        <v>21822980</v>
      </c>
      <c r="L149" s="32">
        <v>0</v>
      </c>
      <c r="M149" s="32">
        <f t="shared" si="63"/>
        <v>0</v>
      </c>
      <c r="N149" s="32">
        <v>0</v>
      </c>
      <c r="O149" s="32">
        <v>0</v>
      </c>
      <c r="P149" s="32">
        <v>0</v>
      </c>
      <c r="Q149" s="58"/>
      <c r="R149" s="58"/>
      <c r="S149" s="35"/>
      <c r="T149" s="35"/>
      <c r="U149" s="35"/>
    </row>
    <row r="150" spans="1:21" s="36" customFormat="1" ht="13.5" customHeight="1">
      <c r="A150" s="763"/>
      <c r="B150" s="753"/>
      <c r="C150" s="66" t="s">
        <v>6</v>
      </c>
      <c r="D150" s="31">
        <f t="shared" si="60"/>
        <v>-337021</v>
      </c>
      <c r="E150" s="32">
        <f t="shared" si="61"/>
        <v>-337021</v>
      </c>
      <c r="F150" s="32">
        <f t="shared" si="62"/>
        <v>0</v>
      </c>
      <c r="G150" s="32"/>
      <c r="H150" s="32"/>
      <c r="I150" s="32"/>
      <c r="J150" s="32"/>
      <c r="K150" s="32">
        <f>-237021-100000</f>
        <v>-337021</v>
      </c>
      <c r="L150" s="32"/>
      <c r="M150" s="32">
        <f t="shared" si="63"/>
        <v>0</v>
      </c>
      <c r="N150" s="32"/>
      <c r="O150" s="32"/>
      <c r="P150" s="32"/>
      <c r="Q150" s="58"/>
      <c r="R150" s="58"/>
      <c r="S150" s="35"/>
      <c r="T150" s="35"/>
      <c r="U150" s="35"/>
    </row>
    <row r="151" spans="1:21" s="36" customFormat="1" ht="13.5" customHeight="1">
      <c r="A151" s="764"/>
      <c r="B151" s="754"/>
      <c r="C151" s="64" t="s">
        <v>7</v>
      </c>
      <c r="D151" s="31">
        <f>D149+D150</f>
        <v>27813459</v>
      </c>
      <c r="E151" s="32">
        <f t="shared" ref="E151:P151" si="67">E149+E150</f>
        <v>27813459</v>
      </c>
      <c r="F151" s="32">
        <f t="shared" si="67"/>
        <v>6327500</v>
      </c>
      <c r="G151" s="32">
        <f t="shared" si="67"/>
        <v>100000</v>
      </c>
      <c r="H151" s="32">
        <f t="shared" si="67"/>
        <v>6227500</v>
      </c>
      <c r="I151" s="32">
        <f t="shared" si="67"/>
        <v>0</v>
      </c>
      <c r="J151" s="32">
        <f t="shared" si="67"/>
        <v>0</v>
      </c>
      <c r="K151" s="32">
        <f t="shared" si="67"/>
        <v>21485959</v>
      </c>
      <c r="L151" s="32">
        <f t="shared" si="67"/>
        <v>0</v>
      </c>
      <c r="M151" s="32">
        <f t="shared" si="67"/>
        <v>0</v>
      </c>
      <c r="N151" s="32">
        <f t="shared" si="67"/>
        <v>0</v>
      </c>
      <c r="O151" s="32">
        <f t="shared" si="67"/>
        <v>0</v>
      </c>
      <c r="P151" s="32">
        <f t="shared" si="67"/>
        <v>0</v>
      </c>
      <c r="Q151" s="58"/>
      <c r="R151" s="58"/>
      <c r="S151" s="35"/>
      <c r="T151" s="35"/>
      <c r="U151" s="35"/>
    </row>
    <row r="152" spans="1:21" s="12" customFormat="1" hidden="1">
      <c r="A152" s="762" t="s">
        <v>46</v>
      </c>
      <c r="B152" s="752" t="s">
        <v>47</v>
      </c>
      <c r="C152" s="66" t="s">
        <v>5</v>
      </c>
      <c r="D152" s="31">
        <f t="shared" si="60"/>
        <v>202000</v>
      </c>
      <c r="E152" s="32">
        <f t="shared" si="61"/>
        <v>202000</v>
      </c>
      <c r="F152" s="32">
        <f t="shared" si="62"/>
        <v>192000</v>
      </c>
      <c r="G152" s="32">
        <v>90000</v>
      </c>
      <c r="H152" s="32">
        <f>8000+9000+84000+500+500</f>
        <v>102000</v>
      </c>
      <c r="I152" s="32">
        <v>0</v>
      </c>
      <c r="J152" s="32">
        <v>10000</v>
      </c>
      <c r="K152" s="32">
        <v>0</v>
      </c>
      <c r="L152" s="32">
        <v>0</v>
      </c>
      <c r="M152" s="32">
        <f t="shared" si="63"/>
        <v>0</v>
      </c>
      <c r="N152" s="32">
        <v>0</v>
      </c>
      <c r="O152" s="32">
        <v>0</v>
      </c>
      <c r="P152" s="32">
        <v>0</v>
      </c>
      <c r="Q152" s="42"/>
      <c r="R152" s="42"/>
      <c r="S152" s="18"/>
      <c r="T152" s="18"/>
      <c r="U152" s="18"/>
    </row>
    <row r="153" spans="1:21" s="12" customFormat="1" hidden="1">
      <c r="A153" s="763"/>
      <c r="B153" s="753"/>
      <c r="C153" s="66" t="s">
        <v>6</v>
      </c>
      <c r="D153" s="31">
        <f t="shared" si="60"/>
        <v>0</v>
      </c>
      <c r="E153" s="32">
        <f t="shared" si="61"/>
        <v>0</v>
      </c>
      <c r="F153" s="32">
        <f t="shared" si="62"/>
        <v>0</v>
      </c>
      <c r="G153" s="32"/>
      <c r="H153" s="32"/>
      <c r="I153" s="32"/>
      <c r="J153" s="32"/>
      <c r="K153" s="32"/>
      <c r="L153" s="32"/>
      <c r="M153" s="32">
        <f t="shared" si="63"/>
        <v>0</v>
      </c>
      <c r="N153" s="32"/>
      <c r="O153" s="32"/>
      <c r="P153" s="32"/>
      <c r="Q153" s="42"/>
      <c r="R153" s="42"/>
      <c r="S153" s="18"/>
      <c r="T153" s="18"/>
      <c r="U153" s="18"/>
    </row>
    <row r="154" spans="1:21" s="12" customFormat="1" hidden="1">
      <c r="A154" s="764"/>
      <c r="B154" s="754"/>
      <c r="C154" s="66" t="s">
        <v>7</v>
      </c>
      <c r="D154" s="31">
        <f>D152+D153</f>
        <v>202000</v>
      </c>
      <c r="E154" s="32">
        <f t="shared" ref="E154:P154" si="68">E152+E153</f>
        <v>202000</v>
      </c>
      <c r="F154" s="32">
        <f t="shared" si="68"/>
        <v>192000</v>
      </c>
      <c r="G154" s="32">
        <f t="shared" si="68"/>
        <v>90000</v>
      </c>
      <c r="H154" s="32">
        <f t="shared" si="68"/>
        <v>102000</v>
      </c>
      <c r="I154" s="32">
        <f t="shared" si="68"/>
        <v>0</v>
      </c>
      <c r="J154" s="32">
        <f t="shared" si="68"/>
        <v>10000</v>
      </c>
      <c r="K154" s="32">
        <f t="shared" si="68"/>
        <v>0</v>
      </c>
      <c r="L154" s="32">
        <f t="shared" si="68"/>
        <v>0</v>
      </c>
      <c r="M154" s="32">
        <f t="shared" si="68"/>
        <v>0</v>
      </c>
      <c r="N154" s="32">
        <f t="shared" si="68"/>
        <v>0</v>
      </c>
      <c r="O154" s="32">
        <f t="shared" si="68"/>
        <v>0</v>
      </c>
      <c r="P154" s="32">
        <f t="shared" si="68"/>
        <v>0</v>
      </c>
      <c r="Q154" s="42"/>
      <c r="R154" s="42"/>
      <c r="S154" s="18"/>
      <c r="T154" s="18"/>
      <c r="U154" s="18"/>
    </row>
    <row r="155" spans="1:21" s="36" customFormat="1" ht="13.5" customHeight="1">
      <c r="A155" s="762" t="s">
        <v>117</v>
      </c>
      <c r="B155" s="752" t="s">
        <v>43</v>
      </c>
      <c r="C155" s="66" t="s">
        <v>5</v>
      </c>
      <c r="D155" s="31">
        <f t="shared" si="60"/>
        <v>4008068</v>
      </c>
      <c r="E155" s="32">
        <f t="shared" si="61"/>
        <v>4008068</v>
      </c>
      <c r="F155" s="32">
        <f t="shared" si="62"/>
        <v>1653800</v>
      </c>
      <c r="G155" s="32">
        <v>12300</v>
      </c>
      <c r="H155" s="32">
        <v>1641500</v>
      </c>
      <c r="I155" s="32">
        <v>135000</v>
      </c>
      <c r="J155" s="32">
        <v>157000</v>
      </c>
      <c r="K155" s="32">
        <f>4008068-135000-7000-150000-67600-174000-64200-1225480-10400-103620-8500</f>
        <v>2062268</v>
      </c>
      <c r="L155" s="32">
        <v>0</v>
      </c>
      <c r="M155" s="32">
        <f t="shared" si="63"/>
        <v>0</v>
      </c>
      <c r="N155" s="32">
        <v>0</v>
      </c>
      <c r="O155" s="32">
        <v>0</v>
      </c>
      <c r="P155" s="32">
        <v>0</v>
      </c>
      <c r="Q155" s="58"/>
      <c r="R155" s="58"/>
      <c r="S155" s="35"/>
      <c r="T155" s="35"/>
      <c r="U155" s="35"/>
    </row>
    <row r="156" spans="1:21" s="36" customFormat="1" ht="13.5" customHeight="1">
      <c r="A156" s="763"/>
      <c r="B156" s="753"/>
      <c r="C156" s="66" t="s">
        <v>6</v>
      </c>
      <c r="D156" s="31">
        <f t="shared" si="60"/>
        <v>442248</v>
      </c>
      <c r="E156" s="32">
        <f t="shared" si="61"/>
        <v>442248</v>
      </c>
      <c r="F156" s="32">
        <f t="shared" si="62"/>
        <v>350000</v>
      </c>
      <c r="G156" s="32"/>
      <c r="H156" s="32">
        <v>350000</v>
      </c>
      <c r="I156" s="32"/>
      <c r="J156" s="32"/>
      <c r="K156" s="32">
        <f>442248-350000</f>
        <v>92248</v>
      </c>
      <c r="L156" s="32"/>
      <c r="M156" s="32">
        <f t="shared" si="63"/>
        <v>0</v>
      </c>
      <c r="N156" s="32"/>
      <c r="O156" s="32"/>
      <c r="P156" s="32"/>
      <c r="Q156" s="58"/>
      <c r="R156" s="58"/>
      <c r="S156" s="35"/>
      <c r="T156" s="35"/>
      <c r="U156" s="35"/>
    </row>
    <row r="157" spans="1:21" s="36" customFormat="1" ht="13.5" customHeight="1">
      <c r="A157" s="764"/>
      <c r="B157" s="754"/>
      <c r="C157" s="66" t="s">
        <v>7</v>
      </c>
      <c r="D157" s="31">
        <f>D155+D156</f>
        <v>4450316</v>
      </c>
      <c r="E157" s="32">
        <f t="shared" ref="E157:P157" si="69">E155+E156</f>
        <v>4450316</v>
      </c>
      <c r="F157" s="32">
        <f t="shared" si="69"/>
        <v>2003800</v>
      </c>
      <c r="G157" s="32">
        <f t="shared" si="69"/>
        <v>12300</v>
      </c>
      <c r="H157" s="32">
        <f t="shared" si="69"/>
        <v>1991500</v>
      </c>
      <c r="I157" s="32">
        <f t="shared" si="69"/>
        <v>135000</v>
      </c>
      <c r="J157" s="32">
        <f t="shared" si="69"/>
        <v>157000</v>
      </c>
      <c r="K157" s="32">
        <f t="shared" si="69"/>
        <v>2154516</v>
      </c>
      <c r="L157" s="32">
        <f t="shared" si="69"/>
        <v>0</v>
      </c>
      <c r="M157" s="32">
        <f t="shared" si="69"/>
        <v>0</v>
      </c>
      <c r="N157" s="32">
        <f t="shared" si="69"/>
        <v>0</v>
      </c>
      <c r="O157" s="32">
        <f t="shared" si="69"/>
        <v>0</v>
      </c>
      <c r="P157" s="32">
        <f t="shared" si="69"/>
        <v>0</v>
      </c>
      <c r="Q157" s="58"/>
      <c r="R157" s="58"/>
      <c r="S157" s="35"/>
      <c r="T157" s="35"/>
      <c r="U157" s="35"/>
    </row>
    <row r="158" spans="1:21" s="14" customFormat="1" ht="14.25" hidden="1">
      <c r="A158" s="771" t="s">
        <v>48</v>
      </c>
      <c r="B158" s="758" t="s">
        <v>49</v>
      </c>
      <c r="C158" s="65" t="s">
        <v>5</v>
      </c>
      <c r="D158" s="29">
        <f t="shared" ref="D158:P159" si="70">D161</f>
        <v>5000</v>
      </c>
      <c r="E158" s="30">
        <f t="shared" si="70"/>
        <v>5000</v>
      </c>
      <c r="F158" s="30">
        <f t="shared" si="70"/>
        <v>5000</v>
      </c>
      <c r="G158" s="30">
        <f t="shared" si="70"/>
        <v>0</v>
      </c>
      <c r="H158" s="30">
        <f t="shared" si="70"/>
        <v>5000</v>
      </c>
      <c r="I158" s="30">
        <f t="shared" si="70"/>
        <v>0</v>
      </c>
      <c r="J158" s="30">
        <f t="shared" si="70"/>
        <v>0</v>
      </c>
      <c r="K158" s="30">
        <f t="shared" si="70"/>
        <v>0</v>
      </c>
      <c r="L158" s="30">
        <f t="shared" si="70"/>
        <v>0</v>
      </c>
      <c r="M158" s="30">
        <f t="shared" si="70"/>
        <v>0</v>
      </c>
      <c r="N158" s="30">
        <f t="shared" si="70"/>
        <v>0</v>
      </c>
      <c r="O158" s="30">
        <f>O161</f>
        <v>0</v>
      </c>
      <c r="P158" s="30">
        <f t="shared" si="70"/>
        <v>0</v>
      </c>
      <c r="Q158" s="53"/>
      <c r="R158" s="53"/>
      <c r="S158" s="20"/>
      <c r="T158" s="20"/>
      <c r="U158" s="20"/>
    </row>
    <row r="159" spans="1:21" s="14" customFormat="1" ht="14.25" hidden="1">
      <c r="A159" s="772"/>
      <c r="B159" s="759"/>
      <c r="C159" s="65" t="s">
        <v>6</v>
      </c>
      <c r="D159" s="29">
        <f t="shared" si="70"/>
        <v>0</v>
      </c>
      <c r="E159" s="30">
        <f t="shared" si="70"/>
        <v>0</v>
      </c>
      <c r="F159" s="30">
        <f t="shared" si="70"/>
        <v>0</v>
      </c>
      <c r="G159" s="30">
        <f t="shared" si="70"/>
        <v>0</v>
      </c>
      <c r="H159" s="30">
        <f t="shared" si="70"/>
        <v>0</v>
      </c>
      <c r="I159" s="30">
        <f t="shared" si="70"/>
        <v>0</v>
      </c>
      <c r="J159" s="30">
        <f t="shared" si="70"/>
        <v>0</v>
      </c>
      <c r="K159" s="30">
        <f t="shared" si="70"/>
        <v>0</v>
      </c>
      <c r="L159" s="30">
        <f t="shared" si="70"/>
        <v>0</v>
      </c>
      <c r="M159" s="30">
        <f t="shared" si="70"/>
        <v>0</v>
      </c>
      <c r="N159" s="30">
        <f t="shared" si="70"/>
        <v>0</v>
      </c>
      <c r="O159" s="30">
        <f t="shared" si="70"/>
        <v>0</v>
      </c>
      <c r="P159" s="30">
        <f t="shared" si="70"/>
        <v>0</v>
      </c>
      <c r="Q159" s="53"/>
      <c r="R159" s="53"/>
      <c r="S159" s="20"/>
      <c r="T159" s="20"/>
      <c r="U159" s="20"/>
    </row>
    <row r="160" spans="1:21" s="14" customFormat="1" ht="14.25" hidden="1">
      <c r="A160" s="773"/>
      <c r="B160" s="760"/>
      <c r="C160" s="65" t="s">
        <v>7</v>
      </c>
      <c r="D160" s="29">
        <f>D158+D159</f>
        <v>5000</v>
      </c>
      <c r="E160" s="30">
        <f t="shared" ref="E160:P160" si="71">E158+E159</f>
        <v>5000</v>
      </c>
      <c r="F160" s="30">
        <f t="shared" si="71"/>
        <v>5000</v>
      </c>
      <c r="G160" s="30">
        <f t="shared" si="71"/>
        <v>0</v>
      </c>
      <c r="H160" s="30">
        <f t="shared" si="71"/>
        <v>5000</v>
      </c>
      <c r="I160" s="30">
        <f t="shared" si="71"/>
        <v>0</v>
      </c>
      <c r="J160" s="30">
        <f t="shared" si="71"/>
        <v>0</v>
      </c>
      <c r="K160" s="30">
        <f t="shared" si="71"/>
        <v>0</v>
      </c>
      <c r="L160" s="30">
        <f t="shared" si="71"/>
        <v>0</v>
      </c>
      <c r="M160" s="30">
        <f t="shared" si="71"/>
        <v>0</v>
      </c>
      <c r="N160" s="30">
        <f t="shared" si="71"/>
        <v>0</v>
      </c>
      <c r="O160" s="30">
        <f t="shared" si="71"/>
        <v>0</v>
      </c>
      <c r="P160" s="30">
        <f t="shared" si="71"/>
        <v>0</v>
      </c>
      <c r="Q160" s="53"/>
      <c r="R160" s="53"/>
      <c r="S160" s="20"/>
      <c r="T160" s="20"/>
      <c r="U160" s="20"/>
    </row>
    <row r="161" spans="1:21" s="36" customFormat="1" ht="13.5" hidden="1" customHeight="1">
      <c r="A161" s="762" t="s">
        <v>50</v>
      </c>
      <c r="B161" s="752" t="s">
        <v>51</v>
      </c>
      <c r="C161" s="66" t="s">
        <v>5</v>
      </c>
      <c r="D161" s="31">
        <f>E161+M161</f>
        <v>5000</v>
      </c>
      <c r="E161" s="32">
        <f>F161+I161+J161+K161+L161</f>
        <v>5000</v>
      </c>
      <c r="F161" s="32">
        <f>G161+H161</f>
        <v>5000</v>
      </c>
      <c r="G161" s="32">
        <v>0</v>
      </c>
      <c r="H161" s="32">
        <v>5000</v>
      </c>
      <c r="I161" s="32">
        <v>0</v>
      </c>
      <c r="J161" s="32">
        <v>0</v>
      </c>
      <c r="K161" s="32">
        <v>0</v>
      </c>
      <c r="L161" s="32">
        <v>0</v>
      </c>
      <c r="M161" s="32">
        <f>N161+P161</f>
        <v>0</v>
      </c>
      <c r="N161" s="32">
        <v>0</v>
      </c>
      <c r="O161" s="32">
        <v>0</v>
      </c>
      <c r="P161" s="32">
        <v>0</v>
      </c>
      <c r="Q161" s="58"/>
      <c r="R161" s="58"/>
      <c r="S161" s="35"/>
      <c r="T161" s="35"/>
      <c r="U161" s="35"/>
    </row>
    <row r="162" spans="1:21" s="36" customFormat="1" ht="13.5" hidden="1" customHeight="1">
      <c r="A162" s="763"/>
      <c r="B162" s="753"/>
      <c r="C162" s="66" t="s">
        <v>6</v>
      </c>
      <c r="D162" s="31">
        <f>E162+M162</f>
        <v>0</v>
      </c>
      <c r="E162" s="32">
        <f>F162+I162+J162+K162+L162</f>
        <v>0</v>
      </c>
      <c r="F162" s="32">
        <f>G162+H162</f>
        <v>0</v>
      </c>
      <c r="G162" s="32"/>
      <c r="H162" s="32"/>
      <c r="I162" s="32"/>
      <c r="J162" s="32"/>
      <c r="K162" s="32"/>
      <c r="L162" s="32"/>
      <c r="M162" s="32">
        <f>N162+P162</f>
        <v>0</v>
      </c>
      <c r="N162" s="32"/>
      <c r="O162" s="32"/>
      <c r="P162" s="32"/>
      <c r="Q162" s="58"/>
      <c r="R162" s="58"/>
      <c r="S162" s="35"/>
      <c r="T162" s="35"/>
      <c r="U162" s="35"/>
    </row>
    <row r="163" spans="1:21" s="36" customFormat="1" ht="13.5" hidden="1" customHeight="1">
      <c r="A163" s="764"/>
      <c r="B163" s="754"/>
      <c r="C163" s="66" t="s">
        <v>7</v>
      </c>
      <c r="D163" s="31">
        <f>D161+D162</f>
        <v>5000</v>
      </c>
      <c r="E163" s="32">
        <f t="shared" ref="E163:P163" si="72">E161+E162</f>
        <v>5000</v>
      </c>
      <c r="F163" s="32">
        <f t="shared" si="72"/>
        <v>5000</v>
      </c>
      <c r="G163" s="32">
        <f t="shared" si="72"/>
        <v>0</v>
      </c>
      <c r="H163" s="32">
        <f t="shared" si="72"/>
        <v>5000</v>
      </c>
      <c r="I163" s="32">
        <f t="shared" si="72"/>
        <v>0</v>
      </c>
      <c r="J163" s="32">
        <f t="shared" si="72"/>
        <v>0</v>
      </c>
      <c r="K163" s="32">
        <f t="shared" si="72"/>
        <v>0</v>
      </c>
      <c r="L163" s="32">
        <f t="shared" si="72"/>
        <v>0</v>
      </c>
      <c r="M163" s="32">
        <f t="shared" si="72"/>
        <v>0</v>
      </c>
      <c r="N163" s="32">
        <f t="shared" si="72"/>
        <v>0</v>
      </c>
      <c r="O163" s="32">
        <f t="shared" si="72"/>
        <v>0</v>
      </c>
      <c r="P163" s="32">
        <f t="shared" si="72"/>
        <v>0</v>
      </c>
      <c r="Q163" s="58"/>
      <c r="R163" s="58"/>
      <c r="S163" s="35"/>
      <c r="T163" s="35"/>
      <c r="U163" s="35"/>
    </row>
    <row r="164" spans="1:21" s="14" customFormat="1" ht="14.25" hidden="1">
      <c r="A164" s="771" t="s">
        <v>118</v>
      </c>
      <c r="B164" s="758" t="s">
        <v>119</v>
      </c>
      <c r="C164" s="65" t="s">
        <v>5</v>
      </c>
      <c r="D164" s="29">
        <f>D170+D167</f>
        <v>1282995</v>
      </c>
      <c r="E164" s="30">
        <f t="shared" ref="E164:P165" si="73">E170+E167</f>
        <v>245000</v>
      </c>
      <c r="F164" s="30">
        <f t="shared" si="73"/>
        <v>245000</v>
      </c>
      <c r="G164" s="30">
        <f t="shared" si="73"/>
        <v>0</v>
      </c>
      <c r="H164" s="30">
        <f t="shared" si="73"/>
        <v>245000</v>
      </c>
      <c r="I164" s="30">
        <f t="shared" si="73"/>
        <v>0</v>
      </c>
      <c r="J164" s="30">
        <f t="shared" si="73"/>
        <v>0</v>
      </c>
      <c r="K164" s="30">
        <f t="shared" si="73"/>
        <v>0</v>
      </c>
      <c r="L164" s="30">
        <f t="shared" si="73"/>
        <v>0</v>
      </c>
      <c r="M164" s="30">
        <f t="shared" si="73"/>
        <v>1037995</v>
      </c>
      <c r="N164" s="30">
        <f t="shared" si="73"/>
        <v>1037995</v>
      </c>
      <c r="O164" s="30">
        <f t="shared" si="73"/>
        <v>1037995</v>
      </c>
      <c r="P164" s="30">
        <f t="shared" si="73"/>
        <v>0</v>
      </c>
      <c r="Q164" s="53"/>
      <c r="R164" s="53"/>
      <c r="S164" s="20"/>
      <c r="T164" s="20"/>
      <c r="U164" s="20"/>
    </row>
    <row r="165" spans="1:21" s="14" customFormat="1" ht="14.25" hidden="1">
      <c r="A165" s="772"/>
      <c r="B165" s="759"/>
      <c r="C165" s="65" t="s">
        <v>6</v>
      </c>
      <c r="D165" s="29">
        <f>D171+D168</f>
        <v>0</v>
      </c>
      <c r="E165" s="30">
        <f t="shared" si="73"/>
        <v>0</v>
      </c>
      <c r="F165" s="30">
        <f t="shared" si="73"/>
        <v>0</v>
      </c>
      <c r="G165" s="30">
        <f t="shared" si="73"/>
        <v>0</v>
      </c>
      <c r="H165" s="30">
        <f t="shared" si="73"/>
        <v>0</v>
      </c>
      <c r="I165" s="30">
        <f t="shared" si="73"/>
        <v>0</v>
      </c>
      <c r="J165" s="30">
        <f t="shared" si="73"/>
        <v>0</v>
      </c>
      <c r="K165" s="30">
        <f t="shared" si="73"/>
        <v>0</v>
      </c>
      <c r="L165" s="30">
        <f t="shared" si="73"/>
        <v>0</v>
      </c>
      <c r="M165" s="30">
        <f t="shared" si="73"/>
        <v>0</v>
      </c>
      <c r="N165" s="30">
        <f t="shared" si="73"/>
        <v>0</v>
      </c>
      <c r="O165" s="30">
        <f t="shared" si="73"/>
        <v>0</v>
      </c>
      <c r="P165" s="30">
        <f t="shared" si="73"/>
        <v>0</v>
      </c>
      <c r="Q165" s="53"/>
      <c r="R165" s="53"/>
      <c r="S165" s="20"/>
      <c r="T165" s="20"/>
      <c r="U165" s="20"/>
    </row>
    <row r="166" spans="1:21" s="14" customFormat="1" ht="14.25" hidden="1">
      <c r="A166" s="773"/>
      <c r="B166" s="760"/>
      <c r="C166" s="65" t="s">
        <v>7</v>
      </c>
      <c r="D166" s="29">
        <f>D164+D165</f>
        <v>1282995</v>
      </c>
      <c r="E166" s="30">
        <f t="shared" ref="E166:P166" si="74">E164+E165</f>
        <v>245000</v>
      </c>
      <c r="F166" s="30">
        <f t="shared" si="74"/>
        <v>245000</v>
      </c>
      <c r="G166" s="30">
        <f t="shared" si="74"/>
        <v>0</v>
      </c>
      <c r="H166" s="30">
        <f t="shared" si="74"/>
        <v>245000</v>
      </c>
      <c r="I166" s="30">
        <f t="shared" si="74"/>
        <v>0</v>
      </c>
      <c r="J166" s="30">
        <f t="shared" si="74"/>
        <v>0</v>
      </c>
      <c r="K166" s="30">
        <f t="shared" si="74"/>
        <v>0</v>
      </c>
      <c r="L166" s="30">
        <f t="shared" si="74"/>
        <v>0</v>
      </c>
      <c r="M166" s="30">
        <f t="shared" si="74"/>
        <v>1037995</v>
      </c>
      <c r="N166" s="30">
        <f t="shared" si="74"/>
        <v>1037995</v>
      </c>
      <c r="O166" s="30">
        <f t="shared" si="74"/>
        <v>1037995</v>
      </c>
      <c r="P166" s="30">
        <f t="shared" si="74"/>
        <v>0</v>
      </c>
      <c r="Q166" s="53"/>
      <c r="R166" s="53"/>
      <c r="S166" s="20"/>
      <c r="T166" s="20"/>
      <c r="U166" s="20"/>
    </row>
    <row r="167" spans="1:21" s="36" customFormat="1" ht="13.5" hidden="1" customHeight="1">
      <c r="A167" s="765">
        <v>75412</v>
      </c>
      <c r="B167" s="752" t="s">
        <v>344</v>
      </c>
      <c r="C167" s="66" t="s">
        <v>5</v>
      </c>
      <c r="D167" s="31">
        <f>E167+M167</f>
        <v>1037995</v>
      </c>
      <c r="E167" s="32">
        <f>F167+I167+J167+K167+L167</f>
        <v>0</v>
      </c>
      <c r="F167" s="32">
        <f>G167+H167</f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f>N167+P167</f>
        <v>1037995</v>
      </c>
      <c r="N167" s="32">
        <v>1037995</v>
      </c>
      <c r="O167" s="32">
        <v>1037995</v>
      </c>
      <c r="P167" s="32">
        <v>0</v>
      </c>
      <c r="Q167" s="58"/>
      <c r="R167" s="58"/>
      <c r="S167" s="35"/>
      <c r="T167" s="35"/>
      <c r="U167" s="35"/>
    </row>
    <row r="168" spans="1:21" s="36" customFormat="1" ht="13.5" hidden="1" customHeight="1">
      <c r="A168" s="766"/>
      <c r="B168" s="753"/>
      <c r="C168" s="66" t="s">
        <v>6</v>
      </c>
      <c r="D168" s="31">
        <f>E168+M168</f>
        <v>0</v>
      </c>
      <c r="E168" s="32">
        <f>F168+I168+J168+K168+L168</f>
        <v>0</v>
      </c>
      <c r="F168" s="32">
        <f>G168+H168</f>
        <v>0</v>
      </c>
      <c r="G168" s="32"/>
      <c r="H168" s="32"/>
      <c r="I168" s="32"/>
      <c r="J168" s="32"/>
      <c r="K168" s="32"/>
      <c r="L168" s="32"/>
      <c r="M168" s="32">
        <f>N168+P168</f>
        <v>0</v>
      </c>
      <c r="N168" s="32"/>
      <c r="O168" s="32"/>
      <c r="P168" s="32"/>
      <c r="Q168" s="58"/>
      <c r="R168" s="58"/>
      <c r="S168" s="35"/>
      <c r="T168" s="35"/>
      <c r="U168" s="35"/>
    </row>
    <row r="169" spans="1:21" s="36" customFormat="1" ht="13.5" hidden="1" customHeight="1">
      <c r="A169" s="767"/>
      <c r="B169" s="754"/>
      <c r="C169" s="66" t="s">
        <v>7</v>
      </c>
      <c r="D169" s="31">
        <f>D167+D168</f>
        <v>1037995</v>
      </c>
      <c r="E169" s="32">
        <f t="shared" ref="E169:P169" si="75">E167+E168</f>
        <v>0</v>
      </c>
      <c r="F169" s="32">
        <f t="shared" si="75"/>
        <v>0</v>
      </c>
      <c r="G169" s="32">
        <f t="shared" si="75"/>
        <v>0</v>
      </c>
      <c r="H169" s="32">
        <f t="shared" si="75"/>
        <v>0</v>
      </c>
      <c r="I169" s="32">
        <f t="shared" si="75"/>
        <v>0</v>
      </c>
      <c r="J169" s="32">
        <f t="shared" si="75"/>
        <v>0</v>
      </c>
      <c r="K169" s="32">
        <f t="shared" si="75"/>
        <v>0</v>
      </c>
      <c r="L169" s="32">
        <f t="shared" si="75"/>
        <v>0</v>
      </c>
      <c r="M169" s="32">
        <f t="shared" si="75"/>
        <v>1037995</v>
      </c>
      <c r="N169" s="32">
        <f t="shared" si="75"/>
        <v>1037995</v>
      </c>
      <c r="O169" s="32">
        <f t="shared" si="75"/>
        <v>1037995</v>
      </c>
      <c r="P169" s="32">
        <f t="shared" si="75"/>
        <v>0</v>
      </c>
      <c r="Q169" s="58"/>
      <c r="R169" s="58"/>
      <c r="S169" s="35"/>
      <c r="T169" s="35"/>
      <c r="U169" s="35"/>
    </row>
    <row r="170" spans="1:21" s="36" customFormat="1" ht="13.5" hidden="1" customHeight="1">
      <c r="A170" s="762" t="s">
        <v>120</v>
      </c>
      <c r="B170" s="752" t="s">
        <v>43</v>
      </c>
      <c r="C170" s="66" t="s">
        <v>5</v>
      </c>
      <c r="D170" s="31">
        <f>E170+M170</f>
        <v>245000</v>
      </c>
      <c r="E170" s="32">
        <f>F170+I170+J170+K170+L170</f>
        <v>245000</v>
      </c>
      <c r="F170" s="32">
        <f>G170+H170</f>
        <v>245000</v>
      </c>
      <c r="G170" s="32">
        <v>0</v>
      </c>
      <c r="H170" s="32">
        <v>245000</v>
      </c>
      <c r="I170" s="32">
        <v>0</v>
      </c>
      <c r="J170" s="32">
        <v>0</v>
      </c>
      <c r="K170" s="32">
        <v>0</v>
      </c>
      <c r="L170" s="32">
        <v>0</v>
      </c>
      <c r="M170" s="32">
        <f>N170+P170</f>
        <v>0</v>
      </c>
      <c r="N170" s="32">
        <v>0</v>
      </c>
      <c r="O170" s="32">
        <v>0</v>
      </c>
      <c r="P170" s="32">
        <v>0</v>
      </c>
      <c r="Q170" s="58"/>
      <c r="R170" s="58"/>
      <c r="S170" s="35"/>
      <c r="T170" s="35"/>
      <c r="U170" s="35"/>
    </row>
    <row r="171" spans="1:21" s="36" customFormat="1" ht="13.5" hidden="1" customHeight="1">
      <c r="A171" s="763"/>
      <c r="B171" s="753"/>
      <c r="C171" s="66" t="s">
        <v>6</v>
      </c>
      <c r="D171" s="31">
        <f>E171+M171</f>
        <v>0</v>
      </c>
      <c r="E171" s="32">
        <f>F171+I171+J171+K171+L171</f>
        <v>0</v>
      </c>
      <c r="F171" s="32">
        <f>G171+H171</f>
        <v>0</v>
      </c>
      <c r="G171" s="32"/>
      <c r="H171" s="32"/>
      <c r="I171" s="32"/>
      <c r="J171" s="32"/>
      <c r="K171" s="32"/>
      <c r="L171" s="32"/>
      <c r="M171" s="32">
        <f>N171+P171</f>
        <v>0</v>
      </c>
      <c r="N171" s="32"/>
      <c r="O171" s="32"/>
      <c r="P171" s="32"/>
      <c r="Q171" s="58"/>
      <c r="R171" s="58"/>
      <c r="S171" s="35"/>
      <c r="T171" s="35"/>
      <c r="U171" s="35"/>
    </row>
    <row r="172" spans="1:21" s="36" customFormat="1" ht="13.5" hidden="1" customHeight="1">
      <c r="A172" s="764"/>
      <c r="B172" s="754"/>
      <c r="C172" s="66" t="s">
        <v>7</v>
      </c>
      <c r="D172" s="31">
        <f>D170+D171</f>
        <v>245000</v>
      </c>
      <c r="E172" s="32">
        <f t="shared" ref="E172:P172" si="76">E170+E171</f>
        <v>245000</v>
      </c>
      <c r="F172" s="32">
        <f t="shared" si="76"/>
        <v>245000</v>
      </c>
      <c r="G172" s="32">
        <f t="shared" si="76"/>
        <v>0</v>
      </c>
      <c r="H172" s="32">
        <f t="shared" si="76"/>
        <v>245000</v>
      </c>
      <c r="I172" s="32">
        <f t="shared" si="76"/>
        <v>0</v>
      </c>
      <c r="J172" s="32">
        <f t="shared" si="76"/>
        <v>0</v>
      </c>
      <c r="K172" s="32">
        <f t="shared" si="76"/>
        <v>0</v>
      </c>
      <c r="L172" s="32">
        <f t="shared" si="76"/>
        <v>0</v>
      </c>
      <c r="M172" s="32">
        <f t="shared" si="76"/>
        <v>0</v>
      </c>
      <c r="N172" s="32">
        <f t="shared" si="76"/>
        <v>0</v>
      </c>
      <c r="O172" s="32">
        <f t="shared" si="76"/>
        <v>0</v>
      </c>
      <c r="P172" s="32">
        <f t="shared" si="76"/>
        <v>0</v>
      </c>
      <c r="Q172" s="58"/>
      <c r="R172" s="58"/>
      <c r="S172" s="35"/>
      <c r="T172" s="35"/>
      <c r="U172" s="35"/>
    </row>
    <row r="173" spans="1:21" s="14" customFormat="1" ht="14.25" hidden="1">
      <c r="A173" s="771" t="s">
        <v>121</v>
      </c>
      <c r="B173" s="758" t="s">
        <v>122</v>
      </c>
      <c r="C173" s="65" t="s">
        <v>5</v>
      </c>
      <c r="D173" s="29">
        <f t="shared" ref="D173:P174" si="77">D176+D179</f>
        <v>42617695</v>
      </c>
      <c r="E173" s="30">
        <f t="shared" si="77"/>
        <v>42617695</v>
      </c>
      <c r="F173" s="30">
        <f t="shared" si="77"/>
        <v>0</v>
      </c>
      <c r="G173" s="30">
        <f t="shared" si="77"/>
        <v>0</v>
      </c>
      <c r="H173" s="30">
        <f t="shared" si="77"/>
        <v>0</v>
      </c>
      <c r="I173" s="30">
        <f t="shared" si="77"/>
        <v>0</v>
      </c>
      <c r="J173" s="30">
        <f t="shared" si="77"/>
        <v>0</v>
      </c>
      <c r="K173" s="30">
        <f t="shared" si="77"/>
        <v>0</v>
      </c>
      <c r="L173" s="30">
        <f t="shared" si="77"/>
        <v>42617695</v>
      </c>
      <c r="M173" s="30">
        <f t="shared" si="77"/>
        <v>0</v>
      </c>
      <c r="N173" s="30">
        <f t="shared" si="77"/>
        <v>0</v>
      </c>
      <c r="O173" s="30">
        <f t="shared" si="77"/>
        <v>0</v>
      </c>
      <c r="P173" s="30">
        <f t="shared" si="77"/>
        <v>0</v>
      </c>
      <c r="Q173" s="53"/>
      <c r="R173" s="53"/>
      <c r="S173" s="20"/>
      <c r="T173" s="20"/>
      <c r="U173" s="20"/>
    </row>
    <row r="174" spans="1:21" s="14" customFormat="1" ht="14.25" hidden="1">
      <c r="A174" s="772"/>
      <c r="B174" s="759"/>
      <c r="C174" s="65" t="s">
        <v>6</v>
      </c>
      <c r="D174" s="29">
        <f t="shared" si="77"/>
        <v>0</v>
      </c>
      <c r="E174" s="30">
        <f t="shared" si="77"/>
        <v>0</v>
      </c>
      <c r="F174" s="30">
        <f t="shared" si="77"/>
        <v>0</v>
      </c>
      <c r="G174" s="30">
        <f t="shared" si="77"/>
        <v>0</v>
      </c>
      <c r="H174" s="30">
        <f t="shared" si="77"/>
        <v>0</v>
      </c>
      <c r="I174" s="30">
        <f t="shared" si="77"/>
        <v>0</v>
      </c>
      <c r="J174" s="30">
        <f t="shared" si="77"/>
        <v>0</v>
      </c>
      <c r="K174" s="30">
        <f t="shared" si="77"/>
        <v>0</v>
      </c>
      <c r="L174" s="30">
        <f t="shared" si="77"/>
        <v>0</v>
      </c>
      <c r="M174" s="30">
        <f t="shared" si="77"/>
        <v>0</v>
      </c>
      <c r="N174" s="30">
        <f t="shared" si="77"/>
        <v>0</v>
      </c>
      <c r="O174" s="30">
        <f t="shared" si="77"/>
        <v>0</v>
      </c>
      <c r="P174" s="30">
        <f t="shared" si="77"/>
        <v>0</v>
      </c>
      <c r="Q174" s="53"/>
      <c r="R174" s="53"/>
      <c r="S174" s="20"/>
      <c r="T174" s="20"/>
      <c r="U174" s="20"/>
    </row>
    <row r="175" spans="1:21" s="14" customFormat="1" ht="14.25" hidden="1">
      <c r="A175" s="773"/>
      <c r="B175" s="760"/>
      <c r="C175" s="65" t="s">
        <v>7</v>
      </c>
      <c r="D175" s="29">
        <f>D173+D174</f>
        <v>42617695</v>
      </c>
      <c r="E175" s="30">
        <f t="shared" ref="E175:P175" si="78">E173+E174</f>
        <v>42617695</v>
      </c>
      <c r="F175" s="30">
        <f t="shared" si="78"/>
        <v>0</v>
      </c>
      <c r="G175" s="30">
        <f t="shared" si="78"/>
        <v>0</v>
      </c>
      <c r="H175" s="30">
        <f t="shared" si="78"/>
        <v>0</v>
      </c>
      <c r="I175" s="30">
        <f t="shared" si="78"/>
        <v>0</v>
      </c>
      <c r="J175" s="30">
        <f t="shared" si="78"/>
        <v>0</v>
      </c>
      <c r="K175" s="30">
        <f t="shared" si="78"/>
        <v>0</v>
      </c>
      <c r="L175" s="30">
        <f t="shared" si="78"/>
        <v>42617695</v>
      </c>
      <c r="M175" s="30">
        <f t="shared" si="78"/>
        <v>0</v>
      </c>
      <c r="N175" s="30">
        <f t="shared" si="78"/>
        <v>0</v>
      </c>
      <c r="O175" s="30">
        <f t="shared" si="78"/>
        <v>0</v>
      </c>
      <c r="P175" s="30">
        <f t="shared" si="78"/>
        <v>0</v>
      </c>
      <c r="Q175" s="53"/>
      <c r="R175" s="53"/>
      <c r="S175" s="20"/>
      <c r="T175" s="20"/>
      <c r="U175" s="20"/>
    </row>
    <row r="176" spans="1:21" s="12" customFormat="1" ht="18" hidden="1" customHeight="1">
      <c r="A176" s="762" t="s">
        <v>123</v>
      </c>
      <c r="B176" s="752" t="s">
        <v>195</v>
      </c>
      <c r="C176" s="66" t="s">
        <v>5</v>
      </c>
      <c r="D176" s="31">
        <f>E176+M176</f>
        <v>7523985</v>
      </c>
      <c r="E176" s="32">
        <f>F176+I176+J176+K176+L176</f>
        <v>7523985</v>
      </c>
      <c r="F176" s="32">
        <f>G176+H176</f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7523985</v>
      </c>
      <c r="M176" s="32">
        <f>N176+P176</f>
        <v>0</v>
      </c>
      <c r="N176" s="32">
        <v>0</v>
      </c>
      <c r="O176" s="32">
        <v>0</v>
      </c>
      <c r="P176" s="32">
        <v>0</v>
      </c>
      <c r="Q176" s="42"/>
      <c r="R176" s="42"/>
      <c r="S176" s="18"/>
      <c r="T176" s="18"/>
      <c r="U176" s="18"/>
    </row>
    <row r="177" spans="1:21" s="12" customFormat="1" ht="18" hidden="1" customHeight="1">
      <c r="A177" s="763"/>
      <c r="B177" s="753"/>
      <c r="C177" s="66" t="s">
        <v>6</v>
      </c>
      <c r="D177" s="31">
        <f>E177+M177</f>
        <v>0</v>
      </c>
      <c r="E177" s="32">
        <f>F177+I177+J177+K177+L177</f>
        <v>0</v>
      </c>
      <c r="F177" s="32">
        <f>G177+H177</f>
        <v>0</v>
      </c>
      <c r="G177" s="32"/>
      <c r="H177" s="32"/>
      <c r="I177" s="32"/>
      <c r="J177" s="32"/>
      <c r="K177" s="32"/>
      <c r="L177" s="32"/>
      <c r="M177" s="32">
        <f>N177+P177</f>
        <v>0</v>
      </c>
      <c r="N177" s="32"/>
      <c r="O177" s="32"/>
      <c r="P177" s="32"/>
      <c r="Q177" s="42"/>
      <c r="R177" s="42"/>
      <c r="S177" s="18"/>
      <c r="T177" s="18"/>
      <c r="U177" s="18"/>
    </row>
    <row r="178" spans="1:21" s="12" customFormat="1" ht="18" hidden="1" customHeight="1">
      <c r="A178" s="764"/>
      <c r="B178" s="754"/>
      <c r="C178" s="66" t="s">
        <v>7</v>
      </c>
      <c r="D178" s="31">
        <f>D176+D177</f>
        <v>7523985</v>
      </c>
      <c r="E178" s="32">
        <f t="shared" ref="E178:P178" si="79">E176+E177</f>
        <v>7523985</v>
      </c>
      <c r="F178" s="32">
        <f t="shared" si="79"/>
        <v>0</v>
      </c>
      <c r="G178" s="32">
        <f t="shared" si="79"/>
        <v>0</v>
      </c>
      <c r="H178" s="32">
        <f t="shared" si="79"/>
        <v>0</v>
      </c>
      <c r="I178" s="32">
        <f t="shared" si="79"/>
        <v>0</v>
      </c>
      <c r="J178" s="32">
        <f t="shared" si="79"/>
        <v>0</v>
      </c>
      <c r="K178" s="32">
        <f t="shared" si="79"/>
        <v>0</v>
      </c>
      <c r="L178" s="32">
        <f t="shared" si="79"/>
        <v>7523985</v>
      </c>
      <c r="M178" s="32">
        <f t="shared" si="79"/>
        <v>0</v>
      </c>
      <c r="N178" s="32">
        <f t="shared" si="79"/>
        <v>0</v>
      </c>
      <c r="O178" s="32">
        <f t="shared" si="79"/>
        <v>0</v>
      </c>
      <c r="P178" s="32">
        <f t="shared" si="79"/>
        <v>0</v>
      </c>
      <c r="Q178" s="42"/>
      <c r="R178" s="42"/>
      <c r="S178" s="18"/>
      <c r="T178" s="18"/>
      <c r="U178" s="18"/>
    </row>
    <row r="179" spans="1:21" s="12" customFormat="1" hidden="1">
      <c r="A179" s="762" t="s">
        <v>124</v>
      </c>
      <c r="B179" s="752" t="s">
        <v>125</v>
      </c>
      <c r="C179" s="66" t="s">
        <v>5</v>
      </c>
      <c r="D179" s="31">
        <f>E179+M179</f>
        <v>35093710</v>
      </c>
      <c r="E179" s="32">
        <f>F179+I179+J179+K179+L179</f>
        <v>35093710</v>
      </c>
      <c r="F179" s="32">
        <f>G179+H179</f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35093710</v>
      </c>
      <c r="M179" s="32">
        <f>N179+P179</f>
        <v>0</v>
      </c>
      <c r="N179" s="32">
        <v>0</v>
      </c>
      <c r="O179" s="32">
        <v>0</v>
      </c>
      <c r="P179" s="32">
        <v>0</v>
      </c>
      <c r="Q179" s="42"/>
      <c r="R179" s="42"/>
      <c r="S179" s="18"/>
      <c r="T179" s="18"/>
      <c r="U179" s="18"/>
    </row>
    <row r="180" spans="1:21" s="12" customFormat="1" hidden="1">
      <c r="A180" s="763"/>
      <c r="B180" s="753"/>
      <c r="C180" s="66" t="s">
        <v>6</v>
      </c>
      <c r="D180" s="31">
        <f>E180+M180</f>
        <v>0</v>
      </c>
      <c r="E180" s="32">
        <f>F180+I180+J180+K180+L180</f>
        <v>0</v>
      </c>
      <c r="F180" s="32">
        <f>G180+H180</f>
        <v>0</v>
      </c>
      <c r="G180" s="32"/>
      <c r="H180" s="32"/>
      <c r="I180" s="32"/>
      <c r="J180" s="32"/>
      <c r="K180" s="32"/>
      <c r="L180" s="32"/>
      <c r="M180" s="32">
        <f>N180+P180</f>
        <v>0</v>
      </c>
      <c r="N180" s="32"/>
      <c r="O180" s="32"/>
      <c r="P180" s="32"/>
      <c r="Q180" s="42"/>
      <c r="R180" s="42"/>
      <c r="S180" s="18"/>
      <c r="T180" s="18"/>
      <c r="U180" s="18"/>
    </row>
    <row r="181" spans="1:21" s="12" customFormat="1" hidden="1">
      <c r="A181" s="764"/>
      <c r="B181" s="754"/>
      <c r="C181" s="66" t="s">
        <v>7</v>
      </c>
      <c r="D181" s="31">
        <f>D179+D180</f>
        <v>35093710</v>
      </c>
      <c r="E181" s="32">
        <f t="shared" ref="E181:P181" si="80">E179+E180</f>
        <v>35093710</v>
      </c>
      <c r="F181" s="32">
        <f t="shared" si="80"/>
        <v>0</v>
      </c>
      <c r="G181" s="32">
        <f t="shared" si="80"/>
        <v>0</v>
      </c>
      <c r="H181" s="32">
        <f t="shared" si="80"/>
        <v>0</v>
      </c>
      <c r="I181" s="32">
        <f t="shared" si="80"/>
        <v>0</v>
      </c>
      <c r="J181" s="32">
        <f t="shared" si="80"/>
        <v>0</v>
      </c>
      <c r="K181" s="32">
        <f t="shared" si="80"/>
        <v>0</v>
      </c>
      <c r="L181" s="32">
        <f t="shared" si="80"/>
        <v>35093710</v>
      </c>
      <c r="M181" s="32">
        <f t="shared" si="80"/>
        <v>0</v>
      </c>
      <c r="N181" s="32">
        <f t="shared" si="80"/>
        <v>0</v>
      </c>
      <c r="O181" s="32">
        <f t="shared" si="80"/>
        <v>0</v>
      </c>
      <c r="P181" s="32">
        <f t="shared" si="80"/>
        <v>0</v>
      </c>
      <c r="Q181" s="42"/>
      <c r="R181" s="42"/>
      <c r="S181" s="18"/>
      <c r="T181" s="18"/>
      <c r="U181" s="18"/>
    </row>
    <row r="182" spans="1:21" s="14" customFormat="1" ht="14.25" hidden="1">
      <c r="A182" s="771" t="s">
        <v>126</v>
      </c>
      <c r="B182" s="758" t="s">
        <v>127</v>
      </c>
      <c r="C182" s="65" t="s">
        <v>5</v>
      </c>
      <c r="D182" s="29">
        <f>D185</f>
        <v>13425345</v>
      </c>
      <c r="E182" s="30">
        <f t="shared" ref="E182:P183" si="81">E185</f>
        <v>12125587</v>
      </c>
      <c r="F182" s="30">
        <f t="shared" si="81"/>
        <v>12125587</v>
      </c>
      <c r="G182" s="30">
        <f t="shared" si="81"/>
        <v>0</v>
      </c>
      <c r="H182" s="30">
        <f t="shared" si="81"/>
        <v>12125587</v>
      </c>
      <c r="I182" s="30">
        <f t="shared" si="81"/>
        <v>0</v>
      </c>
      <c r="J182" s="30">
        <f t="shared" si="81"/>
        <v>0</v>
      </c>
      <c r="K182" s="30">
        <f t="shared" si="81"/>
        <v>0</v>
      </c>
      <c r="L182" s="30">
        <f t="shared" si="81"/>
        <v>0</v>
      </c>
      <c r="M182" s="30">
        <f>M185</f>
        <v>1299758</v>
      </c>
      <c r="N182" s="30">
        <f t="shared" si="81"/>
        <v>1299758</v>
      </c>
      <c r="O182" s="30">
        <f t="shared" si="81"/>
        <v>0</v>
      </c>
      <c r="P182" s="30">
        <f t="shared" si="81"/>
        <v>0</v>
      </c>
      <c r="Q182" s="53"/>
      <c r="R182" s="53"/>
      <c r="S182" s="20"/>
      <c r="T182" s="20"/>
      <c r="U182" s="20"/>
    </row>
    <row r="183" spans="1:21" s="14" customFormat="1" ht="14.25" hidden="1">
      <c r="A183" s="772"/>
      <c r="B183" s="759"/>
      <c r="C183" s="65" t="s">
        <v>6</v>
      </c>
      <c r="D183" s="29">
        <f>D186</f>
        <v>0</v>
      </c>
      <c r="E183" s="30">
        <f t="shared" si="81"/>
        <v>0</v>
      </c>
      <c r="F183" s="30">
        <f t="shared" si="81"/>
        <v>0</v>
      </c>
      <c r="G183" s="30">
        <f t="shared" si="81"/>
        <v>0</v>
      </c>
      <c r="H183" s="30">
        <f t="shared" si="81"/>
        <v>0</v>
      </c>
      <c r="I183" s="30">
        <f t="shared" si="81"/>
        <v>0</v>
      </c>
      <c r="J183" s="30">
        <f t="shared" si="81"/>
        <v>0</v>
      </c>
      <c r="K183" s="30">
        <f t="shared" si="81"/>
        <v>0</v>
      </c>
      <c r="L183" s="30">
        <f t="shared" si="81"/>
        <v>0</v>
      </c>
      <c r="M183" s="30">
        <f>M186</f>
        <v>0</v>
      </c>
      <c r="N183" s="30">
        <f t="shared" si="81"/>
        <v>0</v>
      </c>
      <c r="O183" s="30">
        <f t="shared" si="81"/>
        <v>0</v>
      </c>
      <c r="P183" s="30">
        <f t="shared" si="81"/>
        <v>0</v>
      </c>
      <c r="Q183" s="53"/>
      <c r="R183" s="53"/>
      <c r="S183" s="20"/>
      <c r="T183" s="20"/>
      <c r="U183" s="20"/>
    </row>
    <row r="184" spans="1:21" s="14" customFormat="1" ht="14.25" hidden="1">
      <c r="A184" s="773"/>
      <c r="B184" s="760"/>
      <c r="C184" s="65" t="s">
        <v>7</v>
      </c>
      <c r="D184" s="29">
        <f>D182+D183</f>
        <v>13425345</v>
      </c>
      <c r="E184" s="30">
        <f t="shared" ref="E184:P184" si="82">E182+E183</f>
        <v>12125587</v>
      </c>
      <c r="F184" s="30">
        <f t="shared" si="82"/>
        <v>12125587</v>
      </c>
      <c r="G184" s="30">
        <f t="shared" si="82"/>
        <v>0</v>
      </c>
      <c r="H184" s="30">
        <f t="shared" si="82"/>
        <v>12125587</v>
      </c>
      <c r="I184" s="30">
        <f t="shared" si="82"/>
        <v>0</v>
      </c>
      <c r="J184" s="30">
        <f t="shared" si="82"/>
        <v>0</v>
      </c>
      <c r="K184" s="30">
        <f t="shared" si="82"/>
        <v>0</v>
      </c>
      <c r="L184" s="30">
        <f t="shared" si="82"/>
        <v>0</v>
      </c>
      <c r="M184" s="30">
        <f t="shared" si="82"/>
        <v>1299758</v>
      </c>
      <c r="N184" s="30">
        <f t="shared" si="82"/>
        <v>1299758</v>
      </c>
      <c r="O184" s="30">
        <f t="shared" si="82"/>
        <v>0</v>
      </c>
      <c r="P184" s="30">
        <f t="shared" si="82"/>
        <v>0</v>
      </c>
      <c r="Q184" s="53"/>
      <c r="R184" s="53"/>
      <c r="S184" s="20"/>
      <c r="T184" s="20"/>
      <c r="U184" s="20"/>
    </row>
    <row r="185" spans="1:21" s="36" customFormat="1" ht="13.5" hidden="1" customHeight="1">
      <c r="A185" s="762" t="s">
        <v>128</v>
      </c>
      <c r="B185" s="752" t="s">
        <v>129</v>
      </c>
      <c r="C185" s="66" t="s">
        <v>5</v>
      </c>
      <c r="D185" s="31">
        <f>E185+M185</f>
        <v>13425345</v>
      </c>
      <c r="E185" s="32">
        <f>F185+I185+J185+K185+L185</f>
        <v>12125587</v>
      </c>
      <c r="F185" s="32">
        <f>G185+H185</f>
        <v>12125587</v>
      </c>
      <c r="G185" s="32">
        <v>0</v>
      </c>
      <c r="H185" s="32">
        <v>12125587</v>
      </c>
      <c r="I185" s="32">
        <v>0</v>
      </c>
      <c r="J185" s="32">
        <v>0</v>
      </c>
      <c r="K185" s="32">
        <v>0</v>
      </c>
      <c r="L185" s="32">
        <v>0</v>
      </c>
      <c r="M185" s="32">
        <f>N185+P185</f>
        <v>1299758</v>
      </c>
      <c r="N185" s="32">
        <v>1299758</v>
      </c>
      <c r="O185" s="32">
        <v>0</v>
      </c>
      <c r="P185" s="32">
        <v>0</v>
      </c>
      <c r="Q185" s="58"/>
      <c r="R185" s="58"/>
      <c r="S185" s="35"/>
      <c r="T185" s="35"/>
      <c r="U185" s="35"/>
    </row>
    <row r="186" spans="1:21" s="36" customFormat="1" ht="13.5" hidden="1" customHeight="1">
      <c r="A186" s="763"/>
      <c r="B186" s="753"/>
      <c r="C186" s="66" t="s">
        <v>6</v>
      </c>
      <c r="D186" s="31">
        <f>E186+M186</f>
        <v>0</v>
      </c>
      <c r="E186" s="32">
        <f>F186+I186+J186+K186+L186</f>
        <v>0</v>
      </c>
      <c r="F186" s="32">
        <f>G186+H186</f>
        <v>0</v>
      </c>
      <c r="G186" s="32"/>
      <c r="H186" s="32"/>
      <c r="I186" s="32"/>
      <c r="J186" s="32"/>
      <c r="K186" s="32"/>
      <c r="L186" s="32"/>
      <c r="M186" s="32">
        <f>N186+P186</f>
        <v>0</v>
      </c>
      <c r="N186" s="32"/>
      <c r="O186" s="32"/>
      <c r="P186" s="32"/>
      <c r="Q186" s="58"/>
      <c r="R186" s="58"/>
      <c r="S186" s="35"/>
      <c r="T186" s="35"/>
      <c r="U186" s="35"/>
    </row>
    <row r="187" spans="1:21" s="36" customFormat="1" ht="13.5" hidden="1" customHeight="1">
      <c r="A187" s="764"/>
      <c r="B187" s="754"/>
      <c r="C187" s="66" t="s">
        <v>7</v>
      </c>
      <c r="D187" s="31">
        <f>D185+D186</f>
        <v>13425345</v>
      </c>
      <c r="E187" s="32">
        <f t="shared" ref="E187:P187" si="83">E185+E186</f>
        <v>12125587</v>
      </c>
      <c r="F187" s="32">
        <f t="shared" si="83"/>
        <v>12125587</v>
      </c>
      <c r="G187" s="32">
        <f t="shared" si="83"/>
        <v>0</v>
      </c>
      <c r="H187" s="32">
        <f t="shared" si="83"/>
        <v>12125587</v>
      </c>
      <c r="I187" s="32">
        <f t="shared" si="83"/>
        <v>0</v>
      </c>
      <c r="J187" s="32">
        <f t="shared" si="83"/>
        <v>0</v>
      </c>
      <c r="K187" s="32">
        <f t="shared" si="83"/>
        <v>0</v>
      </c>
      <c r="L187" s="32">
        <f t="shared" si="83"/>
        <v>0</v>
      </c>
      <c r="M187" s="32">
        <f>M185+M186</f>
        <v>1299758</v>
      </c>
      <c r="N187" s="32">
        <f t="shared" si="83"/>
        <v>1299758</v>
      </c>
      <c r="O187" s="32">
        <f t="shared" si="83"/>
        <v>0</v>
      </c>
      <c r="P187" s="32">
        <f t="shared" si="83"/>
        <v>0</v>
      </c>
      <c r="Q187" s="58"/>
      <c r="R187" s="58"/>
      <c r="S187" s="35"/>
      <c r="T187" s="35"/>
      <c r="U187" s="35"/>
    </row>
    <row r="188" spans="1:21" s="14" customFormat="1" ht="14.1" customHeight="1">
      <c r="A188" s="771" t="s">
        <v>23</v>
      </c>
      <c r="B188" s="758" t="s">
        <v>24</v>
      </c>
      <c r="C188" s="65" t="s">
        <v>5</v>
      </c>
      <c r="D188" s="29">
        <f>D191+D197+D200+D206+D209+D212+D215+D218+D221+D224+D227+D233+D194+D203+D230</f>
        <v>91373855</v>
      </c>
      <c r="E188" s="30">
        <f t="shared" ref="E188:P189" si="84">E191+E197+E200+E206+E209+E212+E215+E218+E221+E224+E227+E233+E194+E203+E230</f>
        <v>79167657</v>
      </c>
      <c r="F188" s="30">
        <f t="shared" si="84"/>
        <v>72122927</v>
      </c>
      <c r="G188" s="30">
        <f t="shared" si="84"/>
        <v>63014877</v>
      </c>
      <c r="H188" s="30">
        <f t="shared" si="84"/>
        <v>9108050</v>
      </c>
      <c r="I188" s="30">
        <f t="shared" si="84"/>
        <v>5719</v>
      </c>
      <c r="J188" s="30">
        <f t="shared" si="84"/>
        <v>262806</v>
      </c>
      <c r="K188" s="30">
        <f t="shared" si="84"/>
        <v>6776205</v>
      </c>
      <c r="L188" s="30">
        <f t="shared" si="84"/>
        <v>0</v>
      </c>
      <c r="M188" s="30">
        <f t="shared" si="84"/>
        <v>12206198</v>
      </c>
      <c r="N188" s="30">
        <f t="shared" si="84"/>
        <v>12206198</v>
      </c>
      <c r="O188" s="30">
        <f t="shared" si="84"/>
        <v>9179337</v>
      </c>
      <c r="P188" s="30">
        <f t="shared" si="84"/>
        <v>0</v>
      </c>
      <c r="Q188" s="53"/>
      <c r="R188" s="53"/>
      <c r="S188" s="20"/>
      <c r="T188" s="20"/>
      <c r="U188" s="20"/>
    </row>
    <row r="189" spans="1:21" s="14" customFormat="1" ht="14.1" customHeight="1">
      <c r="A189" s="772"/>
      <c r="B189" s="759"/>
      <c r="C189" s="65" t="s">
        <v>6</v>
      </c>
      <c r="D189" s="29">
        <f>D192+D198+D201+D207+D210+D213+D216+D219+D222+D225+D228+D234+D195+D204+D231</f>
        <v>1433451</v>
      </c>
      <c r="E189" s="30">
        <f t="shared" si="84"/>
        <v>229451</v>
      </c>
      <c r="F189" s="30">
        <f t="shared" si="84"/>
        <v>0</v>
      </c>
      <c r="G189" s="30">
        <f t="shared" si="84"/>
        <v>0</v>
      </c>
      <c r="H189" s="30">
        <f t="shared" si="84"/>
        <v>0</v>
      </c>
      <c r="I189" s="30">
        <f t="shared" si="84"/>
        <v>0</v>
      </c>
      <c r="J189" s="30">
        <f t="shared" si="84"/>
        <v>0</v>
      </c>
      <c r="K189" s="30">
        <f t="shared" si="84"/>
        <v>229451</v>
      </c>
      <c r="L189" s="30">
        <f t="shared" si="84"/>
        <v>0</v>
      </c>
      <c r="M189" s="30">
        <f t="shared" si="84"/>
        <v>1204000</v>
      </c>
      <c r="N189" s="30">
        <f t="shared" si="84"/>
        <v>1204000</v>
      </c>
      <c r="O189" s="30">
        <f t="shared" si="84"/>
        <v>4000</v>
      </c>
      <c r="P189" s="30">
        <f t="shared" si="84"/>
        <v>0</v>
      </c>
      <c r="Q189" s="53"/>
      <c r="R189" s="53"/>
      <c r="S189" s="20"/>
      <c r="T189" s="20"/>
      <c r="U189" s="20"/>
    </row>
    <row r="190" spans="1:21" s="14" customFormat="1" ht="14.1" customHeight="1">
      <c r="A190" s="773"/>
      <c r="B190" s="760"/>
      <c r="C190" s="65" t="s">
        <v>7</v>
      </c>
      <c r="D190" s="29">
        <f>D188+D189</f>
        <v>92807306</v>
      </c>
      <c r="E190" s="30">
        <f t="shared" ref="E190:P190" si="85">E188+E189</f>
        <v>79397108</v>
      </c>
      <c r="F190" s="30">
        <f t="shared" si="85"/>
        <v>72122927</v>
      </c>
      <c r="G190" s="30">
        <f t="shared" si="85"/>
        <v>63014877</v>
      </c>
      <c r="H190" s="30">
        <f t="shared" si="85"/>
        <v>9108050</v>
      </c>
      <c r="I190" s="30">
        <f t="shared" si="85"/>
        <v>5719</v>
      </c>
      <c r="J190" s="30">
        <f t="shared" si="85"/>
        <v>262806</v>
      </c>
      <c r="K190" s="30">
        <f t="shared" si="85"/>
        <v>7005656</v>
      </c>
      <c r="L190" s="30">
        <f t="shared" si="85"/>
        <v>0</v>
      </c>
      <c r="M190" s="30">
        <f t="shared" si="85"/>
        <v>13410198</v>
      </c>
      <c r="N190" s="30">
        <f t="shared" si="85"/>
        <v>13410198</v>
      </c>
      <c r="O190" s="30">
        <f t="shared" si="85"/>
        <v>9183337</v>
      </c>
      <c r="P190" s="30">
        <f t="shared" si="85"/>
        <v>0</v>
      </c>
      <c r="Q190" s="53"/>
      <c r="R190" s="53"/>
      <c r="S190" s="20"/>
      <c r="T190" s="20"/>
      <c r="U190" s="20"/>
    </row>
    <row r="191" spans="1:21" s="36" customFormat="1" ht="13.5" hidden="1" customHeight="1">
      <c r="A191" s="762" t="s">
        <v>130</v>
      </c>
      <c r="B191" s="752" t="s">
        <v>131</v>
      </c>
      <c r="C191" s="66" t="s">
        <v>5</v>
      </c>
      <c r="D191" s="31">
        <f t="shared" ref="D191:D234" si="86">E191+M191</f>
        <v>22123249</v>
      </c>
      <c r="E191" s="32">
        <f t="shared" ref="E191:E234" si="87">F191+I191+J191+K191+L191</f>
        <v>22123249</v>
      </c>
      <c r="F191" s="32">
        <f t="shared" ref="F191:F234" si="88">G191+H191</f>
        <v>22046545</v>
      </c>
      <c r="G191" s="32">
        <v>20611482</v>
      </c>
      <c r="H191" s="32">
        <v>1435063</v>
      </c>
      <c r="I191" s="32">
        <v>0</v>
      </c>
      <c r="J191" s="32">
        <v>76704</v>
      </c>
      <c r="K191" s="32">
        <v>0</v>
      </c>
      <c r="L191" s="32">
        <v>0</v>
      </c>
      <c r="M191" s="32">
        <f t="shared" ref="M191:M234" si="89">N191+P191</f>
        <v>0</v>
      </c>
      <c r="N191" s="32">
        <v>0</v>
      </c>
      <c r="O191" s="32">
        <v>0</v>
      </c>
      <c r="P191" s="32">
        <v>0</v>
      </c>
      <c r="Q191" s="58"/>
      <c r="R191" s="58"/>
      <c r="S191" s="35"/>
      <c r="T191" s="35"/>
      <c r="U191" s="35"/>
    </row>
    <row r="192" spans="1:21" s="36" customFormat="1" ht="13.5" hidden="1" customHeight="1">
      <c r="A192" s="763"/>
      <c r="B192" s="753"/>
      <c r="C192" s="66" t="s">
        <v>6</v>
      </c>
      <c r="D192" s="31">
        <f t="shared" si="86"/>
        <v>0</v>
      </c>
      <c r="E192" s="32">
        <f t="shared" si="87"/>
        <v>0</v>
      </c>
      <c r="F192" s="32">
        <f t="shared" si="88"/>
        <v>0</v>
      </c>
      <c r="G192" s="32"/>
      <c r="H192" s="32"/>
      <c r="I192" s="32"/>
      <c r="J192" s="32"/>
      <c r="K192" s="32"/>
      <c r="L192" s="32"/>
      <c r="M192" s="32">
        <f t="shared" si="89"/>
        <v>0</v>
      </c>
      <c r="N192" s="32"/>
      <c r="O192" s="32"/>
      <c r="P192" s="32"/>
      <c r="Q192" s="58"/>
      <c r="R192" s="58"/>
      <c r="S192" s="35"/>
      <c r="T192" s="35"/>
      <c r="U192" s="35"/>
    </row>
    <row r="193" spans="1:21" s="36" customFormat="1" ht="13.5" hidden="1" customHeight="1">
      <c r="A193" s="764"/>
      <c r="B193" s="754"/>
      <c r="C193" s="66" t="s">
        <v>7</v>
      </c>
      <c r="D193" s="31">
        <f>D191+D192</f>
        <v>22123249</v>
      </c>
      <c r="E193" s="32">
        <f t="shared" ref="E193:P193" si="90">E191+E192</f>
        <v>22123249</v>
      </c>
      <c r="F193" s="32">
        <f t="shared" si="90"/>
        <v>22046545</v>
      </c>
      <c r="G193" s="32">
        <f t="shared" si="90"/>
        <v>20611482</v>
      </c>
      <c r="H193" s="32">
        <f t="shared" si="90"/>
        <v>1435063</v>
      </c>
      <c r="I193" s="32">
        <f t="shared" si="90"/>
        <v>0</v>
      </c>
      <c r="J193" s="32">
        <f t="shared" si="90"/>
        <v>76704</v>
      </c>
      <c r="K193" s="32">
        <f t="shared" si="90"/>
        <v>0</v>
      </c>
      <c r="L193" s="32">
        <f t="shared" si="90"/>
        <v>0</v>
      </c>
      <c r="M193" s="32">
        <f t="shared" si="90"/>
        <v>0</v>
      </c>
      <c r="N193" s="32">
        <f t="shared" si="90"/>
        <v>0</v>
      </c>
      <c r="O193" s="32">
        <f t="shared" si="90"/>
        <v>0</v>
      </c>
      <c r="P193" s="32">
        <f t="shared" si="90"/>
        <v>0</v>
      </c>
      <c r="Q193" s="58"/>
      <c r="R193" s="58"/>
      <c r="S193" s="35"/>
      <c r="T193" s="35"/>
      <c r="U193" s="35"/>
    </row>
    <row r="194" spans="1:21" s="36" customFormat="1" ht="13.5" hidden="1" customHeight="1">
      <c r="A194" s="765">
        <v>80104</v>
      </c>
      <c r="B194" s="752" t="s">
        <v>198</v>
      </c>
      <c r="C194" s="66" t="s">
        <v>5</v>
      </c>
      <c r="D194" s="31">
        <f t="shared" si="86"/>
        <v>192660</v>
      </c>
      <c r="E194" s="32">
        <f>F194+I194+J194+K194+L194</f>
        <v>0</v>
      </c>
      <c r="F194" s="32">
        <f>G194+H194</f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f t="shared" si="89"/>
        <v>192660</v>
      </c>
      <c r="N194" s="32">
        <v>192660</v>
      </c>
      <c r="O194" s="32">
        <v>192660</v>
      </c>
      <c r="P194" s="32">
        <v>0</v>
      </c>
      <c r="Q194" s="58"/>
      <c r="R194" s="58"/>
      <c r="S194" s="35"/>
      <c r="T194" s="35"/>
      <c r="U194" s="35"/>
    </row>
    <row r="195" spans="1:21" s="36" customFormat="1" ht="13.5" hidden="1" customHeight="1">
      <c r="A195" s="766"/>
      <c r="B195" s="753"/>
      <c r="C195" s="66" t="s">
        <v>6</v>
      </c>
      <c r="D195" s="31">
        <f t="shared" si="86"/>
        <v>0</v>
      </c>
      <c r="E195" s="32">
        <f>F195+I195+J195+K195+L195</f>
        <v>0</v>
      </c>
      <c r="F195" s="32">
        <f>G195+H195</f>
        <v>0</v>
      </c>
      <c r="G195" s="32"/>
      <c r="H195" s="32"/>
      <c r="I195" s="32"/>
      <c r="J195" s="32"/>
      <c r="K195" s="32"/>
      <c r="L195" s="32"/>
      <c r="M195" s="32">
        <f t="shared" si="89"/>
        <v>0</v>
      </c>
      <c r="N195" s="32"/>
      <c r="O195" s="32"/>
      <c r="P195" s="32"/>
      <c r="Q195" s="58"/>
      <c r="R195" s="58"/>
      <c r="S195" s="35"/>
      <c r="T195" s="35"/>
      <c r="U195" s="35"/>
    </row>
    <row r="196" spans="1:21" s="36" customFormat="1" ht="13.5" hidden="1" customHeight="1">
      <c r="A196" s="767"/>
      <c r="B196" s="754"/>
      <c r="C196" s="66" t="s">
        <v>7</v>
      </c>
      <c r="D196" s="31">
        <f>D194+D195</f>
        <v>192660</v>
      </c>
      <c r="E196" s="32">
        <f t="shared" ref="E196:P196" si="91">E194+E195</f>
        <v>0</v>
      </c>
      <c r="F196" s="32">
        <f t="shared" si="91"/>
        <v>0</v>
      </c>
      <c r="G196" s="32">
        <f t="shared" si="91"/>
        <v>0</v>
      </c>
      <c r="H196" s="32">
        <f t="shared" si="91"/>
        <v>0</v>
      </c>
      <c r="I196" s="32">
        <f t="shared" si="91"/>
        <v>0</v>
      </c>
      <c r="J196" s="32">
        <f t="shared" si="91"/>
        <v>0</v>
      </c>
      <c r="K196" s="32">
        <f t="shared" si="91"/>
        <v>0</v>
      </c>
      <c r="L196" s="32">
        <f t="shared" si="91"/>
        <v>0</v>
      </c>
      <c r="M196" s="32">
        <f t="shared" si="91"/>
        <v>192660</v>
      </c>
      <c r="N196" s="32">
        <f t="shared" si="91"/>
        <v>192660</v>
      </c>
      <c r="O196" s="32">
        <f t="shared" si="91"/>
        <v>192660</v>
      </c>
      <c r="P196" s="32">
        <f t="shared" si="91"/>
        <v>0</v>
      </c>
      <c r="Q196" s="58"/>
      <c r="R196" s="58"/>
      <c r="S196" s="35"/>
      <c r="T196" s="35"/>
      <c r="U196" s="35"/>
    </row>
    <row r="197" spans="1:21" s="36" customFormat="1" ht="13.5" customHeight="1">
      <c r="A197" s="762" t="s">
        <v>132</v>
      </c>
      <c r="B197" s="752" t="s">
        <v>133</v>
      </c>
      <c r="C197" s="66" t="s">
        <v>5</v>
      </c>
      <c r="D197" s="31">
        <f t="shared" si="86"/>
        <v>1180116</v>
      </c>
      <c r="E197" s="32">
        <f t="shared" si="87"/>
        <v>1180116</v>
      </c>
      <c r="F197" s="32">
        <f t="shared" si="88"/>
        <v>390836</v>
      </c>
      <c r="G197" s="32">
        <v>376491</v>
      </c>
      <c r="H197" s="32">
        <f>1506+1240+858+240+449+352+100+9600</f>
        <v>14345</v>
      </c>
      <c r="I197" s="32">
        <v>0</v>
      </c>
      <c r="J197" s="32">
        <v>1800</v>
      </c>
      <c r="K197" s="32">
        <f>1149225-1800-270548-19893-46723-4359-1506-1240-858-240-449-352-100-9600-4077</f>
        <v>787480</v>
      </c>
      <c r="L197" s="32">
        <v>0</v>
      </c>
      <c r="M197" s="32">
        <f t="shared" si="89"/>
        <v>0</v>
      </c>
      <c r="N197" s="32">
        <v>0</v>
      </c>
      <c r="O197" s="32">
        <v>0</v>
      </c>
      <c r="P197" s="32">
        <v>0</v>
      </c>
      <c r="Q197" s="58"/>
      <c r="R197" s="58"/>
      <c r="S197" s="35"/>
      <c r="T197" s="35"/>
      <c r="U197" s="35"/>
    </row>
    <row r="198" spans="1:21" s="36" customFormat="1" ht="13.5" customHeight="1">
      <c r="A198" s="763"/>
      <c r="B198" s="753"/>
      <c r="C198" s="66" t="s">
        <v>6</v>
      </c>
      <c r="D198" s="31">
        <f t="shared" si="86"/>
        <v>207681</v>
      </c>
      <c r="E198" s="32">
        <f t="shared" si="87"/>
        <v>207681</v>
      </c>
      <c r="F198" s="32">
        <f t="shared" si="88"/>
        <v>0</v>
      </c>
      <c r="G198" s="32"/>
      <c r="H198" s="32"/>
      <c r="I198" s="32"/>
      <c r="J198" s="32"/>
      <c r="K198" s="32">
        <v>207681</v>
      </c>
      <c r="L198" s="32"/>
      <c r="M198" s="32">
        <f t="shared" si="89"/>
        <v>0</v>
      </c>
      <c r="N198" s="32"/>
      <c r="O198" s="32"/>
      <c r="P198" s="32"/>
      <c r="Q198" s="58"/>
      <c r="R198" s="58"/>
      <c r="S198" s="35"/>
      <c r="T198" s="35"/>
      <c r="U198" s="35"/>
    </row>
    <row r="199" spans="1:21" s="36" customFormat="1" ht="13.5" customHeight="1">
      <c r="A199" s="764"/>
      <c r="B199" s="754"/>
      <c r="C199" s="66" t="s">
        <v>7</v>
      </c>
      <c r="D199" s="31">
        <f>D197+D198</f>
        <v>1387797</v>
      </c>
      <c r="E199" s="32">
        <f t="shared" ref="E199:P199" si="92">E197+E198</f>
        <v>1387797</v>
      </c>
      <c r="F199" s="32">
        <f t="shared" si="92"/>
        <v>390836</v>
      </c>
      <c r="G199" s="32">
        <f t="shared" si="92"/>
        <v>376491</v>
      </c>
      <c r="H199" s="32">
        <f t="shared" si="92"/>
        <v>14345</v>
      </c>
      <c r="I199" s="32">
        <f t="shared" si="92"/>
        <v>0</v>
      </c>
      <c r="J199" s="32">
        <f t="shared" si="92"/>
        <v>1800</v>
      </c>
      <c r="K199" s="32">
        <f t="shared" si="92"/>
        <v>995161</v>
      </c>
      <c r="L199" s="32">
        <f t="shared" si="92"/>
        <v>0</v>
      </c>
      <c r="M199" s="32">
        <f t="shared" si="92"/>
        <v>0</v>
      </c>
      <c r="N199" s="32">
        <f t="shared" si="92"/>
        <v>0</v>
      </c>
      <c r="O199" s="32">
        <f t="shared" si="92"/>
        <v>0</v>
      </c>
      <c r="P199" s="32">
        <f t="shared" si="92"/>
        <v>0</v>
      </c>
      <c r="Q199" s="58"/>
      <c r="R199" s="58"/>
      <c r="S199" s="35"/>
      <c r="T199" s="35"/>
      <c r="U199" s="35"/>
    </row>
    <row r="200" spans="1:21" s="36" customFormat="1" ht="13.5" hidden="1" customHeight="1">
      <c r="A200" s="762" t="s">
        <v>134</v>
      </c>
      <c r="B200" s="752" t="s">
        <v>135</v>
      </c>
      <c r="C200" s="66" t="s">
        <v>5</v>
      </c>
      <c r="D200" s="31">
        <f t="shared" si="86"/>
        <v>16500</v>
      </c>
      <c r="E200" s="32">
        <f t="shared" si="87"/>
        <v>16500</v>
      </c>
      <c r="F200" s="32">
        <f t="shared" si="88"/>
        <v>16500</v>
      </c>
      <c r="G200" s="32">
        <v>0</v>
      </c>
      <c r="H200" s="32">
        <v>16500</v>
      </c>
      <c r="I200" s="32">
        <v>0</v>
      </c>
      <c r="J200" s="32">
        <v>0</v>
      </c>
      <c r="K200" s="32">
        <v>0</v>
      </c>
      <c r="L200" s="32">
        <v>0</v>
      </c>
      <c r="M200" s="32">
        <f t="shared" si="89"/>
        <v>0</v>
      </c>
      <c r="N200" s="32">
        <v>0</v>
      </c>
      <c r="O200" s="32">
        <v>0</v>
      </c>
      <c r="P200" s="32">
        <v>0</v>
      </c>
      <c r="Q200" s="58"/>
      <c r="R200" s="58"/>
      <c r="S200" s="35"/>
      <c r="T200" s="35"/>
      <c r="U200" s="35"/>
    </row>
    <row r="201" spans="1:21" s="36" customFormat="1" ht="13.5" hidden="1" customHeight="1">
      <c r="A201" s="763"/>
      <c r="B201" s="753"/>
      <c r="C201" s="66" t="s">
        <v>6</v>
      </c>
      <c r="D201" s="31">
        <f t="shared" si="86"/>
        <v>0</v>
      </c>
      <c r="E201" s="32">
        <f t="shared" si="87"/>
        <v>0</v>
      </c>
      <c r="F201" s="32">
        <f t="shared" si="88"/>
        <v>0</v>
      </c>
      <c r="G201" s="32"/>
      <c r="H201" s="32"/>
      <c r="I201" s="32"/>
      <c r="J201" s="32"/>
      <c r="K201" s="32"/>
      <c r="L201" s="32"/>
      <c r="M201" s="32">
        <f t="shared" si="89"/>
        <v>0</v>
      </c>
      <c r="N201" s="32"/>
      <c r="O201" s="32"/>
      <c r="P201" s="32"/>
      <c r="Q201" s="58"/>
      <c r="R201" s="58"/>
      <c r="S201" s="35"/>
      <c r="T201" s="35"/>
      <c r="U201" s="35"/>
    </row>
    <row r="202" spans="1:21" s="36" customFormat="1" ht="13.5" hidden="1" customHeight="1">
      <c r="A202" s="764"/>
      <c r="B202" s="754"/>
      <c r="C202" s="66" t="s">
        <v>7</v>
      </c>
      <c r="D202" s="31">
        <f>D200+D201</f>
        <v>16500</v>
      </c>
      <c r="E202" s="32">
        <f t="shared" ref="E202:P202" si="93">E200+E201</f>
        <v>16500</v>
      </c>
      <c r="F202" s="32">
        <f t="shared" si="93"/>
        <v>16500</v>
      </c>
      <c r="G202" s="32">
        <f t="shared" si="93"/>
        <v>0</v>
      </c>
      <c r="H202" s="32">
        <f t="shared" si="93"/>
        <v>16500</v>
      </c>
      <c r="I202" s="32">
        <f t="shared" si="93"/>
        <v>0</v>
      </c>
      <c r="J202" s="32">
        <f t="shared" si="93"/>
        <v>0</v>
      </c>
      <c r="K202" s="32">
        <f t="shared" si="93"/>
        <v>0</v>
      </c>
      <c r="L202" s="32">
        <f t="shared" si="93"/>
        <v>0</v>
      </c>
      <c r="M202" s="32">
        <f t="shared" si="93"/>
        <v>0</v>
      </c>
      <c r="N202" s="32">
        <f t="shared" si="93"/>
        <v>0</v>
      </c>
      <c r="O202" s="32">
        <f t="shared" si="93"/>
        <v>0</v>
      </c>
      <c r="P202" s="32">
        <f t="shared" si="93"/>
        <v>0</v>
      </c>
      <c r="Q202" s="58"/>
      <c r="R202" s="58"/>
      <c r="S202" s="35"/>
      <c r="T202" s="35"/>
      <c r="U202" s="35"/>
    </row>
    <row r="203" spans="1:21" s="36" customFormat="1" ht="13.5" hidden="1" customHeight="1">
      <c r="A203" s="765">
        <v>80115</v>
      </c>
      <c r="B203" s="752" t="s">
        <v>199</v>
      </c>
      <c r="C203" s="66" t="s">
        <v>5</v>
      </c>
      <c r="D203" s="31">
        <f>E203+M203</f>
        <v>19129</v>
      </c>
      <c r="E203" s="32">
        <f>F203+I203+J203+K203+L203</f>
        <v>0</v>
      </c>
      <c r="F203" s="32">
        <f>G203+H203</f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f t="shared" si="89"/>
        <v>19129</v>
      </c>
      <c r="N203" s="32">
        <v>19129</v>
      </c>
      <c r="O203" s="32">
        <v>19129</v>
      </c>
      <c r="P203" s="32"/>
      <c r="Q203" s="58"/>
      <c r="R203" s="58"/>
      <c r="S203" s="35"/>
      <c r="T203" s="35"/>
      <c r="U203" s="35"/>
    </row>
    <row r="204" spans="1:21" s="36" customFormat="1" ht="13.5" hidden="1" customHeight="1">
      <c r="A204" s="766"/>
      <c r="B204" s="753"/>
      <c r="C204" s="66" t="s">
        <v>6</v>
      </c>
      <c r="D204" s="31">
        <f>E204+M204</f>
        <v>0</v>
      </c>
      <c r="E204" s="32">
        <f>F204+I204+J204+K204+L204</f>
        <v>0</v>
      </c>
      <c r="F204" s="32">
        <f>G204+H204</f>
        <v>0</v>
      </c>
      <c r="G204" s="32"/>
      <c r="H204" s="32"/>
      <c r="I204" s="32"/>
      <c r="J204" s="32"/>
      <c r="K204" s="32"/>
      <c r="L204" s="32"/>
      <c r="M204" s="32">
        <f t="shared" si="89"/>
        <v>0</v>
      </c>
      <c r="N204" s="32"/>
      <c r="O204" s="32"/>
      <c r="P204" s="32"/>
      <c r="Q204" s="58"/>
      <c r="R204" s="58"/>
      <c r="S204" s="35"/>
      <c r="T204" s="35"/>
      <c r="U204" s="35"/>
    </row>
    <row r="205" spans="1:21" s="36" customFormat="1" ht="13.5" hidden="1" customHeight="1">
      <c r="A205" s="767"/>
      <c r="B205" s="754"/>
      <c r="C205" s="66" t="s">
        <v>7</v>
      </c>
      <c r="D205" s="31">
        <f>D203+D204</f>
        <v>19129</v>
      </c>
      <c r="E205" s="32">
        <f t="shared" ref="E205:P205" si="94">E203+E204</f>
        <v>0</v>
      </c>
      <c r="F205" s="32">
        <f t="shared" si="94"/>
        <v>0</v>
      </c>
      <c r="G205" s="32">
        <f t="shared" si="94"/>
        <v>0</v>
      </c>
      <c r="H205" s="32">
        <f t="shared" si="94"/>
        <v>0</v>
      </c>
      <c r="I205" s="32">
        <f t="shared" si="94"/>
        <v>0</v>
      </c>
      <c r="J205" s="32">
        <f t="shared" si="94"/>
        <v>0</v>
      </c>
      <c r="K205" s="32">
        <f t="shared" si="94"/>
        <v>0</v>
      </c>
      <c r="L205" s="32">
        <f t="shared" si="94"/>
        <v>0</v>
      </c>
      <c r="M205" s="32">
        <f t="shared" si="94"/>
        <v>19129</v>
      </c>
      <c r="N205" s="32">
        <f t="shared" si="94"/>
        <v>19129</v>
      </c>
      <c r="O205" s="32">
        <f t="shared" si="94"/>
        <v>19129</v>
      </c>
      <c r="P205" s="32">
        <f t="shared" si="94"/>
        <v>0</v>
      </c>
      <c r="Q205" s="58"/>
      <c r="R205" s="58"/>
      <c r="S205" s="35"/>
      <c r="T205" s="35"/>
      <c r="U205" s="35"/>
    </row>
    <row r="206" spans="1:21" s="36" customFormat="1" ht="13.5" hidden="1" customHeight="1">
      <c r="A206" s="762" t="s">
        <v>136</v>
      </c>
      <c r="B206" s="752" t="s">
        <v>137</v>
      </c>
      <c r="C206" s="66" t="s">
        <v>5</v>
      </c>
      <c r="D206" s="31">
        <f t="shared" si="86"/>
        <v>7410220</v>
      </c>
      <c r="E206" s="32">
        <f t="shared" si="87"/>
        <v>7397250</v>
      </c>
      <c r="F206" s="32">
        <f t="shared" si="88"/>
        <v>7383050</v>
      </c>
      <c r="G206" s="32">
        <v>5416913</v>
      </c>
      <c r="H206" s="32">
        <f>8000+140000+335883+200060+886960+3200+137450+11600+540+5500+13500+217944+5500</f>
        <v>1966137</v>
      </c>
      <c r="I206" s="32">
        <v>0</v>
      </c>
      <c r="J206" s="32">
        <v>14200</v>
      </c>
      <c r="K206" s="32">
        <v>0</v>
      </c>
      <c r="L206" s="32">
        <v>0</v>
      </c>
      <c r="M206" s="32">
        <f t="shared" si="89"/>
        <v>12970</v>
      </c>
      <c r="N206" s="32">
        <v>12970</v>
      </c>
      <c r="O206" s="32">
        <v>0</v>
      </c>
      <c r="P206" s="32">
        <v>0</v>
      </c>
      <c r="Q206" s="58"/>
      <c r="R206" s="58"/>
      <c r="S206" s="35"/>
      <c r="T206" s="35"/>
      <c r="U206" s="35"/>
    </row>
    <row r="207" spans="1:21" s="36" customFormat="1" ht="13.5" hidden="1" customHeight="1">
      <c r="A207" s="763"/>
      <c r="B207" s="753"/>
      <c r="C207" s="66" t="s">
        <v>6</v>
      </c>
      <c r="D207" s="31">
        <f t="shared" si="86"/>
        <v>0</v>
      </c>
      <c r="E207" s="32">
        <f t="shared" si="87"/>
        <v>0</v>
      </c>
      <c r="F207" s="32">
        <f t="shared" si="88"/>
        <v>0</v>
      </c>
      <c r="G207" s="32"/>
      <c r="H207" s="32"/>
      <c r="I207" s="32"/>
      <c r="J207" s="32"/>
      <c r="K207" s="32"/>
      <c r="L207" s="32"/>
      <c r="M207" s="32">
        <f t="shared" si="89"/>
        <v>0</v>
      </c>
      <c r="N207" s="32"/>
      <c r="O207" s="32"/>
      <c r="P207" s="32"/>
      <c r="Q207" s="58"/>
      <c r="R207" s="58"/>
      <c r="S207" s="35"/>
      <c r="T207" s="35"/>
      <c r="U207" s="35"/>
    </row>
    <row r="208" spans="1:21" s="36" customFormat="1" ht="13.5" hidden="1" customHeight="1">
      <c r="A208" s="764"/>
      <c r="B208" s="754"/>
      <c r="C208" s="66" t="s">
        <v>7</v>
      </c>
      <c r="D208" s="31">
        <f>D206+D207</f>
        <v>7410220</v>
      </c>
      <c r="E208" s="32">
        <f t="shared" ref="E208:P208" si="95">E206+E207</f>
        <v>7397250</v>
      </c>
      <c r="F208" s="32">
        <f t="shared" si="95"/>
        <v>7383050</v>
      </c>
      <c r="G208" s="32">
        <f t="shared" si="95"/>
        <v>5416913</v>
      </c>
      <c r="H208" s="32">
        <f t="shared" si="95"/>
        <v>1966137</v>
      </c>
      <c r="I208" s="32">
        <f t="shared" si="95"/>
        <v>0</v>
      </c>
      <c r="J208" s="32">
        <f t="shared" si="95"/>
        <v>14200</v>
      </c>
      <c r="K208" s="32">
        <f t="shared" si="95"/>
        <v>0</v>
      </c>
      <c r="L208" s="32">
        <f t="shared" si="95"/>
        <v>0</v>
      </c>
      <c r="M208" s="32">
        <f t="shared" si="95"/>
        <v>12970</v>
      </c>
      <c r="N208" s="32">
        <f t="shared" si="95"/>
        <v>12970</v>
      </c>
      <c r="O208" s="32">
        <f t="shared" si="95"/>
        <v>0</v>
      </c>
      <c r="P208" s="32">
        <f t="shared" si="95"/>
        <v>0</v>
      </c>
      <c r="Q208" s="58"/>
      <c r="R208" s="58"/>
      <c r="S208" s="35"/>
      <c r="T208" s="35"/>
      <c r="U208" s="35"/>
    </row>
    <row r="209" spans="1:21" s="36" customFormat="1" ht="13.5" hidden="1" customHeight="1">
      <c r="A209" s="762" t="s">
        <v>138</v>
      </c>
      <c r="B209" s="768" t="s">
        <v>139</v>
      </c>
      <c r="C209" s="66" t="s">
        <v>5</v>
      </c>
      <c r="D209" s="31">
        <f t="shared" si="86"/>
        <v>3445663</v>
      </c>
      <c r="E209" s="32">
        <f t="shared" si="87"/>
        <v>3445663</v>
      </c>
      <c r="F209" s="32">
        <f t="shared" si="88"/>
        <v>3439187</v>
      </c>
      <c r="G209" s="32">
        <v>3240266</v>
      </c>
      <c r="H209" s="32">
        <f>16672+11560+43000+4393+2722+29910+8328+1503+1800+77433+1600</f>
        <v>198921</v>
      </c>
      <c r="I209" s="32">
        <v>0</v>
      </c>
      <c r="J209" s="32">
        <v>6476</v>
      </c>
      <c r="K209" s="32">
        <v>0</v>
      </c>
      <c r="L209" s="32">
        <v>0</v>
      </c>
      <c r="M209" s="32">
        <f t="shared" si="89"/>
        <v>0</v>
      </c>
      <c r="N209" s="32">
        <v>0</v>
      </c>
      <c r="O209" s="32">
        <v>0</v>
      </c>
      <c r="P209" s="32">
        <v>0</v>
      </c>
      <c r="Q209" s="58"/>
      <c r="R209" s="58"/>
      <c r="S209" s="35"/>
      <c r="T209" s="35"/>
      <c r="U209" s="35"/>
    </row>
    <row r="210" spans="1:21" s="36" customFormat="1" ht="13.5" hidden="1" customHeight="1">
      <c r="A210" s="763"/>
      <c r="B210" s="769"/>
      <c r="C210" s="66" t="s">
        <v>6</v>
      </c>
      <c r="D210" s="31">
        <f t="shared" si="86"/>
        <v>0</v>
      </c>
      <c r="E210" s="32">
        <f t="shared" si="87"/>
        <v>0</v>
      </c>
      <c r="F210" s="32">
        <f t="shared" si="88"/>
        <v>0</v>
      </c>
      <c r="G210" s="32"/>
      <c r="H210" s="32"/>
      <c r="I210" s="32"/>
      <c r="J210" s="32"/>
      <c r="K210" s="32"/>
      <c r="L210" s="32"/>
      <c r="M210" s="32">
        <f t="shared" si="89"/>
        <v>0</v>
      </c>
      <c r="N210" s="32"/>
      <c r="O210" s="32"/>
      <c r="P210" s="32"/>
      <c r="Q210" s="58"/>
      <c r="R210" s="58"/>
      <c r="S210" s="35"/>
      <c r="T210" s="35"/>
      <c r="U210" s="35"/>
    </row>
    <row r="211" spans="1:21" s="36" customFormat="1" ht="13.5" hidden="1" customHeight="1">
      <c r="A211" s="764"/>
      <c r="B211" s="770"/>
      <c r="C211" s="66" t="s">
        <v>7</v>
      </c>
      <c r="D211" s="31">
        <f>D209+D210</f>
        <v>3445663</v>
      </c>
      <c r="E211" s="32">
        <f t="shared" ref="E211:P211" si="96">E209+E210</f>
        <v>3445663</v>
      </c>
      <c r="F211" s="32">
        <f t="shared" si="96"/>
        <v>3439187</v>
      </c>
      <c r="G211" s="32">
        <f t="shared" si="96"/>
        <v>3240266</v>
      </c>
      <c r="H211" s="32">
        <f t="shared" si="96"/>
        <v>198921</v>
      </c>
      <c r="I211" s="32">
        <f t="shared" si="96"/>
        <v>0</v>
      </c>
      <c r="J211" s="32">
        <f t="shared" si="96"/>
        <v>6476</v>
      </c>
      <c r="K211" s="32">
        <f t="shared" si="96"/>
        <v>0</v>
      </c>
      <c r="L211" s="32">
        <f t="shared" si="96"/>
        <v>0</v>
      </c>
      <c r="M211" s="32">
        <f t="shared" si="96"/>
        <v>0</v>
      </c>
      <c r="N211" s="32">
        <f t="shared" si="96"/>
        <v>0</v>
      </c>
      <c r="O211" s="32">
        <f t="shared" si="96"/>
        <v>0</v>
      </c>
      <c r="P211" s="32">
        <f t="shared" si="96"/>
        <v>0</v>
      </c>
      <c r="Q211" s="58"/>
      <c r="R211" s="58"/>
      <c r="S211" s="35"/>
      <c r="T211" s="35"/>
      <c r="U211" s="35"/>
    </row>
    <row r="212" spans="1:21" s="36" customFormat="1" ht="13.5" hidden="1" customHeight="1">
      <c r="A212" s="762" t="s">
        <v>140</v>
      </c>
      <c r="B212" s="752" t="s">
        <v>141</v>
      </c>
      <c r="C212" s="66" t="s">
        <v>5</v>
      </c>
      <c r="D212" s="31">
        <f t="shared" si="86"/>
        <v>16153917</v>
      </c>
      <c r="E212" s="32">
        <f t="shared" si="87"/>
        <v>16153917</v>
      </c>
      <c r="F212" s="32">
        <f t="shared" si="88"/>
        <v>15322819</v>
      </c>
      <c r="G212" s="32">
        <v>14038785</v>
      </c>
      <c r="H212" s="32">
        <f>57600+26500+310000+11500+4300+434719+12600+1500+4100+4400+411715+5100</f>
        <v>1284034</v>
      </c>
      <c r="I212" s="32">
        <v>0</v>
      </c>
      <c r="J212" s="32">
        <v>55419</v>
      </c>
      <c r="K212" s="32">
        <v>775679</v>
      </c>
      <c r="L212" s="32">
        <v>0</v>
      </c>
      <c r="M212" s="32">
        <f t="shared" si="89"/>
        <v>0</v>
      </c>
      <c r="N212" s="32">
        <v>0</v>
      </c>
      <c r="O212" s="32">
        <v>0</v>
      </c>
      <c r="P212" s="32">
        <v>0</v>
      </c>
      <c r="Q212" s="58"/>
      <c r="R212" s="58"/>
      <c r="S212" s="35"/>
      <c r="T212" s="35"/>
      <c r="U212" s="35"/>
    </row>
    <row r="213" spans="1:21" s="36" customFormat="1" ht="13.5" hidden="1" customHeight="1">
      <c r="A213" s="763"/>
      <c r="B213" s="753"/>
      <c r="C213" s="66" t="s">
        <v>6</v>
      </c>
      <c r="D213" s="31">
        <f t="shared" si="86"/>
        <v>0</v>
      </c>
      <c r="E213" s="32">
        <f t="shared" si="87"/>
        <v>0</v>
      </c>
      <c r="F213" s="32">
        <f t="shared" si="88"/>
        <v>0</v>
      </c>
      <c r="G213" s="32"/>
      <c r="H213" s="32"/>
      <c r="I213" s="32"/>
      <c r="J213" s="32"/>
      <c r="K213" s="32"/>
      <c r="L213" s="32"/>
      <c r="M213" s="32">
        <f t="shared" si="89"/>
        <v>0</v>
      </c>
      <c r="N213" s="32"/>
      <c r="O213" s="32"/>
      <c r="P213" s="32"/>
      <c r="Q213" s="58"/>
      <c r="R213" s="58"/>
      <c r="S213" s="35"/>
      <c r="T213" s="35"/>
      <c r="U213" s="35"/>
    </row>
    <row r="214" spans="1:21" s="36" customFormat="1" ht="13.5" hidden="1" customHeight="1">
      <c r="A214" s="764"/>
      <c r="B214" s="754"/>
      <c r="C214" s="66" t="s">
        <v>7</v>
      </c>
      <c r="D214" s="31">
        <f>D212+D213</f>
        <v>16153917</v>
      </c>
      <c r="E214" s="32">
        <f t="shared" ref="E214:P214" si="97">E212+E213</f>
        <v>16153917</v>
      </c>
      <c r="F214" s="32">
        <f t="shared" si="97"/>
        <v>15322819</v>
      </c>
      <c r="G214" s="32">
        <f t="shared" si="97"/>
        <v>14038785</v>
      </c>
      <c r="H214" s="32">
        <f t="shared" si="97"/>
        <v>1284034</v>
      </c>
      <c r="I214" s="32">
        <f t="shared" si="97"/>
        <v>0</v>
      </c>
      <c r="J214" s="32">
        <f t="shared" si="97"/>
        <v>55419</v>
      </c>
      <c r="K214" s="32">
        <f t="shared" si="97"/>
        <v>775679</v>
      </c>
      <c r="L214" s="32">
        <f t="shared" si="97"/>
        <v>0</v>
      </c>
      <c r="M214" s="32">
        <f t="shared" si="97"/>
        <v>0</v>
      </c>
      <c r="N214" s="32">
        <f t="shared" si="97"/>
        <v>0</v>
      </c>
      <c r="O214" s="32">
        <f t="shared" si="97"/>
        <v>0</v>
      </c>
      <c r="P214" s="32">
        <f t="shared" si="97"/>
        <v>0</v>
      </c>
      <c r="Q214" s="58"/>
      <c r="R214" s="58"/>
      <c r="S214" s="35"/>
      <c r="T214" s="35"/>
      <c r="U214" s="35"/>
    </row>
    <row r="215" spans="1:21" s="12" customFormat="1">
      <c r="A215" s="762" t="s">
        <v>142</v>
      </c>
      <c r="B215" s="752" t="s">
        <v>196</v>
      </c>
      <c r="C215" s="66" t="s">
        <v>5</v>
      </c>
      <c r="D215" s="31">
        <f t="shared" si="86"/>
        <v>13523010</v>
      </c>
      <c r="E215" s="32">
        <f t="shared" si="87"/>
        <v>2949403</v>
      </c>
      <c r="F215" s="32">
        <f t="shared" si="88"/>
        <v>2749047</v>
      </c>
      <c r="G215" s="32">
        <v>2452142</v>
      </c>
      <c r="H215" s="32">
        <v>296905</v>
      </c>
      <c r="I215" s="32">
        <v>0</v>
      </c>
      <c r="J215" s="32">
        <v>2000</v>
      </c>
      <c r="K215" s="32">
        <v>198356</v>
      </c>
      <c r="L215" s="32">
        <v>0</v>
      </c>
      <c r="M215" s="32">
        <f t="shared" si="89"/>
        <v>10573607</v>
      </c>
      <c r="N215" s="32">
        <v>10573607</v>
      </c>
      <c r="O215" s="32">
        <f>7112558+1255158</f>
        <v>8367716</v>
      </c>
      <c r="P215" s="32">
        <v>0</v>
      </c>
      <c r="Q215" s="42"/>
      <c r="R215" s="42"/>
      <c r="S215" s="18"/>
      <c r="T215" s="18"/>
      <c r="U215" s="18"/>
    </row>
    <row r="216" spans="1:21" s="12" customFormat="1">
      <c r="A216" s="763"/>
      <c r="B216" s="753"/>
      <c r="C216" s="66" t="s">
        <v>6</v>
      </c>
      <c r="D216" s="31">
        <f t="shared" si="86"/>
        <v>1200000</v>
      </c>
      <c r="E216" s="32">
        <f t="shared" si="87"/>
        <v>0</v>
      </c>
      <c r="F216" s="32">
        <f t="shared" si="88"/>
        <v>0</v>
      </c>
      <c r="G216" s="32"/>
      <c r="H216" s="32"/>
      <c r="I216" s="32"/>
      <c r="J216" s="32"/>
      <c r="K216" s="32"/>
      <c r="L216" s="32"/>
      <c r="M216" s="32">
        <f t="shared" si="89"/>
        <v>1200000</v>
      </c>
      <c r="N216" s="32">
        <v>1200000</v>
      </c>
      <c r="O216" s="32"/>
      <c r="P216" s="32"/>
      <c r="Q216" s="42"/>
      <c r="R216" s="42"/>
      <c r="S216" s="18"/>
      <c r="T216" s="18"/>
      <c r="U216" s="18"/>
    </row>
    <row r="217" spans="1:21" s="12" customFormat="1">
      <c r="A217" s="764"/>
      <c r="B217" s="754"/>
      <c r="C217" s="66" t="s">
        <v>7</v>
      </c>
      <c r="D217" s="31">
        <f>D215+D216</f>
        <v>14723010</v>
      </c>
      <c r="E217" s="32">
        <f t="shared" ref="E217:P217" si="98">E215+E216</f>
        <v>2949403</v>
      </c>
      <c r="F217" s="32">
        <f t="shared" si="98"/>
        <v>2749047</v>
      </c>
      <c r="G217" s="32">
        <f t="shared" si="98"/>
        <v>2452142</v>
      </c>
      <c r="H217" s="32">
        <f t="shared" si="98"/>
        <v>296905</v>
      </c>
      <c r="I217" s="32">
        <f t="shared" si="98"/>
        <v>0</v>
      </c>
      <c r="J217" s="32">
        <f t="shared" si="98"/>
        <v>2000</v>
      </c>
      <c r="K217" s="32">
        <f t="shared" si="98"/>
        <v>198356</v>
      </c>
      <c r="L217" s="32">
        <f t="shared" si="98"/>
        <v>0</v>
      </c>
      <c r="M217" s="32">
        <f t="shared" si="98"/>
        <v>11773607</v>
      </c>
      <c r="N217" s="32">
        <f t="shared" si="98"/>
        <v>11773607</v>
      </c>
      <c r="O217" s="32">
        <f t="shared" si="98"/>
        <v>8367716</v>
      </c>
      <c r="P217" s="32">
        <f t="shared" si="98"/>
        <v>0</v>
      </c>
      <c r="Q217" s="42"/>
      <c r="R217" s="42"/>
      <c r="S217" s="18"/>
      <c r="T217" s="18"/>
      <c r="U217" s="18"/>
    </row>
    <row r="218" spans="1:21" s="36" customFormat="1" ht="13.5" hidden="1" customHeight="1">
      <c r="A218" s="762" t="s">
        <v>64</v>
      </c>
      <c r="B218" s="752" t="s">
        <v>143</v>
      </c>
      <c r="C218" s="66" t="s">
        <v>5</v>
      </c>
      <c r="D218" s="31">
        <f t="shared" si="86"/>
        <v>9885785</v>
      </c>
      <c r="E218" s="32">
        <f t="shared" si="87"/>
        <v>9135785</v>
      </c>
      <c r="F218" s="32">
        <f t="shared" si="88"/>
        <v>9127385</v>
      </c>
      <c r="G218" s="32">
        <v>8135366</v>
      </c>
      <c r="H218" s="32">
        <v>992019</v>
      </c>
      <c r="I218" s="32">
        <v>0</v>
      </c>
      <c r="J218" s="32">
        <v>8400</v>
      </c>
      <c r="K218" s="32">
        <v>0</v>
      </c>
      <c r="L218" s="32">
        <v>0</v>
      </c>
      <c r="M218" s="32">
        <f t="shared" si="89"/>
        <v>750000</v>
      </c>
      <c r="N218" s="32">
        <v>750000</v>
      </c>
      <c r="O218" s="32">
        <v>0</v>
      </c>
      <c r="P218" s="32">
        <v>0</v>
      </c>
      <c r="Q218" s="58"/>
      <c r="R218" s="58"/>
      <c r="S218" s="35"/>
      <c r="T218" s="35"/>
      <c r="U218" s="35"/>
    </row>
    <row r="219" spans="1:21" s="36" customFormat="1" ht="13.5" hidden="1" customHeight="1">
      <c r="A219" s="763"/>
      <c r="B219" s="753"/>
      <c r="C219" s="66" t="s">
        <v>6</v>
      </c>
      <c r="D219" s="31">
        <f t="shared" si="86"/>
        <v>0</v>
      </c>
      <c r="E219" s="32">
        <f t="shared" si="87"/>
        <v>0</v>
      </c>
      <c r="F219" s="32">
        <f t="shared" si="88"/>
        <v>0</v>
      </c>
      <c r="G219" s="32"/>
      <c r="H219" s="32"/>
      <c r="I219" s="32"/>
      <c r="J219" s="32"/>
      <c r="K219" s="32"/>
      <c r="L219" s="32"/>
      <c r="M219" s="32">
        <f t="shared" si="89"/>
        <v>0</v>
      </c>
      <c r="N219" s="32"/>
      <c r="O219" s="32"/>
      <c r="P219" s="32"/>
      <c r="Q219" s="58"/>
      <c r="R219" s="58"/>
      <c r="S219" s="35"/>
      <c r="T219" s="35"/>
      <c r="U219" s="35"/>
    </row>
    <row r="220" spans="1:21" s="36" customFormat="1" ht="13.5" hidden="1" customHeight="1">
      <c r="A220" s="764"/>
      <c r="B220" s="754"/>
      <c r="C220" s="66" t="s">
        <v>7</v>
      </c>
      <c r="D220" s="31">
        <f>D218+D219</f>
        <v>9885785</v>
      </c>
      <c r="E220" s="32">
        <f t="shared" ref="E220:P220" si="99">E218+E219</f>
        <v>9135785</v>
      </c>
      <c r="F220" s="32">
        <f t="shared" si="99"/>
        <v>9127385</v>
      </c>
      <c r="G220" s="32">
        <f t="shared" si="99"/>
        <v>8135366</v>
      </c>
      <c r="H220" s="32">
        <f t="shared" si="99"/>
        <v>992019</v>
      </c>
      <c r="I220" s="32">
        <f t="shared" si="99"/>
        <v>0</v>
      </c>
      <c r="J220" s="32">
        <f t="shared" si="99"/>
        <v>8400</v>
      </c>
      <c r="K220" s="32">
        <f t="shared" si="99"/>
        <v>0</v>
      </c>
      <c r="L220" s="32">
        <f t="shared" si="99"/>
        <v>0</v>
      </c>
      <c r="M220" s="32">
        <f t="shared" si="99"/>
        <v>750000</v>
      </c>
      <c r="N220" s="32">
        <f t="shared" si="99"/>
        <v>750000</v>
      </c>
      <c r="O220" s="32">
        <f t="shared" si="99"/>
        <v>0</v>
      </c>
      <c r="P220" s="32">
        <f t="shared" si="99"/>
        <v>0</v>
      </c>
      <c r="Q220" s="58"/>
      <c r="R220" s="58"/>
      <c r="S220" s="35"/>
      <c r="T220" s="35"/>
      <c r="U220" s="35"/>
    </row>
    <row r="221" spans="1:21" s="36" customFormat="1" ht="13.5" hidden="1" customHeight="1">
      <c r="A221" s="762" t="s">
        <v>25</v>
      </c>
      <c r="B221" s="752" t="s">
        <v>144</v>
      </c>
      <c r="C221" s="66" t="s">
        <v>5</v>
      </c>
      <c r="D221" s="31">
        <f t="shared" si="86"/>
        <v>8142247</v>
      </c>
      <c r="E221" s="32">
        <f t="shared" si="87"/>
        <v>8084247</v>
      </c>
      <c r="F221" s="32">
        <f t="shared" si="88"/>
        <v>8078207</v>
      </c>
      <c r="G221" s="32">
        <v>6864113</v>
      </c>
      <c r="H221" s="32">
        <f>117627+110700+259262+347545+4882+85969+20458+2800+10448+239980+7223+7200</f>
        <v>1214094</v>
      </c>
      <c r="I221" s="32">
        <v>0</v>
      </c>
      <c r="J221" s="32">
        <v>6040</v>
      </c>
      <c r="K221" s="32">
        <v>0</v>
      </c>
      <c r="L221" s="32">
        <v>0</v>
      </c>
      <c r="M221" s="32">
        <f t="shared" si="89"/>
        <v>58000</v>
      </c>
      <c r="N221" s="32">
        <v>58000</v>
      </c>
      <c r="O221" s="32">
        <v>0</v>
      </c>
      <c r="P221" s="32">
        <v>0</v>
      </c>
      <c r="Q221" s="58"/>
      <c r="R221" s="58"/>
      <c r="S221" s="35"/>
      <c r="T221" s="35"/>
      <c r="U221" s="35"/>
    </row>
    <row r="222" spans="1:21" s="36" customFormat="1" ht="13.5" hidden="1" customHeight="1">
      <c r="A222" s="763"/>
      <c r="B222" s="753"/>
      <c r="C222" s="66" t="s">
        <v>6</v>
      </c>
      <c r="D222" s="31">
        <f t="shared" si="86"/>
        <v>0</v>
      </c>
      <c r="E222" s="32">
        <f t="shared" si="87"/>
        <v>0</v>
      </c>
      <c r="F222" s="32">
        <f t="shared" si="88"/>
        <v>0</v>
      </c>
      <c r="G222" s="32"/>
      <c r="H222" s="32"/>
      <c r="I222" s="32"/>
      <c r="J222" s="32"/>
      <c r="K222" s="32"/>
      <c r="L222" s="32"/>
      <c r="M222" s="32">
        <f t="shared" si="89"/>
        <v>0</v>
      </c>
      <c r="N222" s="32"/>
      <c r="O222" s="32"/>
      <c r="P222" s="32"/>
      <c r="Q222" s="58"/>
      <c r="R222" s="58"/>
      <c r="S222" s="35"/>
      <c r="T222" s="35"/>
      <c r="U222" s="35"/>
    </row>
    <row r="223" spans="1:21" s="36" customFormat="1" ht="13.5" hidden="1" customHeight="1">
      <c r="A223" s="764"/>
      <c r="B223" s="754"/>
      <c r="C223" s="66" t="s">
        <v>7</v>
      </c>
      <c r="D223" s="31">
        <f>D221+D222</f>
        <v>8142247</v>
      </c>
      <c r="E223" s="32">
        <f t="shared" ref="E223:P223" si="100">E221+E222</f>
        <v>8084247</v>
      </c>
      <c r="F223" s="32">
        <f t="shared" si="100"/>
        <v>8078207</v>
      </c>
      <c r="G223" s="32">
        <f t="shared" si="100"/>
        <v>6864113</v>
      </c>
      <c r="H223" s="32">
        <f t="shared" si="100"/>
        <v>1214094</v>
      </c>
      <c r="I223" s="32">
        <f t="shared" si="100"/>
        <v>0</v>
      </c>
      <c r="J223" s="32">
        <f t="shared" si="100"/>
        <v>6040</v>
      </c>
      <c r="K223" s="32">
        <f t="shared" si="100"/>
        <v>0</v>
      </c>
      <c r="L223" s="32">
        <f t="shared" si="100"/>
        <v>0</v>
      </c>
      <c r="M223" s="32">
        <f t="shared" si="100"/>
        <v>58000</v>
      </c>
      <c r="N223" s="32">
        <f t="shared" si="100"/>
        <v>58000</v>
      </c>
      <c r="O223" s="32">
        <f t="shared" si="100"/>
        <v>0</v>
      </c>
      <c r="P223" s="32">
        <f t="shared" si="100"/>
        <v>0</v>
      </c>
      <c r="Q223" s="58"/>
      <c r="R223" s="58"/>
      <c r="S223" s="35"/>
      <c r="T223" s="35"/>
      <c r="U223" s="35"/>
    </row>
    <row r="224" spans="1:21" s="12" customFormat="1" ht="23.45" hidden="1" customHeight="1">
      <c r="A224" s="762" t="s">
        <v>183</v>
      </c>
      <c r="B224" s="752" t="s">
        <v>184</v>
      </c>
      <c r="C224" s="66" t="s">
        <v>5</v>
      </c>
      <c r="D224" s="31">
        <f t="shared" si="86"/>
        <v>1516342</v>
      </c>
      <c r="E224" s="32">
        <f t="shared" si="87"/>
        <v>1516342</v>
      </c>
      <c r="F224" s="32">
        <f t="shared" si="88"/>
        <v>1510356</v>
      </c>
      <c r="G224" s="32">
        <v>1396623</v>
      </c>
      <c r="H224" s="32">
        <f>6000+3000+30000+1500+1000+29200+2500+40033+500</f>
        <v>113733</v>
      </c>
      <c r="I224" s="32">
        <v>5719</v>
      </c>
      <c r="J224" s="32">
        <v>267</v>
      </c>
      <c r="K224" s="32">
        <v>0</v>
      </c>
      <c r="L224" s="32">
        <v>0</v>
      </c>
      <c r="M224" s="32">
        <f t="shared" si="89"/>
        <v>0</v>
      </c>
      <c r="N224" s="32">
        <v>0</v>
      </c>
      <c r="O224" s="32">
        <v>0</v>
      </c>
      <c r="P224" s="32">
        <v>0</v>
      </c>
      <c r="Q224" s="42"/>
      <c r="R224" s="42"/>
      <c r="S224" s="18"/>
      <c r="T224" s="18"/>
      <c r="U224" s="18"/>
    </row>
    <row r="225" spans="1:21" s="12" customFormat="1" ht="23.45" hidden="1" customHeight="1">
      <c r="A225" s="763"/>
      <c r="B225" s="753"/>
      <c r="C225" s="66" t="s">
        <v>6</v>
      </c>
      <c r="D225" s="31">
        <f t="shared" si="86"/>
        <v>0</v>
      </c>
      <c r="E225" s="32">
        <f t="shared" si="87"/>
        <v>0</v>
      </c>
      <c r="F225" s="32">
        <f t="shared" si="88"/>
        <v>0</v>
      </c>
      <c r="G225" s="32"/>
      <c r="H225" s="32"/>
      <c r="I225" s="32"/>
      <c r="J225" s="32"/>
      <c r="K225" s="32"/>
      <c r="L225" s="32"/>
      <c r="M225" s="32">
        <f t="shared" si="89"/>
        <v>0</v>
      </c>
      <c r="N225" s="32"/>
      <c r="O225" s="32"/>
      <c r="P225" s="32"/>
      <c r="Q225" s="42"/>
      <c r="R225" s="42"/>
      <c r="S225" s="18"/>
      <c r="T225" s="18"/>
      <c r="U225" s="18"/>
    </row>
    <row r="226" spans="1:21" s="12" customFormat="1" ht="23.45" hidden="1" customHeight="1">
      <c r="A226" s="764"/>
      <c r="B226" s="754"/>
      <c r="C226" s="64" t="s">
        <v>7</v>
      </c>
      <c r="D226" s="31">
        <f>D224+D225</f>
        <v>1516342</v>
      </c>
      <c r="E226" s="32">
        <f t="shared" ref="E226:P226" si="101">E224+E225</f>
        <v>1516342</v>
      </c>
      <c r="F226" s="32">
        <f t="shared" si="101"/>
        <v>1510356</v>
      </c>
      <c r="G226" s="32">
        <f t="shared" si="101"/>
        <v>1396623</v>
      </c>
      <c r="H226" s="32">
        <f t="shared" si="101"/>
        <v>113733</v>
      </c>
      <c r="I226" s="32">
        <f t="shared" si="101"/>
        <v>5719</v>
      </c>
      <c r="J226" s="32">
        <f t="shared" si="101"/>
        <v>267</v>
      </c>
      <c r="K226" s="32">
        <f t="shared" si="101"/>
        <v>0</v>
      </c>
      <c r="L226" s="32">
        <f t="shared" si="101"/>
        <v>0</v>
      </c>
      <c r="M226" s="32">
        <f t="shared" si="101"/>
        <v>0</v>
      </c>
      <c r="N226" s="32">
        <f t="shared" si="101"/>
        <v>0</v>
      </c>
      <c r="O226" s="32">
        <f t="shared" si="101"/>
        <v>0</v>
      </c>
      <c r="P226" s="32">
        <f t="shared" si="101"/>
        <v>0</v>
      </c>
      <c r="Q226" s="42"/>
      <c r="R226" s="42"/>
      <c r="S226" s="18"/>
      <c r="T226" s="18"/>
      <c r="U226" s="18"/>
    </row>
    <row r="227" spans="1:21" s="36" customFormat="1" ht="13.5" hidden="1" customHeight="1">
      <c r="A227" s="762" t="s">
        <v>145</v>
      </c>
      <c r="B227" s="752" t="s">
        <v>146</v>
      </c>
      <c r="C227" s="66" t="s">
        <v>5</v>
      </c>
      <c r="D227" s="31">
        <f t="shared" si="86"/>
        <v>165162</v>
      </c>
      <c r="E227" s="32">
        <f t="shared" si="87"/>
        <v>165162</v>
      </c>
      <c r="F227" s="32">
        <f t="shared" si="88"/>
        <v>165162</v>
      </c>
      <c r="G227" s="32">
        <v>165162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f t="shared" si="89"/>
        <v>0</v>
      </c>
      <c r="N227" s="32">
        <v>0</v>
      </c>
      <c r="O227" s="32">
        <v>0</v>
      </c>
      <c r="P227" s="32">
        <v>0</v>
      </c>
      <c r="Q227" s="58"/>
      <c r="R227" s="58"/>
      <c r="S227" s="35"/>
      <c r="T227" s="35"/>
      <c r="U227" s="35"/>
    </row>
    <row r="228" spans="1:21" s="36" customFormat="1" ht="13.5" hidden="1" customHeight="1">
      <c r="A228" s="763"/>
      <c r="B228" s="753"/>
      <c r="C228" s="66" t="s">
        <v>6</v>
      </c>
      <c r="D228" s="31">
        <f t="shared" si="86"/>
        <v>0</v>
      </c>
      <c r="E228" s="32">
        <f t="shared" si="87"/>
        <v>0</v>
      </c>
      <c r="F228" s="32">
        <f t="shared" si="88"/>
        <v>0</v>
      </c>
      <c r="G228" s="32"/>
      <c r="H228" s="32"/>
      <c r="I228" s="32"/>
      <c r="J228" s="32"/>
      <c r="K228" s="32"/>
      <c r="L228" s="32"/>
      <c r="M228" s="32">
        <f t="shared" si="89"/>
        <v>0</v>
      </c>
      <c r="N228" s="32"/>
      <c r="O228" s="32"/>
      <c r="P228" s="32"/>
      <c r="Q228" s="58"/>
      <c r="R228" s="58"/>
      <c r="S228" s="35"/>
      <c r="T228" s="35"/>
      <c r="U228" s="35"/>
    </row>
    <row r="229" spans="1:21" s="36" customFormat="1" ht="13.5" hidden="1" customHeight="1">
      <c r="A229" s="764"/>
      <c r="B229" s="754"/>
      <c r="C229" s="66" t="s">
        <v>7</v>
      </c>
      <c r="D229" s="31">
        <f>D227+D228</f>
        <v>165162</v>
      </c>
      <c r="E229" s="32">
        <f t="shared" ref="E229:P229" si="102">E227+E228</f>
        <v>165162</v>
      </c>
      <c r="F229" s="32">
        <f t="shared" si="102"/>
        <v>165162</v>
      </c>
      <c r="G229" s="32">
        <f t="shared" si="102"/>
        <v>165162</v>
      </c>
      <c r="H229" s="32">
        <f t="shared" si="102"/>
        <v>0</v>
      </c>
      <c r="I229" s="32">
        <f t="shared" si="102"/>
        <v>0</v>
      </c>
      <c r="J229" s="32">
        <f t="shared" si="102"/>
        <v>0</v>
      </c>
      <c r="K229" s="32">
        <f t="shared" si="102"/>
        <v>0</v>
      </c>
      <c r="L229" s="32">
        <f t="shared" si="102"/>
        <v>0</v>
      </c>
      <c r="M229" s="32">
        <f t="shared" si="102"/>
        <v>0</v>
      </c>
      <c r="N229" s="32">
        <f t="shared" si="102"/>
        <v>0</v>
      </c>
      <c r="O229" s="32">
        <f t="shared" si="102"/>
        <v>0</v>
      </c>
      <c r="P229" s="32">
        <f t="shared" si="102"/>
        <v>0</v>
      </c>
      <c r="Q229" s="58"/>
      <c r="R229" s="58"/>
      <c r="S229" s="35"/>
      <c r="T229" s="35"/>
      <c r="U229" s="35"/>
    </row>
    <row r="230" spans="1:21" s="36" customFormat="1" ht="18" hidden="1" customHeight="1">
      <c r="A230" s="765">
        <v>80153</v>
      </c>
      <c r="B230" s="752" t="s">
        <v>207</v>
      </c>
      <c r="C230" s="66" t="s">
        <v>5</v>
      </c>
      <c r="D230" s="31">
        <f>E230+M230</f>
        <v>75</v>
      </c>
      <c r="E230" s="32">
        <f>F230+I230+J230+K230+L230</f>
        <v>75</v>
      </c>
      <c r="F230" s="32">
        <f>G230+H230</f>
        <v>75</v>
      </c>
      <c r="G230" s="32">
        <v>0</v>
      </c>
      <c r="H230" s="32">
        <v>75</v>
      </c>
      <c r="I230" s="32">
        <v>0</v>
      </c>
      <c r="J230" s="32">
        <v>0</v>
      </c>
      <c r="K230" s="32">
        <v>0</v>
      </c>
      <c r="L230" s="32">
        <v>0</v>
      </c>
      <c r="M230" s="32">
        <f>N230+P230</f>
        <v>0</v>
      </c>
      <c r="N230" s="32">
        <v>0</v>
      </c>
      <c r="O230" s="32">
        <v>0</v>
      </c>
      <c r="P230" s="32">
        <v>0</v>
      </c>
      <c r="Q230" s="58"/>
      <c r="R230" s="58"/>
      <c r="S230" s="35"/>
      <c r="T230" s="35"/>
      <c r="U230" s="35"/>
    </row>
    <row r="231" spans="1:21" s="36" customFormat="1" ht="18" hidden="1" customHeight="1">
      <c r="A231" s="766"/>
      <c r="B231" s="753"/>
      <c r="C231" s="66" t="s">
        <v>6</v>
      </c>
      <c r="D231" s="31">
        <f>E231+M231</f>
        <v>0</v>
      </c>
      <c r="E231" s="32">
        <f>F231+I231+J231+K231+L231</f>
        <v>0</v>
      </c>
      <c r="F231" s="32">
        <f>G231+H231</f>
        <v>0</v>
      </c>
      <c r="G231" s="32"/>
      <c r="H231" s="32"/>
      <c r="I231" s="32"/>
      <c r="J231" s="32"/>
      <c r="K231" s="32"/>
      <c r="L231" s="32"/>
      <c r="M231" s="32">
        <f>N231+P231</f>
        <v>0</v>
      </c>
      <c r="N231" s="32"/>
      <c r="O231" s="32"/>
      <c r="P231" s="32"/>
      <c r="Q231" s="58"/>
      <c r="R231" s="58"/>
      <c r="S231" s="35"/>
      <c r="T231" s="35"/>
      <c r="U231" s="35"/>
    </row>
    <row r="232" spans="1:21" s="36" customFormat="1" ht="18" hidden="1" customHeight="1">
      <c r="A232" s="767"/>
      <c r="B232" s="754"/>
      <c r="C232" s="66" t="s">
        <v>7</v>
      </c>
      <c r="D232" s="31">
        <f>D230+D231</f>
        <v>75</v>
      </c>
      <c r="E232" s="32">
        <f t="shared" ref="E232:P232" si="103">E230+E231</f>
        <v>75</v>
      </c>
      <c r="F232" s="32">
        <f t="shared" si="103"/>
        <v>75</v>
      </c>
      <c r="G232" s="32">
        <f t="shared" si="103"/>
        <v>0</v>
      </c>
      <c r="H232" s="32">
        <f t="shared" si="103"/>
        <v>75</v>
      </c>
      <c r="I232" s="32">
        <f t="shared" si="103"/>
        <v>0</v>
      </c>
      <c r="J232" s="32">
        <f t="shared" si="103"/>
        <v>0</v>
      </c>
      <c r="K232" s="32">
        <f t="shared" si="103"/>
        <v>0</v>
      </c>
      <c r="L232" s="32">
        <f t="shared" si="103"/>
        <v>0</v>
      </c>
      <c r="M232" s="32">
        <f t="shared" si="103"/>
        <v>0</v>
      </c>
      <c r="N232" s="32">
        <f t="shared" si="103"/>
        <v>0</v>
      </c>
      <c r="O232" s="32">
        <f t="shared" si="103"/>
        <v>0</v>
      </c>
      <c r="P232" s="32">
        <f t="shared" si="103"/>
        <v>0</v>
      </c>
      <c r="Q232" s="58"/>
      <c r="R232" s="58"/>
      <c r="S232" s="35"/>
      <c r="T232" s="35"/>
      <c r="U232" s="35"/>
    </row>
    <row r="233" spans="1:21" s="36" customFormat="1" ht="13.35" customHeight="1">
      <c r="A233" s="762" t="s">
        <v>147</v>
      </c>
      <c r="B233" s="752" t="s">
        <v>43</v>
      </c>
      <c r="C233" s="66" t="s">
        <v>5</v>
      </c>
      <c r="D233" s="31">
        <f t="shared" si="86"/>
        <v>7599780</v>
      </c>
      <c r="E233" s="32">
        <f t="shared" si="87"/>
        <v>6999948</v>
      </c>
      <c r="F233" s="32">
        <f t="shared" si="88"/>
        <v>1893758</v>
      </c>
      <c r="G233" s="32">
        <v>317534</v>
      </c>
      <c r="H233" s="32">
        <v>1576224</v>
      </c>
      <c r="I233" s="32">
        <v>0</v>
      </c>
      <c r="J233" s="32">
        <v>91500</v>
      </c>
      <c r="K233" s="32">
        <v>5014690</v>
      </c>
      <c r="L233" s="32">
        <v>0</v>
      </c>
      <c r="M233" s="32">
        <f t="shared" si="89"/>
        <v>599832</v>
      </c>
      <c r="N233" s="32">
        <v>599832</v>
      </c>
      <c r="O233" s="32">
        <v>599832</v>
      </c>
      <c r="P233" s="32">
        <v>0</v>
      </c>
      <c r="Q233" s="58"/>
      <c r="R233" s="58"/>
      <c r="S233" s="35"/>
      <c r="T233" s="35"/>
      <c r="U233" s="35"/>
    </row>
    <row r="234" spans="1:21" s="36" customFormat="1" ht="13.35" customHeight="1">
      <c r="A234" s="763"/>
      <c r="B234" s="753"/>
      <c r="C234" s="66" t="s">
        <v>6</v>
      </c>
      <c r="D234" s="31">
        <f t="shared" si="86"/>
        <v>25770</v>
      </c>
      <c r="E234" s="32">
        <f t="shared" si="87"/>
        <v>21770</v>
      </c>
      <c r="F234" s="32">
        <f t="shared" si="88"/>
        <v>0</v>
      </c>
      <c r="G234" s="32"/>
      <c r="H234" s="32"/>
      <c r="I234" s="32"/>
      <c r="J234" s="32"/>
      <c r="K234" s="32">
        <f>25379-3609</f>
        <v>21770</v>
      </c>
      <c r="L234" s="32"/>
      <c r="M234" s="32">
        <f t="shared" si="89"/>
        <v>4000</v>
      </c>
      <c r="N234" s="32">
        <v>4000</v>
      </c>
      <c r="O234" s="32">
        <v>4000</v>
      </c>
      <c r="P234" s="32"/>
      <c r="Q234" s="58"/>
      <c r="R234" s="58"/>
      <c r="S234" s="35"/>
      <c r="T234" s="35"/>
      <c r="U234" s="35"/>
    </row>
    <row r="235" spans="1:21" s="36" customFormat="1" ht="13.35" customHeight="1">
      <c r="A235" s="764"/>
      <c r="B235" s="754"/>
      <c r="C235" s="66" t="s">
        <v>7</v>
      </c>
      <c r="D235" s="31">
        <f>D233+D234</f>
        <v>7625550</v>
      </c>
      <c r="E235" s="32">
        <f t="shared" ref="E235:P235" si="104">E233+E234</f>
        <v>7021718</v>
      </c>
      <c r="F235" s="32">
        <f t="shared" si="104"/>
        <v>1893758</v>
      </c>
      <c r="G235" s="32">
        <f t="shared" si="104"/>
        <v>317534</v>
      </c>
      <c r="H235" s="32">
        <f t="shared" si="104"/>
        <v>1576224</v>
      </c>
      <c r="I235" s="32">
        <f t="shared" si="104"/>
        <v>0</v>
      </c>
      <c r="J235" s="32">
        <f t="shared" si="104"/>
        <v>91500</v>
      </c>
      <c r="K235" s="32">
        <f t="shared" si="104"/>
        <v>5036460</v>
      </c>
      <c r="L235" s="32">
        <f t="shared" si="104"/>
        <v>0</v>
      </c>
      <c r="M235" s="32">
        <f t="shared" si="104"/>
        <v>603832</v>
      </c>
      <c r="N235" s="32">
        <f t="shared" si="104"/>
        <v>603832</v>
      </c>
      <c r="O235" s="32">
        <f t="shared" si="104"/>
        <v>603832</v>
      </c>
      <c r="P235" s="32">
        <f t="shared" si="104"/>
        <v>0</v>
      </c>
      <c r="Q235" s="58"/>
      <c r="R235" s="58"/>
      <c r="S235" s="35"/>
      <c r="T235" s="35"/>
      <c r="U235" s="35"/>
    </row>
    <row r="236" spans="1:21" s="14" customFormat="1" ht="14.1" customHeight="1">
      <c r="A236" s="755" t="s">
        <v>26</v>
      </c>
      <c r="B236" s="758" t="s">
        <v>27</v>
      </c>
      <c r="C236" s="65" t="s">
        <v>5</v>
      </c>
      <c r="D236" s="40">
        <f>D239+D248+D251+D254+D257+D260+D266+D245+D242+D263</f>
        <v>201457631</v>
      </c>
      <c r="E236" s="30">
        <f t="shared" ref="E236:P237" si="105">E239+E248+E251+E254+E257+E260+E266+E245+E242+E263</f>
        <v>70243775</v>
      </c>
      <c r="F236" s="30">
        <f t="shared" si="105"/>
        <v>19118285</v>
      </c>
      <c r="G236" s="30">
        <f t="shared" si="105"/>
        <v>34236</v>
      </c>
      <c r="H236" s="30">
        <f t="shared" si="105"/>
        <v>19084049</v>
      </c>
      <c r="I236" s="30">
        <f t="shared" si="105"/>
        <v>2293500</v>
      </c>
      <c r="J236" s="30">
        <f t="shared" si="105"/>
        <v>0</v>
      </c>
      <c r="K236" s="30">
        <f t="shared" si="105"/>
        <v>48831990</v>
      </c>
      <c r="L236" s="30">
        <f t="shared" si="105"/>
        <v>0</v>
      </c>
      <c r="M236" s="30">
        <f t="shared" si="105"/>
        <v>131213856</v>
      </c>
      <c r="N236" s="30">
        <f t="shared" si="105"/>
        <v>113792856</v>
      </c>
      <c r="O236" s="30">
        <f t="shared" si="105"/>
        <v>112858296</v>
      </c>
      <c r="P236" s="30">
        <f t="shared" si="105"/>
        <v>17421000</v>
      </c>
      <c r="Q236" s="53"/>
      <c r="R236" s="53"/>
      <c r="S236" s="20"/>
      <c r="T236" s="20"/>
      <c r="U236" s="20"/>
    </row>
    <row r="237" spans="1:21" s="14" customFormat="1" ht="14.1" customHeight="1">
      <c r="A237" s="756"/>
      <c r="B237" s="759"/>
      <c r="C237" s="65" t="s">
        <v>6</v>
      </c>
      <c r="D237" s="40">
        <f>D240+D249+D252+D255+D258+D261+D267+D246+D243+D264</f>
        <v>10142744</v>
      </c>
      <c r="E237" s="30">
        <f t="shared" si="105"/>
        <v>-734369</v>
      </c>
      <c r="F237" s="30">
        <f t="shared" si="105"/>
        <v>0</v>
      </c>
      <c r="G237" s="30">
        <f t="shared" si="105"/>
        <v>0</v>
      </c>
      <c r="H237" s="30">
        <f t="shared" si="105"/>
        <v>0</v>
      </c>
      <c r="I237" s="30">
        <f t="shared" si="105"/>
        <v>0</v>
      </c>
      <c r="J237" s="30">
        <f t="shared" si="105"/>
        <v>0</v>
      </c>
      <c r="K237" s="30">
        <f t="shared" si="105"/>
        <v>-734369</v>
      </c>
      <c r="L237" s="30">
        <f t="shared" si="105"/>
        <v>0</v>
      </c>
      <c r="M237" s="30">
        <f t="shared" si="105"/>
        <v>10877113</v>
      </c>
      <c r="N237" s="30">
        <f t="shared" si="105"/>
        <v>10877113</v>
      </c>
      <c r="O237" s="30">
        <f t="shared" si="105"/>
        <v>10877113</v>
      </c>
      <c r="P237" s="30">
        <f t="shared" si="105"/>
        <v>0</v>
      </c>
      <c r="Q237" s="53"/>
      <c r="R237" s="53"/>
      <c r="S237" s="20"/>
      <c r="T237" s="20"/>
      <c r="U237" s="20"/>
    </row>
    <row r="238" spans="1:21" s="14" customFormat="1" ht="14.1" customHeight="1">
      <c r="A238" s="757"/>
      <c r="B238" s="760"/>
      <c r="C238" s="65" t="s">
        <v>7</v>
      </c>
      <c r="D238" s="40">
        <f>D236+D237</f>
        <v>211600375</v>
      </c>
      <c r="E238" s="30">
        <f t="shared" ref="E238:P238" si="106">E236+E237</f>
        <v>69509406</v>
      </c>
      <c r="F238" s="30">
        <f t="shared" si="106"/>
        <v>19118285</v>
      </c>
      <c r="G238" s="30">
        <f t="shared" si="106"/>
        <v>34236</v>
      </c>
      <c r="H238" s="30">
        <f t="shared" si="106"/>
        <v>19084049</v>
      </c>
      <c r="I238" s="30">
        <f t="shared" si="106"/>
        <v>2293500</v>
      </c>
      <c r="J238" s="30">
        <f t="shared" si="106"/>
        <v>0</v>
      </c>
      <c r="K238" s="30">
        <f t="shared" si="106"/>
        <v>48097621</v>
      </c>
      <c r="L238" s="30">
        <f t="shared" si="106"/>
        <v>0</v>
      </c>
      <c r="M238" s="30">
        <f t="shared" si="106"/>
        <v>142090969</v>
      </c>
      <c r="N238" s="30">
        <f t="shared" si="106"/>
        <v>124669969</v>
      </c>
      <c r="O238" s="30">
        <f t="shared" si="106"/>
        <v>123735409</v>
      </c>
      <c r="P238" s="30">
        <f t="shared" si="106"/>
        <v>17421000</v>
      </c>
      <c r="Q238" s="53"/>
      <c r="R238" s="53"/>
      <c r="S238" s="20"/>
      <c r="T238" s="20"/>
      <c r="U238" s="20"/>
    </row>
    <row r="239" spans="1:21" s="36" customFormat="1" ht="13.5" hidden="1" customHeight="1">
      <c r="A239" s="749">
        <v>85111</v>
      </c>
      <c r="B239" s="752" t="s">
        <v>148</v>
      </c>
      <c r="C239" s="66" t="s">
        <v>5</v>
      </c>
      <c r="D239" s="31">
        <f t="shared" ref="D239:D267" si="107">E239+M239</f>
        <v>27692675</v>
      </c>
      <c r="E239" s="32">
        <f t="shared" ref="E239:E267" si="108">F239+I239+J239+K239+L239</f>
        <v>1198802</v>
      </c>
      <c r="F239" s="32">
        <f t="shared" ref="F239:F267" si="109">G239+H239</f>
        <v>985339</v>
      </c>
      <c r="G239" s="32">
        <v>0</v>
      </c>
      <c r="H239" s="32">
        <v>985339</v>
      </c>
      <c r="I239" s="32">
        <v>0</v>
      </c>
      <c r="J239" s="32">
        <v>0</v>
      </c>
      <c r="K239" s="32">
        <v>213463</v>
      </c>
      <c r="L239" s="32">
        <v>0</v>
      </c>
      <c r="M239" s="32">
        <f t="shared" ref="M239:M267" si="110">N239+P239</f>
        <v>26493873</v>
      </c>
      <c r="N239" s="32">
        <v>26493873</v>
      </c>
      <c r="O239" s="32">
        <v>25731513</v>
      </c>
      <c r="P239" s="32">
        <v>0</v>
      </c>
      <c r="Q239" s="58"/>
      <c r="R239" s="58"/>
      <c r="S239" s="35"/>
      <c r="T239" s="35"/>
      <c r="U239" s="35"/>
    </row>
    <row r="240" spans="1:21" s="36" customFormat="1" ht="13.5" hidden="1" customHeight="1">
      <c r="A240" s="750"/>
      <c r="B240" s="753"/>
      <c r="C240" s="66" t="s">
        <v>6</v>
      </c>
      <c r="D240" s="31">
        <f t="shared" si="107"/>
        <v>0</v>
      </c>
      <c r="E240" s="32">
        <f t="shared" si="108"/>
        <v>0</v>
      </c>
      <c r="F240" s="32">
        <f t="shared" si="109"/>
        <v>0</v>
      </c>
      <c r="G240" s="32"/>
      <c r="H240" s="32"/>
      <c r="I240" s="32"/>
      <c r="J240" s="32"/>
      <c r="K240" s="32"/>
      <c r="L240" s="32"/>
      <c r="M240" s="32">
        <f t="shared" si="110"/>
        <v>0</v>
      </c>
      <c r="N240" s="32"/>
      <c r="O240" s="32"/>
      <c r="P240" s="32"/>
      <c r="Q240" s="58"/>
      <c r="R240" s="58"/>
      <c r="S240" s="35"/>
      <c r="T240" s="35"/>
      <c r="U240" s="35"/>
    </row>
    <row r="241" spans="1:21" s="36" customFormat="1" ht="13.5" hidden="1" customHeight="1">
      <c r="A241" s="751"/>
      <c r="B241" s="754"/>
      <c r="C241" s="66" t="s">
        <v>7</v>
      </c>
      <c r="D241" s="31">
        <f>D239+D240</f>
        <v>27692675</v>
      </c>
      <c r="E241" s="32">
        <f t="shared" ref="E241:P241" si="111">E239+E240</f>
        <v>1198802</v>
      </c>
      <c r="F241" s="32">
        <f t="shared" si="111"/>
        <v>985339</v>
      </c>
      <c r="G241" s="32">
        <f t="shared" si="111"/>
        <v>0</v>
      </c>
      <c r="H241" s="32">
        <f t="shared" si="111"/>
        <v>985339</v>
      </c>
      <c r="I241" s="32">
        <f t="shared" si="111"/>
        <v>0</v>
      </c>
      <c r="J241" s="32">
        <f t="shared" si="111"/>
        <v>0</v>
      </c>
      <c r="K241" s="32">
        <f t="shared" si="111"/>
        <v>213463</v>
      </c>
      <c r="L241" s="32">
        <f t="shared" si="111"/>
        <v>0</v>
      </c>
      <c r="M241" s="32">
        <f t="shared" si="111"/>
        <v>26493873</v>
      </c>
      <c r="N241" s="32">
        <f t="shared" si="111"/>
        <v>26493873</v>
      </c>
      <c r="O241" s="32">
        <f t="shared" si="111"/>
        <v>25731513</v>
      </c>
      <c r="P241" s="32">
        <f t="shared" si="111"/>
        <v>0</v>
      </c>
      <c r="Q241" s="58"/>
      <c r="R241" s="58"/>
      <c r="S241" s="35"/>
      <c r="T241" s="35"/>
      <c r="U241" s="35"/>
    </row>
    <row r="242" spans="1:21" s="36" customFormat="1" hidden="1">
      <c r="A242" s="749">
        <v>85117</v>
      </c>
      <c r="B242" s="752" t="s">
        <v>200</v>
      </c>
      <c r="C242" s="66" t="s">
        <v>5</v>
      </c>
      <c r="D242" s="31">
        <f>E242+M242</f>
        <v>464053</v>
      </c>
      <c r="E242" s="32">
        <f>F242+I242+J242+K242+L242</f>
        <v>0</v>
      </c>
      <c r="F242" s="32">
        <f>G242+H242</f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f t="shared" si="110"/>
        <v>464053</v>
      </c>
      <c r="N242" s="32">
        <v>464053</v>
      </c>
      <c r="O242" s="32">
        <v>464053</v>
      </c>
      <c r="P242" s="32"/>
      <c r="Q242" s="58"/>
      <c r="R242" s="58"/>
      <c r="S242" s="35"/>
      <c r="T242" s="35"/>
      <c r="U242" s="35"/>
    </row>
    <row r="243" spans="1:21" s="36" customFormat="1" hidden="1">
      <c r="A243" s="750"/>
      <c r="B243" s="753"/>
      <c r="C243" s="66" t="s">
        <v>6</v>
      </c>
      <c r="D243" s="31">
        <f>E243+M243</f>
        <v>0</v>
      </c>
      <c r="E243" s="32">
        <f>F243+I243+J243+K243+L243</f>
        <v>0</v>
      </c>
      <c r="F243" s="32">
        <f>G243+H243</f>
        <v>0</v>
      </c>
      <c r="G243" s="32"/>
      <c r="H243" s="32"/>
      <c r="I243" s="32"/>
      <c r="J243" s="32"/>
      <c r="K243" s="32"/>
      <c r="L243" s="32"/>
      <c r="M243" s="32">
        <f t="shared" si="110"/>
        <v>0</v>
      </c>
      <c r="N243" s="32"/>
      <c r="O243" s="32"/>
      <c r="P243" s="32"/>
      <c r="Q243" s="58"/>
      <c r="R243" s="58"/>
      <c r="S243" s="35"/>
      <c r="T243" s="35"/>
      <c r="U243" s="35"/>
    </row>
    <row r="244" spans="1:21" s="36" customFormat="1" hidden="1">
      <c r="A244" s="751"/>
      <c r="B244" s="754"/>
      <c r="C244" s="66" t="s">
        <v>7</v>
      </c>
      <c r="D244" s="31">
        <f>D242+D243</f>
        <v>464053</v>
      </c>
      <c r="E244" s="32">
        <f t="shared" ref="E244:P244" si="112">E242+E243</f>
        <v>0</v>
      </c>
      <c r="F244" s="32">
        <f t="shared" si="112"/>
        <v>0</v>
      </c>
      <c r="G244" s="32">
        <f t="shared" si="112"/>
        <v>0</v>
      </c>
      <c r="H244" s="32">
        <f t="shared" si="112"/>
        <v>0</v>
      </c>
      <c r="I244" s="32">
        <f t="shared" si="112"/>
        <v>0</v>
      </c>
      <c r="J244" s="32">
        <f t="shared" si="112"/>
        <v>0</v>
      </c>
      <c r="K244" s="32">
        <f t="shared" si="112"/>
        <v>0</v>
      </c>
      <c r="L244" s="32">
        <f t="shared" si="112"/>
        <v>0</v>
      </c>
      <c r="M244" s="32">
        <f t="shared" si="112"/>
        <v>464053</v>
      </c>
      <c r="N244" s="32">
        <f t="shared" si="112"/>
        <v>464053</v>
      </c>
      <c r="O244" s="32">
        <f t="shared" si="112"/>
        <v>464053</v>
      </c>
      <c r="P244" s="32">
        <f t="shared" si="112"/>
        <v>0</v>
      </c>
      <c r="Q244" s="58"/>
      <c r="R244" s="58"/>
      <c r="S244" s="35"/>
      <c r="T244" s="35"/>
      <c r="U244" s="35"/>
    </row>
    <row r="245" spans="1:21" s="36" customFormat="1" ht="13.5" hidden="1" customHeight="1">
      <c r="A245" s="749">
        <v>85119</v>
      </c>
      <c r="B245" s="752" t="s">
        <v>201</v>
      </c>
      <c r="C245" s="66" t="s">
        <v>5</v>
      </c>
      <c r="D245" s="31">
        <f t="shared" si="107"/>
        <v>2421000</v>
      </c>
      <c r="E245" s="32">
        <f t="shared" si="108"/>
        <v>0</v>
      </c>
      <c r="F245" s="32">
        <f t="shared" si="109"/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2421000</v>
      </c>
      <c r="N245" s="32">
        <v>0</v>
      </c>
      <c r="O245" s="32">
        <v>0</v>
      </c>
      <c r="P245" s="32">
        <v>2421000</v>
      </c>
      <c r="Q245" s="58"/>
      <c r="R245" s="58"/>
      <c r="S245" s="35"/>
      <c r="T245" s="35"/>
      <c r="U245" s="35"/>
    </row>
    <row r="246" spans="1:21" s="36" customFormat="1" ht="13.5" hidden="1" customHeight="1">
      <c r="A246" s="750"/>
      <c r="B246" s="753"/>
      <c r="C246" s="66" t="s">
        <v>6</v>
      </c>
      <c r="D246" s="31">
        <f t="shared" si="107"/>
        <v>0</v>
      </c>
      <c r="E246" s="32">
        <f t="shared" si="108"/>
        <v>0</v>
      </c>
      <c r="F246" s="32">
        <f t="shared" si="109"/>
        <v>0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58"/>
      <c r="R246" s="58"/>
      <c r="S246" s="35"/>
      <c r="T246" s="35"/>
      <c r="U246" s="35"/>
    </row>
    <row r="247" spans="1:21" s="36" customFormat="1" ht="13.5" hidden="1" customHeight="1">
      <c r="A247" s="751"/>
      <c r="B247" s="754"/>
      <c r="C247" s="66" t="s">
        <v>7</v>
      </c>
      <c r="D247" s="31">
        <f>D245+D246</f>
        <v>2421000</v>
      </c>
      <c r="E247" s="32">
        <f t="shared" ref="E247:P247" si="113">E245+E246</f>
        <v>0</v>
      </c>
      <c r="F247" s="32">
        <f t="shared" si="113"/>
        <v>0</v>
      </c>
      <c r="G247" s="32">
        <f t="shared" si="113"/>
        <v>0</v>
      </c>
      <c r="H247" s="32">
        <f t="shared" si="113"/>
        <v>0</v>
      </c>
      <c r="I247" s="32">
        <f t="shared" si="113"/>
        <v>0</v>
      </c>
      <c r="J247" s="32">
        <f t="shared" si="113"/>
        <v>0</v>
      </c>
      <c r="K247" s="32">
        <f t="shared" si="113"/>
        <v>0</v>
      </c>
      <c r="L247" s="32">
        <f t="shared" si="113"/>
        <v>0</v>
      </c>
      <c r="M247" s="32">
        <f t="shared" si="113"/>
        <v>2421000</v>
      </c>
      <c r="N247" s="32">
        <f t="shared" si="113"/>
        <v>0</v>
      </c>
      <c r="O247" s="32">
        <f t="shared" si="113"/>
        <v>0</v>
      </c>
      <c r="P247" s="32">
        <f t="shared" si="113"/>
        <v>2421000</v>
      </c>
      <c r="Q247" s="58"/>
      <c r="R247" s="58"/>
      <c r="S247" s="35"/>
      <c r="T247" s="35"/>
      <c r="U247" s="35"/>
    </row>
    <row r="248" spans="1:21" s="36" customFormat="1" ht="13.5" hidden="1" customHeight="1">
      <c r="A248" s="749">
        <v>85148</v>
      </c>
      <c r="B248" s="752" t="s">
        <v>149</v>
      </c>
      <c r="C248" s="66" t="s">
        <v>5</v>
      </c>
      <c r="D248" s="31">
        <f t="shared" si="107"/>
        <v>4631340</v>
      </c>
      <c r="E248" s="32">
        <f t="shared" si="108"/>
        <v>4560000</v>
      </c>
      <c r="F248" s="32">
        <f t="shared" si="109"/>
        <v>4200000</v>
      </c>
      <c r="G248" s="32">
        <v>0</v>
      </c>
      <c r="H248" s="32">
        <v>4200000</v>
      </c>
      <c r="I248" s="32">
        <v>360000</v>
      </c>
      <c r="J248" s="32">
        <v>0</v>
      </c>
      <c r="K248" s="32">
        <v>0</v>
      </c>
      <c r="L248" s="32">
        <v>0</v>
      </c>
      <c r="M248" s="32">
        <f t="shared" si="110"/>
        <v>71340</v>
      </c>
      <c r="N248" s="32">
        <v>71340</v>
      </c>
      <c r="O248" s="32">
        <v>0</v>
      </c>
      <c r="P248" s="32">
        <v>0</v>
      </c>
      <c r="Q248" s="58"/>
      <c r="R248" s="58"/>
      <c r="S248" s="35"/>
      <c r="T248" s="35"/>
      <c r="U248" s="35"/>
    </row>
    <row r="249" spans="1:21" s="36" customFormat="1" ht="13.5" hidden="1" customHeight="1">
      <c r="A249" s="750"/>
      <c r="B249" s="753"/>
      <c r="C249" s="66" t="s">
        <v>6</v>
      </c>
      <c r="D249" s="31">
        <f t="shared" si="107"/>
        <v>0</v>
      </c>
      <c r="E249" s="32">
        <f t="shared" si="108"/>
        <v>0</v>
      </c>
      <c r="F249" s="32">
        <f t="shared" si="109"/>
        <v>0</v>
      </c>
      <c r="G249" s="32"/>
      <c r="H249" s="32"/>
      <c r="I249" s="32"/>
      <c r="J249" s="32"/>
      <c r="K249" s="32"/>
      <c r="L249" s="32"/>
      <c r="M249" s="32">
        <f t="shared" si="110"/>
        <v>0</v>
      </c>
      <c r="N249" s="32"/>
      <c r="O249" s="32"/>
      <c r="P249" s="32"/>
      <c r="Q249" s="58"/>
      <c r="R249" s="58"/>
      <c r="S249" s="35"/>
      <c r="T249" s="35"/>
      <c r="U249" s="35"/>
    </row>
    <row r="250" spans="1:21" s="36" customFormat="1" ht="13.5" hidden="1" customHeight="1">
      <c r="A250" s="751"/>
      <c r="B250" s="754"/>
      <c r="C250" s="66" t="s">
        <v>7</v>
      </c>
      <c r="D250" s="31">
        <f>D248+D249</f>
        <v>4631340</v>
      </c>
      <c r="E250" s="32">
        <f t="shared" ref="E250:P250" si="114">E248+E249</f>
        <v>4560000</v>
      </c>
      <c r="F250" s="32">
        <f t="shared" si="114"/>
        <v>4200000</v>
      </c>
      <c r="G250" s="32">
        <f t="shared" si="114"/>
        <v>0</v>
      </c>
      <c r="H250" s="32">
        <f t="shared" si="114"/>
        <v>4200000</v>
      </c>
      <c r="I250" s="32">
        <f t="shared" si="114"/>
        <v>360000</v>
      </c>
      <c r="J250" s="32">
        <f t="shared" si="114"/>
        <v>0</v>
      </c>
      <c r="K250" s="32">
        <f t="shared" si="114"/>
        <v>0</v>
      </c>
      <c r="L250" s="32">
        <f t="shared" si="114"/>
        <v>0</v>
      </c>
      <c r="M250" s="32">
        <f t="shared" si="114"/>
        <v>71340</v>
      </c>
      <c r="N250" s="32">
        <f t="shared" si="114"/>
        <v>71340</v>
      </c>
      <c r="O250" s="32">
        <f t="shared" si="114"/>
        <v>0</v>
      </c>
      <c r="P250" s="32">
        <f t="shared" si="114"/>
        <v>0</v>
      </c>
      <c r="Q250" s="58"/>
      <c r="R250" s="58"/>
      <c r="S250" s="35"/>
      <c r="T250" s="35"/>
      <c r="U250" s="35"/>
    </row>
    <row r="251" spans="1:21" s="36" customFormat="1" ht="13.5" hidden="1" customHeight="1">
      <c r="A251" s="749">
        <v>85149</v>
      </c>
      <c r="B251" s="752" t="s">
        <v>150</v>
      </c>
      <c r="C251" s="66" t="s">
        <v>5</v>
      </c>
      <c r="D251" s="31">
        <f t="shared" si="107"/>
        <v>1860000</v>
      </c>
      <c r="E251" s="32">
        <f t="shared" si="108"/>
        <v>1860000</v>
      </c>
      <c r="F251" s="32">
        <f t="shared" si="109"/>
        <v>100000</v>
      </c>
      <c r="G251" s="32">
        <v>1000</v>
      </c>
      <c r="H251" s="32">
        <f>2000+2000+95000</f>
        <v>99000</v>
      </c>
      <c r="I251" s="32">
        <v>1000000</v>
      </c>
      <c r="J251" s="32">
        <v>0</v>
      </c>
      <c r="K251" s="32">
        <v>760000</v>
      </c>
      <c r="L251" s="32">
        <v>0</v>
      </c>
      <c r="M251" s="32">
        <f t="shared" si="110"/>
        <v>0</v>
      </c>
      <c r="N251" s="32">
        <v>0</v>
      </c>
      <c r="O251" s="32">
        <v>0</v>
      </c>
      <c r="P251" s="32">
        <v>0</v>
      </c>
      <c r="Q251" s="58"/>
      <c r="R251" s="58"/>
      <c r="S251" s="35"/>
      <c r="T251" s="35"/>
      <c r="U251" s="35"/>
    </row>
    <row r="252" spans="1:21" s="36" customFormat="1" ht="13.5" hidden="1" customHeight="1">
      <c r="A252" s="750"/>
      <c r="B252" s="753"/>
      <c r="C252" s="66" t="s">
        <v>6</v>
      </c>
      <c r="D252" s="31">
        <f t="shared" si="107"/>
        <v>0</v>
      </c>
      <c r="E252" s="32">
        <f t="shared" si="108"/>
        <v>0</v>
      </c>
      <c r="F252" s="32">
        <f t="shared" si="109"/>
        <v>0</v>
      </c>
      <c r="G252" s="32"/>
      <c r="H252" s="32"/>
      <c r="I252" s="32"/>
      <c r="J252" s="32"/>
      <c r="K252" s="32"/>
      <c r="L252" s="32"/>
      <c r="M252" s="32">
        <f t="shared" si="110"/>
        <v>0</v>
      </c>
      <c r="N252" s="32"/>
      <c r="O252" s="32"/>
      <c r="P252" s="32"/>
      <c r="Q252" s="58"/>
      <c r="R252" s="58"/>
      <c r="S252" s="35"/>
      <c r="T252" s="35"/>
      <c r="U252" s="35"/>
    </row>
    <row r="253" spans="1:21" s="36" customFormat="1" ht="13.5" hidden="1" customHeight="1">
      <c r="A253" s="751"/>
      <c r="B253" s="754"/>
      <c r="C253" s="66" t="s">
        <v>7</v>
      </c>
      <c r="D253" s="31">
        <f>D251+D252</f>
        <v>1860000</v>
      </c>
      <c r="E253" s="32">
        <f t="shared" ref="E253:P253" si="115">E251+E252</f>
        <v>1860000</v>
      </c>
      <c r="F253" s="32">
        <f t="shared" si="115"/>
        <v>100000</v>
      </c>
      <c r="G253" s="32">
        <f t="shared" si="115"/>
        <v>1000</v>
      </c>
      <c r="H253" s="32">
        <f t="shared" si="115"/>
        <v>99000</v>
      </c>
      <c r="I253" s="32">
        <f t="shared" si="115"/>
        <v>1000000</v>
      </c>
      <c r="J253" s="32">
        <f t="shared" si="115"/>
        <v>0</v>
      </c>
      <c r="K253" s="32">
        <f t="shared" si="115"/>
        <v>760000</v>
      </c>
      <c r="L253" s="32">
        <f t="shared" si="115"/>
        <v>0</v>
      </c>
      <c r="M253" s="32">
        <f t="shared" si="115"/>
        <v>0</v>
      </c>
      <c r="N253" s="32">
        <f t="shared" si="115"/>
        <v>0</v>
      </c>
      <c r="O253" s="32">
        <f t="shared" si="115"/>
        <v>0</v>
      </c>
      <c r="P253" s="32">
        <f t="shared" si="115"/>
        <v>0</v>
      </c>
      <c r="Q253" s="58"/>
      <c r="R253" s="58"/>
      <c r="S253" s="35"/>
      <c r="T253" s="35"/>
      <c r="U253" s="35"/>
    </row>
    <row r="254" spans="1:21" s="36" customFormat="1" ht="13.5" hidden="1" customHeight="1">
      <c r="A254" s="749">
        <v>85153</v>
      </c>
      <c r="B254" s="752" t="s">
        <v>151</v>
      </c>
      <c r="C254" s="66" t="s">
        <v>5</v>
      </c>
      <c r="D254" s="31">
        <f t="shared" si="107"/>
        <v>480000</v>
      </c>
      <c r="E254" s="32">
        <f t="shared" si="108"/>
        <v>480000</v>
      </c>
      <c r="F254" s="32">
        <f t="shared" si="109"/>
        <v>130000</v>
      </c>
      <c r="G254" s="32">
        <v>14000</v>
      </c>
      <c r="H254" s="32">
        <f>11000+7000+98000</f>
        <v>116000</v>
      </c>
      <c r="I254" s="32">
        <v>350000</v>
      </c>
      <c r="J254" s="32">
        <v>0</v>
      </c>
      <c r="K254" s="32">
        <v>0</v>
      </c>
      <c r="L254" s="32">
        <v>0</v>
      </c>
      <c r="M254" s="32">
        <f t="shared" si="110"/>
        <v>0</v>
      </c>
      <c r="N254" s="32">
        <v>0</v>
      </c>
      <c r="O254" s="32">
        <v>0</v>
      </c>
      <c r="P254" s="32">
        <v>0</v>
      </c>
      <c r="Q254" s="58"/>
      <c r="R254" s="58"/>
      <c r="S254" s="35"/>
      <c r="T254" s="35"/>
      <c r="U254" s="35"/>
    </row>
    <row r="255" spans="1:21" s="36" customFormat="1" ht="13.5" hidden="1" customHeight="1">
      <c r="A255" s="750"/>
      <c r="B255" s="753"/>
      <c r="C255" s="66" t="s">
        <v>6</v>
      </c>
      <c r="D255" s="31">
        <f t="shared" si="107"/>
        <v>0</v>
      </c>
      <c r="E255" s="32">
        <f t="shared" si="108"/>
        <v>0</v>
      </c>
      <c r="F255" s="32">
        <f t="shared" si="109"/>
        <v>0</v>
      </c>
      <c r="G255" s="32"/>
      <c r="H255" s="32"/>
      <c r="I255" s="32"/>
      <c r="J255" s="32"/>
      <c r="K255" s="32"/>
      <c r="L255" s="32"/>
      <c r="M255" s="32">
        <f t="shared" si="110"/>
        <v>0</v>
      </c>
      <c r="N255" s="32"/>
      <c r="O255" s="32"/>
      <c r="P255" s="32"/>
      <c r="Q255" s="58"/>
      <c r="R255" s="58"/>
      <c r="S255" s="35"/>
      <c r="T255" s="35"/>
      <c r="U255" s="35"/>
    </row>
    <row r="256" spans="1:21" s="36" customFormat="1" ht="13.5" hidden="1" customHeight="1">
      <c r="A256" s="751"/>
      <c r="B256" s="754"/>
      <c r="C256" s="66" t="s">
        <v>7</v>
      </c>
      <c r="D256" s="31">
        <f>D254+D255</f>
        <v>480000</v>
      </c>
      <c r="E256" s="32">
        <f t="shared" ref="E256:P256" si="116">E254+E255</f>
        <v>480000</v>
      </c>
      <c r="F256" s="32">
        <f t="shared" si="116"/>
        <v>130000</v>
      </c>
      <c r="G256" s="32">
        <f t="shared" si="116"/>
        <v>14000</v>
      </c>
      <c r="H256" s="32">
        <f t="shared" si="116"/>
        <v>116000</v>
      </c>
      <c r="I256" s="32">
        <f t="shared" si="116"/>
        <v>350000</v>
      </c>
      <c r="J256" s="32">
        <f t="shared" si="116"/>
        <v>0</v>
      </c>
      <c r="K256" s="32">
        <f t="shared" si="116"/>
        <v>0</v>
      </c>
      <c r="L256" s="32">
        <f t="shared" si="116"/>
        <v>0</v>
      </c>
      <c r="M256" s="32">
        <f t="shared" si="116"/>
        <v>0</v>
      </c>
      <c r="N256" s="32">
        <f t="shared" si="116"/>
        <v>0</v>
      </c>
      <c r="O256" s="32">
        <f t="shared" si="116"/>
        <v>0</v>
      </c>
      <c r="P256" s="32">
        <f t="shared" si="116"/>
        <v>0</v>
      </c>
      <c r="Q256" s="58"/>
      <c r="R256" s="58"/>
      <c r="S256" s="35"/>
      <c r="T256" s="35"/>
      <c r="U256" s="35"/>
    </row>
    <row r="257" spans="1:21" s="36" customFormat="1" ht="13.5" hidden="1" customHeight="1">
      <c r="A257" s="749">
        <v>85154</v>
      </c>
      <c r="B257" s="752" t="s">
        <v>152</v>
      </c>
      <c r="C257" s="66" t="s">
        <v>5</v>
      </c>
      <c r="D257" s="31">
        <f t="shared" si="107"/>
        <v>714360</v>
      </c>
      <c r="E257" s="32">
        <f t="shared" si="108"/>
        <v>613500</v>
      </c>
      <c r="F257" s="32">
        <f t="shared" si="109"/>
        <v>30000</v>
      </c>
      <c r="G257" s="32">
        <v>3000</v>
      </c>
      <c r="H257" s="32">
        <f>4000+23000</f>
        <v>27000</v>
      </c>
      <c r="I257" s="32">
        <v>583500</v>
      </c>
      <c r="J257" s="32">
        <v>0</v>
      </c>
      <c r="K257" s="32">
        <v>0</v>
      </c>
      <c r="L257" s="32">
        <v>0</v>
      </c>
      <c r="M257" s="32">
        <f t="shared" si="110"/>
        <v>100860</v>
      </c>
      <c r="N257" s="32">
        <v>100860</v>
      </c>
      <c r="O257" s="32">
        <v>0</v>
      </c>
      <c r="P257" s="32">
        <v>0</v>
      </c>
      <c r="Q257" s="58"/>
      <c r="R257" s="58"/>
      <c r="S257" s="35"/>
      <c r="T257" s="35"/>
      <c r="U257" s="35"/>
    </row>
    <row r="258" spans="1:21" s="36" customFormat="1" ht="13.5" hidden="1" customHeight="1">
      <c r="A258" s="750"/>
      <c r="B258" s="753"/>
      <c r="C258" s="66" t="s">
        <v>6</v>
      </c>
      <c r="D258" s="31">
        <f t="shared" si="107"/>
        <v>0</v>
      </c>
      <c r="E258" s="32">
        <f t="shared" si="108"/>
        <v>0</v>
      </c>
      <c r="F258" s="32">
        <f t="shared" si="109"/>
        <v>0</v>
      </c>
      <c r="G258" s="32"/>
      <c r="H258" s="32"/>
      <c r="I258" s="32"/>
      <c r="J258" s="32"/>
      <c r="K258" s="32"/>
      <c r="L258" s="32"/>
      <c r="M258" s="32">
        <f t="shared" si="110"/>
        <v>0</v>
      </c>
      <c r="N258" s="32"/>
      <c r="O258" s="32"/>
      <c r="P258" s="32"/>
      <c r="Q258" s="58"/>
      <c r="R258" s="58"/>
      <c r="S258" s="35"/>
      <c r="T258" s="35"/>
      <c r="U258" s="35"/>
    </row>
    <row r="259" spans="1:21" s="36" customFormat="1" ht="13.5" hidden="1" customHeight="1">
      <c r="A259" s="751"/>
      <c r="B259" s="754"/>
      <c r="C259" s="66" t="s">
        <v>7</v>
      </c>
      <c r="D259" s="31">
        <f>D257+D258</f>
        <v>714360</v>
      </c>
      <c r="E259" s="32">
        <f t="shared" ref="E259:P259" si="117">E257+E258</f>
        <v>613500</v>
      </c>
      <c r="F259" s="32">
        <f t="shared" si="117"/>
        <v>30000</v>
      </c>
      <c r="G259" s="32">
        <f t="shared" si="117"/>
        <v>3000</v>
      </c>
      <c r="H259" s="32">
        <f t="shared" si="117"/>
        <v>27000</v>
      </c>
      <c r="I259" s="32">
        <f t="shared" si="117"/>
        <v>583500</v>
      </c>
      <c r="J259" s="32">
        <f t="shared" si="117"/>
        <v>0</v>
      </c>
      <c r="K259" s="32">
        <f t="shared" si="117"/>
        <v>0</v>
      </c>
      <c r="L259" s="32">
        <f t="shared" si="117"/>
        <v>0</v>
      </c>
      <c r="M259" s="32">
        <f t="shared" si="117"/>
        <v>100860</v>
      </c>
      <c r="N259" s="32">
        <f t="shared" si="117"/>
        <v>100860</v>
      </c>
      <c r="O259" s="32">
        <f t="shared" si="117"/>
        <v>0</v>
      </c>
      <c r="P259" s="32">
        <f t="shared" si="117"/>
        <v>0</v>
      </c>
      <c r="Q259" s="58"/>
      <c r="R259" s="58"/>
      <c r="S259" s="35"/>
      <c r="T259" s="35"/>
      <c r="U259" s="35"/>
    </row>
    <row r="260" spans="1:21" s="12" customFormat="1" hidden="1">
      <c r="A260" s="749">
        <v>85156</v>
      </c>
      <c r="B260" s="752" t="s">
        <v>52</v>
      </c>
      <c r="C260" s="66" t="s">
        <v>5</v>
      </c>
      <c r="D260" s="31">
        <f t="shared" si="107"/>
        <v>16000</v>
      </c>
      <c r="E260" s="32">
        <f t="shared" si="108"/>
        <v>16000</v>
      </c>
      <c r="F260" s="32">
        <f t="shared" si="109"/>
        <v>16000</v>
      </c>
      <c r="G260" s="32">
        <v>0</v>
      </c>
      <c r="H260" s="32">
        <v>16000</v>
      </c>
      <c r="I260" s="32">
        <v>0</v>
      </c>
      <c r="J260" s="32">
        <v>0</v>
      </c>
      <c r="K260" s="32">
        <v>0</v>
      </c>
      <c r="L260" s="32">
        <v>0</v>
      </c>
      <c r="M260" s="32">
        <f t="shared" si="110"/>
        <v>0</v>
      </c>
      <c r="N260" s="32">
        <v>0</v>
      </c>
      <c r="O260" s="32">
        <v>0</v>
      </c>
      <c r="P260" s="32">
        <v>0</v>
      </c>
      <c r="Q260" s="42"/>
      <c r="R260" s="42"/>
      <c r="S260" s="18"/>
      <c r="T260" s="18"/>
      <c r="U260" s="18"/>
    </row>
    <row r="261" spans="1:21" s="12" customFormat="1" hidden="1">
      <c r="A261" s="750"/>
      <c r="B261" s="753"/>
      <c r="C261" s="66" t="s">
        <v>6</v>
      </c>
      <c r="D261" s="31">
        <f t="shared" si="107"/>
        <v>0</v>
      </c>
      <c r="E261" s="32">
        <f t="shared" si="108"/>
        <v>0</v>
      </c>
      <c r="F261" s="32">
        <f t="shared" si="109"/>
        <v>0</v>
      </c>
      <c r="G261" s="32"/>
      <c r="H261" s="32"/>
      <c r="I261" s="32"/>
      <c r="J261" s="32"/>
      <c r="K261" s="32"/>
      <c r="L261" s="32"/>
      <c r="M261" s="32">
        <f t="shared" si="110"/>
        <v>0</v>
      </c>
      <c r="N261" s="32"/>
      <c r="O261" s="32"/>
      <c r="P261" s="32"/>
      <c r="Q261" s="42"/>
      <c r="R261" s="42"/>
      <c r="S261" s="18"/>
      <c r="T261" s="18"/>
      <c r="U261" s="18"/>
    </row>
    <row r="262" spans="1:21" s="12" customFormat="1" hidden="1">
      <c r="A262" s="751"/>
      <c r="B262" s="754"/>
      <c r="C262" s="66" t="s">
        <v>7</v>
      </c>
      <c r="D262" s="31">
        <f>D260+D261</f>
        <v>16000</v>
      </c>
      <c r="E262" s="32">
        <f t="shared" ref="E262:P262" si="118">E260+E261</f>
        <v>16000</v>
      </c>
      <c r="F262" s="32">
        <f t="shared" si="118"/>
        <v>16000</v>
      </c>
      <c r="G262" s="32">
        <f t="shared" si="118"/>
        <v>0</v>
      </c>
      <c r="H262" s="32">
        <f t="shared" si="118"/>
        <v>16000</v>
      </c>
      <c r="I262" s="32">
        <f t="shared" si="118"/>
        <v>0</v>
      </c>
      <c r="J262" s="32">
        <f t="shared" si="118"/>
        <v>0</v>
      </c>
      <c r="K262" s="32">
        <f t="shared" si="118"/>
        <v>0</v>
      </c>
      <c r="L262" s="32">
        <f t="shared" si="118"/>
        <v>0</v>
      </c>
      <c r="M262" s="32">
        <f t="shared" si="118"/>
        <v>0</v>
      </c>
      <c r="N262" s="32">
        <f t="shared" si="118"/>
        <v>0</v>
      </c>
      <c r="O262" s="32">
        <f t="shared" si="118"/>
        <v>0</v>
      </c>
      <c r="P262" s="32">
        <f t="shared" si="118"/>
        <v>0</v>
      </c>
      <c r="Q262" s="42"/>
      <c r="R262" s="42"/>
      <c r="S262" s="18"/>
      <c r="T262" s="18"/>
      <c r="U262" s="18"/>
    </row>
    <row r="263" spans="1:21" s="12" customFormat="1" hidden="1">
      <c r="A263" s="749">
        <v>85157</v>
      </c>
      <c r="B263" s="752" t="s">
        <v>212</v>
      </c>
      <c r="C263" s="66" t="s">
        <v>5</v>
      </c>
      <c r="D263" s="31">
        <f>E263+M263</f>
        <v>13636946</v>
      </c>
      <c r="E263" s="32">
        <f>F263+I263+J263+K263+L263</f>
        <v>13636946</v>
      </c>
      <c r="F263" s="32">
        <f>G263+H263</f>
        <v>13636946</v>
      </c>
      <c r="G263" s="32">
        <v>16236</v>
      </c>
      <c r="H263" s="32">
        <v>13620710</v>
      </c>
      <c r="I263" s="32">
        <v>0</v>
      </c>
      <c r="J263" s="32">
        <v>0</v>
      </c>
      <c r="K263" s="32">
        <v>0</v>
      </c>
      <c r="L263" s="32">
        <v>0</v>
      </c>
      <c r="M263" s="32">
        <f>N263+P263</f>
        <v>0</v>
      </c>
      <c r="N263" s="32">
        <v>0</v>
      </c>
      <c r="O263" s="32">
        <v>0</v>
      </c>
      <c r="P263" s="32">
        <v>0</v>
      </c>
      <c r="Q263" s="42"/>
      <c r="R263" s="42"/>
      <c r="S263" s="18"/>
      <c r="T263" s="18"/>
      <c r="U263" s="18"/>
    </row>
    <row r="264" spans="1:21" s="12" customFormat="1" hidden="1">
      <c r="A264" s="750"/>
      <c r="B264" s="753"/>
      <c r="C264" s="66" t="s">
        <v>6</v>
      </c>
      <c r="D264" s="31">
        <f>E264+M264</f>
        <v>0</v>
      </c>
      <c r="E264" s="32">
        <f>F264+I264+J264+K264+L264</f>
        <v>0</v>
      </c>
      <c r="F264" s="32">
        <f>G264+H264</f>
        <v>0</v>
      </c>
      <c r="G264" s="32"/>
      <c r="H264" s="32"/>
      <c r="I264" s="32"/>
      <c r="J264" s="32"/>
      <c r="K264" s="32"/>
      <c r="L264" s="32"/>
      <c r="M264" s="32">
        <f>N264+P264</f>
        <v>0</v>
      </c>
      <c r="N264" s="32"/>
      <c r="O264" s="32"/>
      <c r="P264" s="32"/>
      <c r="Q264" s="42"/>
      <c r="R264" s="42"/>
      <c r="S264" s="18"/>
      <c r="T264" s="18"/>
      <c r="U264" s="18"/>
    </row>
    <row r="265" spans="1:21" s="12" customFormat="1" hidden="1">
      <c r="A265" s="751"/>
      <c r="B265" s="754"/>
      <c r="C265" s="66" t="s">
        <v>7</v>
      </c>
      <c r="D265" s="31">
        <f>D263+D264</f>
        <v>13636946</v>
      </c>
      <c r="E265" s="32">
        <f t="shared" ref="E265:P265" si="119">E263+E264</f>
        <v>13636946</v>
      </c>
      <c r="F265" s="32">
        <f t="shared" si="119"/>
        <v>13636946</v>
      </c>
      <c r="G265" s="32">
        <f t="shared" si="119"/>
        <v>16236</v>
      </c>
      <c r="H265" s="32">
        <f t="shared" si="119"/>
        <v>13620710</v>
      </c>
      <c r="I265" s="32">
        <f t="shared" si="119"/>
        <v>0</v>
      </c>
      <c r="J265" s="32">
        <f t="shared" si="119"/>
        <v>0</v>
      </c>
      <c r="K265" s="32">
        <f t="shared" si="119"/>
        <v>0</v>
      </c>
      <c r="L265" s="32">
        <f t="shared" si="119"/>
        <v>0</v>
      </c>
      <c r="M265" s="32">
        <f t="shared" si="119"/>
        <v>0</v>
      </c>
      <c r="N265" s="32">
        <f t="shared" si="119"/>
        <v>0</v>
      </c>
      <c r="O265" s="32">
        <f t="shared" si="119"/>
        <v>0</v>
      </c>
      <c r="P265" s="32">
        <f t="shared" si="119"/>
        <v>0</v>
      </c>
      <c r="Q265" s="42"/>
      <c r="R265" s="42"/>
      <c r="S265" s="18"/>
      <c r="T265" s="18"/>
      <c r="U265" s="18"/>
    </row>
    <row r="266" spans="1:21" s="36" customFormat="1" ht="13.35" customHeight="1">
      <c r="A266" s="749">
        <v>85195</v>
      </c>
      <c r="B266" s="752" t="s">
        <v>43</v>
      </c>
      <c r="C266" s="66" t="s">
        <v>5</v>
      </c>
      <c r="D266" s="31">
        <f t="shared" si="107"/>
        <v>149541257</v>
      </c>
      <c r="E266" s="32">
        <f t="shared" si="108"/>
        <v>47878527</v>
      </c>
      <c r="F266" s="32">
        <f t="shared" si="109"/>
        <v>20000</v>
      </c>
      <c r="G266" s="32">
        <v>0</v>
      </c>
      <c r="H266" s="32">
        <f>20000</f>
        <v>20000</v>
      </c>
      <c r="I266" s="32">
        <v>0</v>
      </c>
      <c r="J266" s="32">
        <v>0</v>
      </c>
      <c r="K266" s="32">
        <v>47858527</v>
      </c>
      <c r="L266" s="32">
        <v>0</v>
      </c>
      <c r="M266" s="32">
        <f t="shared" si="110"/>
        <v>101662730</v>
      </c>
      <c r="N266" s="32">
        <v>86662730</v>
      </c>
      <c r="O266" s="32">
        <v>86662730</v>
      </c>
      <c r="P266" s="32">
        <v>15000000</v>
      </c>
      <c r="Q266" s="58"/>
      <c r="R266" s="58"/>
      <c r="S266" s="35"/>
      <c r="T266" s="35"/>
      <c r="U266" s="35"/>
    </row>
    <row r="267" spans="1:21" s="36" customFormat="1" ht="13.35" customHeight="1">
      <c r="A267" s="750"/>
      <c r="B267" s="753"/>
      <c r="C267" s="66" t="s">
        <v>6</v>
      </c>
      <c r="D267" s="31">
        <f t="shared" si="107"/>
        <v>10142744</v>
      </c>
      <c r="E267" s="32">
        <f t="shared" si="108"/>
        <v>-734369</v>
      </c>
      <c r="F267" s="32">
        <f t="shared" si="109"/>
        <v>0</v>
      </c>
      <c r="G267" s="32"/>
      <c r="H267" s="32"/>
      <c r="I267" s="32"/>
      <c r="J267" s="32"/>
      <c r="K267" s="32">
        <f>1943696-2678065</f>
        <v>-734369</v>
      </c>
      <c r="L267" s="32"/>
      <c r="M267" s="32">
        <f t="shared" si="110"/>
        <v>10877113</v>
      </c>
      <c r="N267" s="32">
        <f>9789402+1087711</f>
        <v>10877113</v>
      </c>
      <c r="O267" s="32">
        <v>10877113</v>
      </c>
      <c r="P267" s="32"/>
      <c r="Q267" s="58"/>
      <c r="R267" s="58"/>
      <c r="S267" s="35"/>
      <c r="T267" s="35"/>
      <c r="U267" s="35"/>
    </row>
    <row r="268" spans="1:21" s="36" customFormat="1" ht="13.35" customHeight="1">
      <c r="A268" s="751"/>
      <c r="B268" s="754"/>
      <c r="C268" s="66" t="s">
        <v>7</v>
      </c>
      <c r="D268" s="31">
        <f>D266+D267</f>
        <v>159684001</v>
      </c>
      <c r="E268" s="32">
        <f t="shared" ref="E268:P268" si="120">E266+E267</f>
        <v>47144158</v>
      </c>
      <c r="F268" s="32">
        <f t="shared" si="120"/>
        <v>20000</v>
      </c>
      <c r="G268" s="32">
        <f t="shared" si="120"/>
        <v>0</v>
      </c>
      <c r="H268" s="32">
        <f t="shared" si="120"/>
        <v>20000</v>
      </c>
      <c r="I268" s="32">
        <f t="shared" si="120"/>
        <v>0</v>
      </c>
      <c r="J268" s="32">
        <f t="shared" si="120"/>
        <v>0</v>
      </c>
      <c r="K268" s="32">
        <f t="shared" si="120"/>
        <v>47124158</v>
      </c>
      <c r="L268" s="32">
        <f t="shared" si="120"/>
        <v>0</v>
      </c>
      <c r="M268" s="32">
        <f t="shared" si="120"/>
        <v>112539843</v>
      </c>
      <c r="N268" s="32">
        <f t="shared" si="120"/>
        <v>97539843</v>
      </c>
      <c r="O268" s="32">
        <f t="shared" si="120"/>
        <v>97539843</v>
      </c>
      <c r="P268" s="32">
        <f t="shared" si="120"/>
        <v>15000000</v>
      </c>
      <c r="Q268" s="58"/>
      <c r="R268" s="58"/>
      <c r="S268" s="35"/>
      <c r="T268" s="35"/>
      <c r="U268" s="35"/>
    </row>
    <row r="269" spans="1:21" s="14" customFormat="1" ht="14.1" customHeight="1">
      <c r="A269" s="755">
        <v>852</v>
      </c>
      <c r="B269" s="758" t="s">
        <v>28</v>
      </c>
      <c r="C269" s="65" t="s">
        <v>5</v>
      </c>
      <c r="D269" s="29">
        <f t="shared" ref="D269:P270" si="121">D272+D275+D278+D284+D281</f>
        <v>42013594</v>
      </c>
      <c r="E269" s="30">
        <f t="shared" si="121"/>
        <v>40518098</v>
      </c>
      <c r="F269" s="30">
        <f t="shared" si="121"/>
        <v>3271767</v>
      </c>
      <c r="G269" s="30">
        <f t="shared" si="121"/>
        <v>2491416</v>
      </c>
      <c r="H269" s="30">
        <f t="shared" si="121"/>
        <v>780351</v>
      </c>
      <c r="I269" s="30">
        <f t="shared" si="121"/>
        <v>30000</v>
      </c>
      <c r="J269" s="30">
        <f t="shared" si="121"/>
        <v>48900</v>
      </c>
      <c r="K269" s="30">
        <f t="shared" si="121"/>
        <v>37167431</v>
      </c>
      <c r="L269" s="30">
        <f t="shared" si="121"/>
        <v>0</v>
      </c>
      <c r="M269" s="30">
        <f t="shared" si="121"/>
        <v>1495496</v>
      </c>
      <c r="N269" s="30">
        <f t="shared" si="121"/>
        <v>1495496</v>
      </c>
      <c r="O269" s="30">
        <f t="shared" si="121"/>
        <v>1426360</v>
      </c>
      <c r="P269" s="30">
        <f t="shared" si="121"/>
        <v>0</v>
      </c>
      <c r="Q269" s="53"/>
      <c r="R269" s="53"/>
      <c r="S269" s="20"/>
      <c r="T269" s="20"/>
      <c r="U269" s="20"/>
    </row>
    <row r="270" spans="1:21" s="14" customFormat="1" ht="14.1" customHeight="1">
      <c r="A270" s="756"/>
      <c r="B270" s="759"/>
      <c r="C270" s="65" t="s">
        <v>6</v>
      </c>
      <c r="D270" s="29">
        <f t="shared" si="121"/>
        <v>91956</v>
      </c>
      <c r="E270" s="30">
        <f t="shared" si="121"/>
        <v>-4044</v>
      </c>
      <c r="F270" s="30">
        <f t="shared" si="121"/>
        <v>0</v>
      </c>
      <c r="G270" s="30">
        <f t="shared" si="121"/>
        <v>0</v>
      </c>
      <c r="H270" s="30">
        <f t="shared" si="121"/>
        <v>0</v>
      </c>
      <c r="I270" s="30">
        <f t="shared" si="121"/>
        <v>0</v>
      </c>
      <c r="J270" s="30">
        <f t="shared" si="121"/>
        <v>0</v>
      </c>
      <c r="K270" s="30">
        <f t="shared" si="121"/>
        <v>-4044</v>
      </c>
      <c r="L270" s="30">
        <f t="shared" si="121"/>
        <v>0</v>
      </c>
      <c r="M270" s="30">
        <f t="shared" si="121"/>
        <v>96000</v>
      </c>
      <c r="N270" s="30">
        <f t="shared" si="121"/>
        <v>96000</v>
      </c>
      <c r="O270" s="30">
        <f t="shared" si="121"/>
        <v>96000</v>
      </c>
      <c r="P270" s="30">
        <f t="shared" si="121"/>
        <v>0</v>
      </c>
      <c r="Q270" s="53"/>
      <c r="R270" s="53"/>
      <c r="S270" s="20"/>
      <c r="T270" s="20"/>
      <c r="U270" s="20"/>
    </row>
    <row r="271" spans="1:21" s="14" customFormat="1" ht="14.1" customHeight="1">
      <c r="A271" s="757"/>
      <c r="B271" s="760"/>
      <c r="C271" s="65" t="s">
        <v>7</v>
      </c>
      <c r="D271" s="29">
        <f>D269+D270</f>
        <v>42105550</v>
      </c>
      <c r="E271" s="30">
        <f t="shared" ref="E271:P271" si="122">E269+E270</f>
        <v>40514054</v>
      </c>
      <c r="F271" s="30">
        <f t="shared" si="122"/>
        <v>3271767</v>
      </c>
      <c r="G271" s="30">
        <f t="shared" si="122"/>
        <v>2491416</v>
      </c>
      <c r="H271" s="30">
        <f t="shared" si="122"/>
        <v>780351</v>
      </c>
      <c r="I271" s="30">
        <f t="shared" si="122"/>
        <v>30000</v>
      </c>
      <c r="J271" s="30">
        <f t="shared" si="122"/>
        <v>48900</v>
      </c>
      <c r="K271" s="30">
        <f t="shared" si="122"/>
        <v>37163387</v>
      </c>
      <c r="L271" s="30">
        <f t="shared" si="122"/>
        <v>0</v>
      </c>
      <c r="M271" s="30">
        <f t="shared" si="122"/>
        <v>1591496</v>
      </c>
      <c r="N271" s="30">
        <f t="shared" si="122"/>
        <v>1591496</v>
      </c>
      <c r="O271" s="30">
        <f t="shared" si="122"/>
        <v>1522360</v>
      </c>
      <c r="P271" s="30">
        <f t="shared" si="122"/>
        <v>0</v>
      </c>
      <c r="Q271" s="53"/>
      <c r="R271" s="53"/>
      <c r="S271" s="20"/>
      <c r="T271" s="20"/>
      <c r="U271" s="20"/>
    </row>
    <row r="272" spans="1:21" s="36" customFormat="1" ht="13.5" hidden="1" customHeight="1">
      <c r="A272" s="749">
        <v>85203</v>
      </c>
      <c r="B272" s="752" t="s">
        <v>153</v>
      </c>
      <c r="C272" s="66" t="s">
        <v>5</v>
      </c>
      <c r="D272" s="31">
        <f>E272+M272</f>
        <v>1500000</v>
      </c>
      <c r="E272" s="32">
        <f>F272+I272+J272+K272+L272</f>
        <v>1500000</v>
      </c>
      <c r="F272" s="32">
        <f>G272+H272</f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1500000</v>
      </c>
      <c r="L272" s="32">
        <v>0</v>
      </c>
      <c r="M272" s="32">
        <f>N272+P272</f>
        <v>0</v>
      </c>
      <c r="N272" s="32">
        <v>0</v>
      </c>
      <c r="O272" s="32">
        <v>0</v>
      </c>
      <c r="P272" s="32">
        <v>0</v>
      </c>
      <c r="Q272" s="58"/>
      <c r="R272" s="58"/>
      <c r="S272" s="35"/>
      <c r="T272" s="35"/>
      <c r="U272" s="35"/>
    </row>
    <row r="273" spans="1:21" s="36" customFormat="1" ht="13.5" hidden="1" customHeight="1">
      <c r="A273" s="750"/>
      <c r="B273" s="753"/>
      <c r="C273" s="66" t="s">
        <v>6</v>
      </c>
      <c r="D273" s="31">
        <f>E273+M273</f>
        <v>0</v>
      </c>
      <c r="E273" s="32">
        <f>F273+I273+J273+K273+L273</f>
        <v>0</v>
      </c>
      <c r="F273" s="32">
        <f>G273+H273</f>
        <v>0</v>
      </c>
      <c r="G273" s="32"/>
      <c r="H273" s="32"/>
      <c r="I273" s="32"/>
      <c r="J273" s="32"/>
      <c r="K273" s="32"/>
      <c r="L273" s="32"/>
      <c r="M273" s="32">
        <f>N273+P273</f>
        <v>0</v>
      </c>
      <c r="N273" s="32"/>
      <c r="O273" s="32"/>
      <c r="P273" s="32"/>
      <c r="Q273" s="58"/>
      <c r="R273" s="58"/>
      <c r="S273" s="35"/>
      <c r="T273" s="35"/>
      <c r="U273" s="35"/>
    </row>
    <row r="274" spans="1:21" s="36" customFormat="1" ht="13.5" hidden="1" customHeight="1">
      <c r="A274" s="751"/>
      <c r="B274" s="754"/>
      <c r="C274" s="66" t="s">
        <v>7</v>
      </c>
      <c r="D274" s="31">
        <f>D272+D273</f>
        <v>1500000</v>
      </c>
      <c r="E274" s="32">
        <f t="shared" ref="E274:P274" si="123">E272+E273</f>
        <v>1500000</v>
      </c>
      <c r="F274" s="32">
        <f t="shared" si="123"/>
        <v>0</v>
      </c>
      <c r="G274" s="32">
        <f t="shared" si="123"/>
        <v>0</v>
      </c>
      <c r="H274" s="32">
        <f t="shared" si="123"/>
        <v>0</v>
      </c>
      <c r="I274" s="32">
        <f t="shared" si="123"/>
        <v>0</v>
      </c>
      <c r="J274" s="32">
        <f t="shared" si="123"/>
        <v>0</v>
      </c>
      <c r="K274" s="32">
        <f t="shared" si="123"/>
        <v>1500000</v>
      </c>
      <c r="L274" s="32">
        <f t="shared" si="123"/>
        <v>0</v>
      </c>
      <c r="M274" s="32">
        <f t="shared" si="123"/>
        <v>0</v>
      </c>
      <c r="N274" s="32">
        <f t="shared" si="123"/>
        <v>0</v>
      </c>
      <c r="O274" s="32">
        <f t="shared" si="123"/>
        <v>0</v>
      </c>
      <c r="P274" s="32">
        <f t="shared" si="123"/>
        <v>0</v>
      </c>
      <c r="Q274" s="58"/>
      <c r="R274" s="58"/>
      <c r="S274" s="35"/>
      <c r="T274" s="35"/>
      <c r="U274" s="35"/>
    </row>
    <row r="275" spans="1:21" s="12" customFormat="1" hidden="1">
      <c r="A275" s="749">
        <v>85205</v>
      </c>
      <c r="B275" s="752" t="s">
        <v>154</v>
      </c>
      <c r="C275" s="66" t="s">
        <v>5</v>
      </c>
      <c r="D275" s="31">
        <f>E275+M275</f>
        <v>500000</v>
      </c>
      <c r="E275" s="32">
        <f>F275+I275+J275+K275+L275</f>
        <v>500000</v>
      </c>
      <c r="F275" s="32">
        <f>G275+H275</f>
        <v>470000</v>
      </c>
      <c r="G275" s="32">
        <v>205800</v>
      </c>
      <c r="H275" s="32">
        <v>264200</v>
      </c>
      <c r="I275" s="32">
        <v>30000</v>
      </c>
      <c r="J275" s="32">
        <v>0</v>
      </c>
      <c r="K275" s="32">
        <v>0</v>
      </c>
      <c r="L275" s="32">
        <v>0</v>
      </c>
      <c r="M275" s="32">
        <f>N275+P275</f>
        <v>0</v>
      </c>
      <c r="N275" s="32">
        <v>0</v>
      </c>
      <c r="O275" s="32">
        <v>0</v>
      </c>
      <c r="P275" s="32">
        <v>0</v>
      </c>
      <c r="Q275" s="42"/>
      <c r="R275" s="42"/>
      <c r="S275" s="18"/>
      <c r="T275" s="18"/>
      <c r="U275" s="18"/>
    </row>
    <row r="276" spans="1:21" s="12" customFormat="1" hidden="1">
      <c r="A276" s="750"/>
      <c r="B276" s="753"/>
      <c r="C276" s="66" t="s">
        <v>6</v>
      </c>
      <c r="D276" s="31">
        <f>E276+M276</f>
        <v>0</v>
      </c>
      <c r="E276" s="32">
        <f>F276+I276+J276+K276+L276</f>
        <v>0</v>
      </c>
      <c r="F276" s="32">
        <f>G276+H276</f>
        <v>0</v>
      </c>
      <c r="G276" s="32"/>
      <c r="H276" s="32"/>
      <c r="I276" s="32"/>
      <c r="J276" s="32"/>
      <c r="K276" s="32"/>
      <c r="L276" s="32"/>
      <c r="M276" s="32">
        <f>N276+P276</f>
        <v>0</v>
      </c>
      <c r="N276" s="32"/>
      <c r="O276" s="32"/>
      <c r="P276" s="32"/>
      <c r="Q276" s="42"/>
      <c r="R276" s="42"/>
      <c r="S276" s="18"/>
      <c r="T276" s="18"/>
      <c r="U276" s="18"/>
    </row>
    <row r="277" spans="1:21" s="12" customFormat="1" hidden="1">
      <c r="A277" s="751"/>
      <c r="B277" s="754"/>
      <c r="C277" s="66" t="s">
        <v>7</v>
      </c>
      <c r="D277" s="31">
        <f>D275+D276</f>
        <v>500000</v>
      </c>
      <c r="E277" s="32">
        <f t="shared" ref="E277:P277" si="124">E275+E276</f>
        <v>500000</v>
      </c>
      <c r="F277" s="32">
        <f t="shared" si="124"/>
        <v>470000</v>
      </c>
      <c r="G277" s="32">
        <f t="shared" si="124"/>
        <v>205800</v>
      </c>
      <c r="H277" s="32">
        <f t="shared" si="124"/>
        <v>264200</v>
      </c>
      <c r="I277" s="32">
        <f t="shared" si="124"/>
        <v>30000</v>
      </c>
      <c r="J277" s="32">
        <f t="shared" si="124"/>
        <v>0</v>
      </c>
      <c r="K277" s="32">
        <f t="shared" si="124"/>
        <v>0</v>
      </c>
      <c r="L277" s="32">
        <f t="shared" si="124"/>
        <v>0</v>
      </c>
      <c r="M277" s="32">
        <f t="shared" si="124"/>
        <v>0</v>
      </c>
      <c r="N277" s="32">
        <f t="shared" si="124"/>
        <v>0</v>
      </c>
      <c r="O277" s="32">
        <f t="shared" si="124"/>
        <v>0</v>
      </c>
      <c r="P277" s="32">
        <f t="shared" si="124"/>
        <v>0</v>
      </c>
      <c r="Q277" s="42"/>
      <c r="R277" s="42"/>
      <c r="S277" s="18"/>
      <c r="T277" s="18"/>
      <c r="U277" s="18"/>
    </row>
    <row r="278" spans="1:21" s="36" customFormat="1" ht="13.5" hidden="1" customHeight="1">
      <c r="A278" s="749">
        <v>85217</v>
      </c>
      <c r="B278" s="752" t="s">
        <v>155</v>
      </c>
      <c r="C278" s="66" t="s">
        <v>5</v>
      </c>
      <c r="D278" s="31">
        <f>E278+M278</f>
        <v>3459798</v>
      </c>
      <c r="E278" s="32">
        <f>F278+I278+J278+K278+L278</f>
        <v>2790667</v>
      </c>
      <c r="F278" s="32">
        <f>G278+H278</f>
        <v>2786767</v>
      </c>
      <c r="G278" s="32">
        <v>2275616</v>
      </c>
      <c r="H278" s="32">
        <v>511151</v>
      </c>
      <c r="I278" s="32">
        <v>0</v>
      </c>
      <c r="J278" s="32">
        <v>3900</v>
      </c>
      <c r="K278" s="32">
        <v>0</v>
      </c>
      <c r="L278" s="32">
        <v>0</v>
      </c>
      <c r="M278" s="32">
        <f>N278+P278</f>
        <v>669131</v>
      </c>
      <c r="N278" s="32">
        <v>669131</v>
      </c>
      <c r="O278" s="32">
        <f>509996+89999</f>
        <v>599995</v>
      </c>
      <c r="P278" s="32">
        <v>0</v>
      </c>
      <c r="Q278" s="58"/>
      <c r="R278" s="58"/>
      <c r="S278" s="35"/>
      <c r="T278" s="35"/>
      <c r="U278" s="35"/>
    </row>
    <row r="279" spans="1:21" s="36" customFormat="1" ht="13.5" hidden="1" customHeight="1">
      <c r="A279" s="750"/>
      <c r="B279" s="753"/>
      <c r="C279" s="66" t="s">
        <v>6</v>
      </c>
      <c r="D279" s="31">
        <f>E279+M279</f>
        <v>0</v>
      </c>
      <c r="E279" s="32">
        <f>F279+I279+J279+K279+L279</f>
        <v>0</v>
      </c>
      <c r="F279" s="32">
        <f>G279+H279</f>
        <v>0</v>
      </c>
      <c r="G279" s="32"/>
      <c r="H279" s="32"/>
      <c r="I279" s="32"/>
      <c r="J279" s="32"/>
      <c r="K279" s="32"/>
      <c r="L279" s="32"/>
      <c r="M279" s="32">
        <f>N279+P279</f>
        <v>0</v>
      </c>
      <c r="N279" s="32"/>
      <c r="O279" s="32"/>
      <c r="P279" s="32"/>
      <c r="Q279" s="58"/>
      <c r="R279" s="58"/>
      <c r="S279" s="35"/>
      <c r="T279" s="35"/>
      <c r="U279" s="35"/>
    </row>
    <row r="280" spans="1:21" s="36" customFormat="1" ht="13.5" hidden="1" customHeight="1">
      <c r="A280" s="751"/>
      <c r="B280" s="754"/>
      <c r="C280" s="66" t="s">
        <v>7</v>
      </c>
      <c r="D280" s="31">
        <f>D278+D279</f>
        <v>3459798</v>
      </c>
      <c r="E280" s="32">
        <f t="shared" ref="E280:P280" si="125">E278+E279</f>
        <v>2790667</v>
      </c>
      <c r="F280" s="32">
        <f t="shared" si="125"/>
        <v>2786767</v>
      </c>
      <c r="G280" s="32">
        <f t="shared" si="125"/>
        <v>2275616</v>
      </c>
      <c r="H280" s="32">
        <f t="shared" si="125"/>
        <v>511151</v>
      </c>
      <c r="I280" s="32">
        <f t="shared" si="125"/>
        <v>0</v>
      </c>
      <c r="J280" s="32">
        <f t="shared" si="125"/>
        <v>3900</v>
      </c>
      <c r="K280" s="32">
        <f t="shared" si="125"/>
        <v>0</v>
      </c>
      <c r="L280" s="32">
        <f t="shared" si="125"/>
        <v>0</v>
      </c>
      <c r="M280" s="32">
        <f t="shared" si="125"/>
        <v>669131</v>
      </c>
      <c r="N280" s="32">
        <f t="shared" si="125"/>
        <v>669131</v>
      </c>
      <c r="O280" s="32">
        <f t="shared" si="125"/>
        <v>599995</v>
      </c>
      <c r="P280" s="32">
        <f t="shared" si="125"/>
        <v>0</v>
      </c>
      <c r="Q280" s="58"/>
      <c r="R280" s="58"/>
      <c r="S280" s="35"/>
      <c r="T280" s="35"/>
      <c r="U280" s="35"/>
    </row>
    <row r="281" spans="1:21" s="12" customFormat="1" hidden="1">
      <c r="A281" s="749">
        <v>85228</v>
      </c>
      <c r="B281" s="752" t="s">
        <v>156</v>
      </c>
      <c r="C281" s="66" t="s">
        <v>5</v>
      </c>
      <c r="D281" s="31">
        <f>E281+M281</f>
        <v>93619</v>
      </c>
      <c r="E281" s="32">
        <f>F281+I281+J281+K281+L281</f>
        <v>93619</v>
      </c>
      <c r="F281" s="32">
        <f>G281+H281</f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93619</v>
      </c>
      <c r="L281" s="32">
        <v>0</v>
      </c>
      <c r="M281" s="32">
        <f>N281+P281</f>
        <v>0</v>
      </c>
      <c r="N281" s="32">
        <v>0</v>
      </c>
      <c r="O281" s="32">
        <v>0</v>
      </c>
      <c r="P281" s="32">
        <v>0</v>
      </c>
      <c r="Q281" s="42"/>
      <c r="R281" s="42"/>
      <c r="S281" s="18"/>
      <c r="T281" s="18"/>
      <c r="U281" s="18"/>
    </row>
    <row r="282" spans="1:21" s="12" customFormat="1" hidden="1">
      <c r="A282" s="750"/>
      <c r="B282" s="753"/>
      <c r="C282" s="66" t="s">
        <v>6</v>
      </c>
      <c r="D282" s="31">
        <f>E282+M282</f>
        <v>0</v>
      </c>
      <c r="E282" s="32">
        <f>F282+I282+J282+K282+L282</f>
        <v>0</v>
      </c>
      <c r="F282" s="32">
        <f>G282+H282</f>
        <v>0</v>
      </c>
      <c r="G282" s="32"/>
      <c r="H282" s="32"/>
      <c r="I282" s="32"/>
      <c r="J282" s="32"/>
      <c r="K282" s="32"/>
      <c r="L282" s="32"/>
      <c r="M282" s="32">
        <f>N282+P282</f>
        <v>0</v>
      </c>
      <c r="N282" s="32"/>
      <c r="O282" s="32"/>
      <c r="P282" s="32"/>
      <c r="Q282" s="42"/>
      <c r="R282" s="42"/>
      <c r="S282" s="18"/>
      <c r="T282" s="18"/>
      <c r="U282" s="18"/>
    </row>
    <row r="283" spans="1:21" s="12" customFormat="1" hidden="1">
      <c r="A283" s="751"/>
      <c r="B283" s="754"/>
      <c r="C283" s="66" t="s">
        <v>7</v>
      </c>
      <c r="D283" s="31">
        <f>D281+D282</f>
        <v>93619</v>
      </c>
      <c r="E283" s="32">
        <f t="shared" ref="E283:P283" si="126">E281+E282</f>
        <v>93619</v>
      </c>
      <c r="F283" s="32">
        <f t="shared" si="126"/>
        <v>0</v>
      </c>
      <c r="G283" s="32">
        <f t="shared" si="126"/>
        <v>0</v>
      </c>
      <c r="H283" s="32">
        <f t="shared" si="126"/>
        <v>0</v>
      </c>
      <c r="I283" s="32">
        <f t="shared" si="126"/>
        <v>0</v>
      </c>
      <c r="J283" s="32">
        <f t="shared" si="126"/>
        <v>0</v>
      </c>
      <c r="K283" s="32">
        <f t="shared" si="126"/>
        <v>93619</v>
      </c>
      <c r="L283" s="32">
        <f t="shared" si="126"/>
        <v>0</v>
      </c>
      <c r="M283" s="32">
        <f t="shared" si="126"/>
        <v>0</v>
      </c>
      <c r="N283" s="32">
        <f t="shared" si="126"/>
        <v>0</v>
      </c>
      <c r="O283" s="32">
        <f t="shared" si="126"/>
        <v>0</v>
      </c>
      <c r="P283" s="32">
        <f t="shared" si="126"/>
        <v>0</v>
      </c>
      <c r="Q283" s="42"/>
      <c r="R283" s="42"/>
      <c r="S283" s="18"/>
      <c r="T283" s="18"/>
      <c r="U283" s="18"/>
    </row>
    <row r="284" spans="1:21" s="36" customFormat="1" ht="13.35" customHeight="1">
      <c r="A284" s="749">
        <v>85295</v>
      </c>
      <c r="B284" s="752" t="s">
        <v>43</v>
      </c>
      <c r="C284" s="66" t="s">
        <v>5</v>
      </c>
      <c r="D284" s="31">
        <f>E284+M284</f>
        <v>36460177</v>
      </c>
      <c r="E284" s="32">
        <f>F284+I284+J284+K284+L284</f>
        <v>35633812</v>
      </c>
      <c r="F284" s="32">
        <f>G284+H284</f>
        <v>15000</v>
      </c>
      <c r="G284" s="32">
        <v>10000</v>
      </c>
      <c r="H284" s="32">
        <f>5000</f>
        <v>5000</v>
      </c>
      <c r="I284" s="32">
        <v>0</v>
      </c>
      <c r="J284" s="32">
        <v>45000</v>
      </c>
      <c r="K284" s="32">
        <v>35573812</v>
      </c>
      <c r="L284" s="32">
        <v>0</v>
      </c>
      <c r="M284" s="32">
        <f>N284+P284</f>
        <v>826365</v>
      </c>
      <c r="N284" s="32">
        <v>826365</v>
      </c>
      <c r="O284" s="32">
        <v>826365</v>
      </c>
      <c r="P284" s="32">
        <v>0</v>
      </c>
      <c r="Q284" s="58"/>
      <c r="R284" s="58"/>
      <c r="S284" s="35"/>
      <c r="T284" s="35"/>
      <c r="U284" s="35"/>
    </row>
    <row r="285" spans="1:21" s="36" customFormat="1" ht="13.35" customHeight="1">
      <c r="A285" s="750"/>
      <c r="B285" s="753"/>
      <c r="C285" s="66" t="s">
        <v>6</v>
      </c>
      <c r="D285" s="31">
        <f>E285+M285</f>
        <v>91956</v>
      </c>
      <c r="E285" s="32">
        <f>F285+I285+J285+K285+L285</f>
        <v>-4044</v>
      </c>
      <c r="F285" s="32">
        <f>G285+H285</f>
        <v>0</v>
      </c>
      <c r="G285" s="32"/>
      <c r="H285" s="32"/>
      <c r="I285" s="32"/>
      <c r="J285" s="32"/>
      <c r="K285" s="32">
        <v>-4044</v>
      </c>
      <c r="L285" s="32"/>
      <c r="M285" s="32">
        <f>N285+P285</f>
        <v>96000</v>
      </c>
      <c r="N285" s="32">
        <f>96000</f>
        <v>96000</v>
      </c>
      <c r="O285" s="32">
        <v>96000</v>
      </c>
      <c r="P285" s="32"/>
      <c r="Q285" s="58"/>
      <c r="R285" s="58"/>
      <c r="S285" s="35"/>
      <c r="T285" s="35"/>
      <c r="U285" s="35"/>
    </row>
    <row r="286" spans="1:21" s="36" customFormat="1" ht="13.35" customHeight="1">
      <c r="A286" s="751"/>
      <c r="B286" s="754"/>
      <c r="C286" s="66" t="s">
        <v>7</v>
      </c>
      <c r="D286" s="31">
        <f>D284+D285</f>
        <v>36552133</v>
      </c>
      <c r="E286" s="32">
        <f t="shared" ref="E286:P286" si="127">E284+E285</f>
        <v>35629768</v>
      </c>
      <c r="F286" s="32">
        <f t="shared" si="127"/>
        <v>15000</v>
      </c>
      <c r="G286" s="32">
        <f t="shared" si="127"/>
        <v>10000</v>
      </c>
      <c r="H286" s="32">
        <f t="shared" si="127"/>
        <v>5000</v>
      </c>
      <c r="I286" s="32">
        <f t="shared" si="127"/>
        <v>0</v>
      </c>
      <c r="J286" s="32">
        <f t="shared" si="127"/>
        <v>45000</v>
      </c>
      <c r="K286" s="32">
        <f t="shared" si="127"/>
        <v>35569768</v>
      </c>
      <c r="L286" s="32">
        <f t="shared" si="127"/>
        <v>0</v>
      </c>
      <c r="M286" s="32">
        <f t="shared" si="127"/>
        <v>922365</v>
      </c>
      <c r="N286" s="32">
        <f t="shared" si="127"/>
        <v>922365</v>
      </c>
      <c r="O286" s="32">
        <f t="shared" si="127"/>
        <v>922365</v>
      </c>
      <c r="P286" s="32">
        <f t="shared" si="127"/>
        <v>0</v>
      </c>
      <c r="Q286" s="58"/>
      <c r="R286" s="58"/>
      <c r="S286" s="35"/>
      <c r="T286" s="35"/>
      <c r="U286" s="35"/>
    </row>
    <row r="287" spans="1:21" s="14" customFormat="1" ht="14.25">
      <c r="A287" s="755">
        <v>853</v>
      </c>
      <c r="B287" s="758" t="s">
        <v>29</v>
      </c>
      <c r="C287" s="65" t="s">
        <v>5</v>
      </c>
      <c r="D287" s="29">
        <f t="shared" ref="D287:P288" si="128">D290+D293+D299+D302+D296</f>
        <v>31389987</v>
      </c>
      <c r="E287" s="30">
        <f t="shared" si="128"/>
        <v>31389987</v>
      </c>
      <c r="F287" s="30">
        <f t="shared" si="128"/>
        <v>11609171</v>
      </c>
      <c r="G287" s="30">
        <f t="shared" si="128"/>
        <v>9317544</v>
      </c>
      <c r="H287" s="30">
        <f t="shared" si="128"/>
        <v>2291627</v>
      </c>
      <c r="I287" s="30">
        <f t="shared" si="128"/>
        <v>544000</v>
      </c>
      <c r="J287" s="30">
        <f t="shared" si="128"/>
        <v>29500</v>
      </c>
      <c r="K287" s="30">
        <f t="shared" si="128"/>
        <v>19207316</v>
      </c>
      <c r="L287" s="30">
        <f t="shared" si="128"/>
        <v>0</v>
      </c>
      <c r="M287" s="30">
        <f t="shared" si="128"/>
        <v>0</v>
      </c>
      <c r="N287" s="30">
        <f t="shared" si="128"/>
        <v>0</v>
      </c>
      <c r="O287" s="30">
        <f t="shared" si="128"/>
        <v>0</v>
      </c>
      <c r="P287" s="30">
        <f t="shared" si="128"/>
        <v>0</v>
      </c>
      <c r="Q287" s="53"/>
      <c r="R287" s="53"/>
      <c r="S287" s="20"/>
      <c r="T287" s="20"/>
      <c r="U287" s="20"/>
    </row>
    <row r="288" spans="1:21" s="14" customFormat="1" ht="14.25">
      <c r="A288" s="756"/>
      <c r="B288" s="759"/>
      <c r="C288" s="65" t="s">
        <v>6</v>
      </c>
      <c r="D288" s="29">
        <f t="shared" si="128"/>
        <v>4452250</v>
      </c>
      <c r="E288" s="30">
        <f t="shared" si="128"/>
        <v>4452250</v>
      </c>
      <c r="F288" s="30">
        <f t="shared" si="128"/>
        <v>0</v>
      </c>
      <c r="G288" s="30">
        <f t="shared" si="128"/>
        <v>0</v>
      </c>
      <c r="H288" s="30">
        <f t="shared" si="128"/>
        <v>0</v>
      </c>
      <c r="I288" s="30">
        <f t="shared" si="128"/>
        <v>0</v>
      </c>
      <c r="J288" s="30">
        <f t="shared" si="128"/>
        <v>0</v>
      </c>
      <c r="K288" s="30">
        <f t="shared" si="128"/>
        <v>4452250</v>
      </c>
      <c r="L288" s="30">
        <f t="shared" si="128"/>
        <v>0</v>
      </c>
      <c r="M288" s="30">
        <f t="shared" si="128"/>
        <v>0</v>
      </c>
      <c r="N288" s="30">
        <f t="shared" si="128"/>
        <v>0</v>
      </c>
      <c r="O288" s="30">
        <f t="shared" si="128"/>
        <v>0</v>
      </c>
      <c r="P288" s="30">
        <f t="shared" si="128"/>
        <v>0</v>
      </c>
      <c r="Q288" s="53"/>
      <c r="R288" s="53"/>
      <c r="S288" s="20"/>
      <c r="T288" s="20"/>
      <c r="U288" s="20"/>
    </row>
    <row r="289" spans="1:21" s="14" customFormat="1" ht="14.25">
      <c r="A289" s="757"/>
      <c r="B289" s="760"/>
      <c r="C289" s="65" t="s">
        <v>7</v>
      </c>
      <c r="D289" s="29">
        <f>D287+D288</f>
        <v>35842237</v>
      </c>
      <c r="E289" s="30">
        <f t="shared" ref="E289:P289" si="129">E287+E288</f>
        <v>35842237</v>
      </c>
      <c r="F289" s="30">
        <f t="shared" si="129"/>
        <v>11609171</v>
      </c>
      <c r="G289" s="30">
        <f t="shared" si="129"/>
        <v>9317544</v>
      </c>
      <c r="H289" s="30">
        <f t="shared" si="129"/>
        <v>2291627</v>
      </c>
      <c r="I289" s="30">
        <f t="shared" si="129"/>
        <v>544000</v>
      </c>
      <c r="J289" s="30">
        <f t="shared" si="129"/>
        <v>29500</v>
      </c>
      <c r="K289" s="30">
        <f t="shared" si="129"/>
        <v>23659566</v>
      </c>
      <c r="L289" s="30">
        <f t="shared" si="129"/>
        <v>0</v>
      </c>
      <c r="M289" s="30">
        <f t="shared" si="129"/>
        <v>0</v>
      </c>
      <c r="N289" s="30">
        <f t="shared" si="129"/>
        <v>0</v>
      </c>
      <c r="O289" s="30">
        <f t="shared" si="129"/>
        <v>0</v>
      </c>
      <c r="P289" s="30">
        <f t="shared" si="129"/>
        <v>0</v>
      </c>
      <c r="Q289" s="53"/>
      <c r="R289" s="53"/>
      <c r="S289" s="20"/>
      <c r="T289" s="20"/>
      <c r="U289" s="20"/>
    </row>
    <row r="290" spans="1:21" s="12" customFormat="1" hidden="1">
      <c r="A290" s="749">
        <v>85311</v>
      </c>
      <c r="B290" s="752" t="s">
        <v>157</v>
      </c>
      <c r="C290" s="66" t="s">
        <v>5</v>
      </c>
      <c r="D290" s="31">
        <f>E290+M290</f>
        <v>444000</v>
      </c>
      <c r="E290" s="32">
        <f>F290+I290+J290+K290+L290</f>
        <v>444000</v>
      </c>
      <c r="F290" s="32">
        <f>G290+H290</f>
        <v>0</v>
      </c>
      <c r="G290" s="32">
        <v>0</v>
      </c>
      <c r="H290" s="32">
        <v>0</v>
      </c>
      <c r="I290" s="32">
        <v>444000</v>
      </c>
      <c r="J290" s="32">
        <v>0</v>
      </c>
      <c r="K290" s="32">
        <v>0</v>
      </c>
      <c r="L290" s="32">
        <v>0</v>
      </c>
      <c r="M290" s="32">
        <f>N290+P290</f>
        <v>0</v>
      </c>
      <c r="N290" s="32">
        <v>0</v>
      </c>
      <c r="O290" s="32">
        <v>0</v>
      </c>
      <c r="P290" s="32">
        <v>0</v>
      </c>
      <c r="Q290" s="42"/>
      <c r="R290" s="42"/>
      <c r="S290" s="18"/>
      <c r="T290" s="18"/>
      <c r="U290" s="18"/>
    </row>
    <row r="291" spans="1:21" s="12" customFormat="1" hidden="1">
      <c r="A291" s="750"/>
      <c r="B291" s="753"/>
      <c r="C291" s="66" t="s">
        <v>6</v>
      </c>
      <c r="D291" s="31">
        <f>E291+M291</f>
        <v>0</v>
      </c>
      <c r="E291" s="32">
        <f>F291+I291+J291+K291+L291</f>
        <v>0</v>
      </c>
      <c r="F291" s="32">
        <f>G291+H291</f>
        <v>0</v>
      </c>
      <c r="G291" s="32"/>
      <c r="H291" s="32"/>
      <c r="I291" s="32"/>
      <c r="J291" s="32"/>
      <c r="K291" s="32"/>
      <c r="L291" s="32"/>
      <c r="M291" s="32">
        <f>N291+P291</f>
        <v>0</v>
      </c>
      <c r="N291" s="32"/>
      <c r="O291" s="32"/>
      <c r="P291" s="32"/>
      <c r="Q291" s="42"/>
      <c r="R291" s="42"/>
      <c r="S291" s="18"/>
      <c r="T291" s="18"/>
      <c r="U291" s="18"/>
    </row>
    <row r="292" spans="1:21" s="12" customFormat="1" hidden="1">
      <c r="A292" s="751"/>
      <c r="B292" s="754"/>
      <c r="C292" s="66" t="s">
        <v>7</v>
      </c>
      <c r="D292" s="31">
        <f>D290+D291</f>
        <v>444000</v>
      </c>
      <c r="E292" s="32">
        <f t="shared" ref="E292:P292" si="130">E290+E291</f>
        <v>444000</v>
      </c>
      <c r="F292" s="32">
        <f t="shared" si="130"/>
        <v>0</v>
      </c>
      <c r="G292" s="32">
        <f t="shared" si="130"/>
        <v>0</v>
      </c>
      <c r="H292" s="32">
        <f t="shared" si="130"/>
        <v>0</v>
      </c>
      <c r="I292" s="32">
        <f t="shared" si="130"/>
        <v>444000</v>
      </c>
      <c r="J292" s="32">
        <f t="shared" si="130"/>
        <v>0</v>
      </c>
      <c r="K292" s="32">
        <f t="shared" si="130"/>
        <v>0</v>
      </c>
      <c r="L292" s="32">
        <f t="shared" si="130"/>
        <v>0</v>
      </c>
      <c r="M292" s="32">
        <f t="shared" si="130"/>
        <v>0</v>
      </c>
      <c r="N292" s="32">
        <f t="shared" si="130"/>
        <v>0</v>
      </c>
      <c r="O292" s="32">
        <f t="shared" si="130"/>
        <v>0</v>
      </c>
      <c r="P292" s="32">
        <f t="shared" si="130"/>
        <v>0</v>
      </c>
      <c r="Q292" s="42"/>
      <c r="R292" s="42"/>
      <c r="S292" s="18"/>
      <c r="T292" s="18"/>
      <c r="U292" s="18"/>
    </row>
    <row r="293" spans="1:21" s="12" customFormat="1" hidden="1">
      <c r="A293" s="749">
        <v>85324</v>
      </c>
      <c r="B293" s="752" t="s">
        <v>158</v>
      </c>
      <c r="C293" s="66" t="s">
        <v>5</v>
      </c>
      <c r="D293" s="31">
        <f>E293+M293</f>
        <v>385807</v>
      </c>
      <c r="E293" s="32">
        <f>F293+I293+J293+K293+L293</f>
        <v>385807</v>
      </c>
      <c r="F293" s="32">
        <f>G293+H293</f>
        <v>385807</v>
      </c>
      <c r="G293" s="32">
        <v>321807</v>
      </c>
      <c r="H293" s="32">
        <f>50000+2000+2000+2000+3000+5000</f>
        <v>64000</v>
      </c>
      <c r="I293" s="32">
        <v>0</v>
      </c>
      <c r="J293" s="32">
        <v>0</v>
      </c>
      <c r="K293" s="32">
        <v>0</v>
      </c>
      <c r="L293" s="32">
        <v>0</v>
      </c>
      <c r="M293" s="32">
        <f>N293+P293</f>
        <v>0</v>
      </c>
      <c r="N293" s="32">
        <v>0</v>
      </c>
      <c r="O293" s="32">
        <v>0</v>
      </c>
      <c r="P293" s="32">
        <v>0</v>
      </c>
      <c r="Q293" s="42"/>
      <c r="R293" s="42"/>
      <c r="S293" s="18"/>
      <c r="T293" s="18"/>
      <c r="U293" s="18"/>
    </row>
    <row r="294" spans="1:21" s="12" customFormat="1" hidden="1">
      <c r="A294" s="750"/>
      <c r="B294" s="753"/>
      <c r="C294" s="66" t="s">
        <v>6</v>
      </c>
      <c r="D294" s="31">
        <f>E294+M294</f>
        <v>0</v>
      </c>
      <c r="E294" s="32">
        <f>F294+I294+J294+K294+L294</f>
        <v>0</v>
      </c>
      <c r="F294" s="32">
        <f>G294+H294</f>
        <v>0</v>
      </c>
      <c r="G294" s="32"/>
      <c r="H294" s="32"/>
      <c r="I294" s="32"/>
      <c r="J294" s="32"/>
      <c r="K294" s="32"/>
      <c r="L294" s="32"/>
      <c r="M294" s="32">
        <f>N294+P294</f>
        <v>0</v>
      </c>
      <c r="N294" s="32"/>
      <c r="O294" s="32"/>
      <c r="P294" s="32"/>
      <c r="Q294" s="42"/>
      <c r="R294" s="42"/>
      <c r="S294" s="18"/>
      <c r="T294" s="18"/>
      <c r="U294" s="18"/>
    </row>
    <row r="295" spans="1:21" s="12" customFormat="1" hidden="1">
      <c r="A295" s="751"/>
      <c r="B295" s="754"/>
      <c r="C295" s="66" t="s">
        <v>7</v>
      </c>
      <c r="D295" s="31">
        <f>D293+D294</f>
        <v>385807</v>
      </c>
      <c r="E295" s="32">
        <f t="shared" ref="E295:P295" si="131">E293+E294</f>
        <v>385807</v>
      </c>
      <c r="F295" s="32">
        <f t="shared" si="131"/>
        <v>385807</v>
      </c>
      <c r="G295" s="32">
        <f t="shared" si="131"/>
        <v>321807</v>
      </c>
      <c r="H295" s="32">
        <f t="shared" si="131"/>
        <v>64000</v>
      </c>
      <c r="I295" s="32">
        <f t="shared" si="131"/>
        <v>0</v>
      </c>
      <c r="J295" s="32">
        <f t="shared" si="131"/>
        <v>0</v>
      </c>
      <c r="K295" s="32">
        <f t="shared" si="131"/>
        <v>0</v>
      </c>
      <c r="L295" s="32">
        <f t="shared" si="131"/>
        <v>0</v>
      </c>
      <c r="M295" s="32">
        <f t="shared" si="131"/>
        <v>0</v>
      </c>
      <c r="N295" s="32">
        <f t="shared" si="131"/>
        <v>0</v>
      </c>
      <c r="O295" s="32">
        <f t="shared" si="131"/>
        <v>0</v>
      </c>
      <c r="P295" s="32">
        <f t="shared" si="131"/>
        <v>0</v>
      </c>
      <c r="Q295" s="42"/>
      <c r="R295" s="42"/>
      <c r="S295" s="18"/>
      <c r="T295" s="18"/>
      <c r="U295" s="18"/>
    </row>
    <row r="296" spans="1:21" s="12" customFormat="1" hidden="1">
      <c r="A296" s="749">
        <v>85325</v>
      </c>
      <c r="B296" s="752" t="s">
        <v>159</v>
      </c>
      <c r="C296" s="66" t="s">
        <v>5</v>
      </c>
      <c r="D296" s="31">
        <f>E296+M296</f>
        <v>2220300</v>
      </c>
      <c r="E296" s="32">
        <f>F296+I296+J296+K296+L296</f>
        <v>2220300</v>
      </c>
      <c r="F296" s="32">
        <f>G296+H296</f>
        <v>2218300</v>
      </c>
      <c r="G296" s="32">
        <v>1881300</v>
      </c>
      <c r="H296" s="32">
        <v>337000</v>
      </c>
      <c r="I296" s="32">
        <v>0</v>
      </c>
      <c r="J296" s="32">
        <v>2000</v>
      </c>
      <c r="K296" s="32">
        <v>0</v>
      </c>
      <c r="L296" s="32">
        <v>0</v>
      </c>
      <c r="M296" s="32">
        <f>N296+P296</f>
        <v>0</v>
      </c>
      <c r="N296" s="32">
        <v>0</v>
      </c>
      <c r="O296" s="32">
        <v>0</v>
      </c>
      <c r="P296" s="32">
        <v>0</v>
      </c>
      <c r="Q296" s="42"/>
      <c r="R296" s="42"/>
      <c r="S296" s="18"/>
      <c r="T296" s="18"/>
      <c r="U296" s="18"/>
    </row>
    <row r="297" spans="1:21" s="12" customFormat="1" hidden="1">
      <c r="A297" s="750"/>
      <c r="B297" s="753"/>
      <c r="C297" s="66" t="s">
        <v>6</v>
      </c>
      <c r="D297" s="31">
        <f>E297+M297</f>
        <v>0</v>
      </c>
      <c r="E297" s="32">
        <f>F297+I297+J297+K297+L297</f>
        <v>0</v>
      </c>
      <c r="F297" s="32">
        <f>G297+H297</f>
        <v>0</v>
      </c>
      <c r="G297" s="32"/>
      <c r="H297" s="32"/>
      <c r="I297" s="32"/>
      <c r="J297" s="32"/>
      <c r="K297" s="32"/>
      <c r="L297" s="32"/>
      <c r="M297" s="32">
        <f>N297+P297</f>
        <v>0</v>
      </c>
      <c r="N297" s="32"/>
      <c r="O297" s="32"/>
      <c r="P297" s="32"/>
      <c r="Q297" s="42"/>
      <c r="R297" s="42"/>
      <c r="S297" s="18"/>
      <c r="T297" s="18"/>
      <c r="U297" s="18"/>
    </row>
    <row r="298" spans="1:21" s="12" customFormat="1" hidden="1">
      <c r="A298" s="751"/>
      <c r="B298" s="754"/>
      <c r="C298" s="66" t="s">
        <v>7</v>
      </c>
      <c r="D298" s="31">
        <f>D296+D297</f>
        <v>2220300</v>
      </c>
      <c r="E298" s="32">
        <f t="shared" ref="E298:P298" si="132">E296+E297</f>
        <v>2220300</v>
      </c>
      <c r="F298" s="32">
        <f t="shared" si="132"/>
        <v>2218300</v>
      </c>
      <c r="G298" s="32">
        <f t="shared" si="132"/>
        <v>1881300</v>
      </c>
      <c r="H298" s="32">
        <f t="shared" si="132"/>
        <v>337000</v>
      </c>
      <c r="I298" s="32">
        <f t="shared" si="132"/>
        <v>0</v>
      </c>
      <c r="J298" s="32">
        <f t="shared" si="132"/>
        <v>2000</v>
      </c>
      <c r="K298" s="32">
        <f t="shared" si="132"/>
        <v>0</v>
      </c>
      <c r="L298" s="32">
        <f t="shared" si="132"/>
        <v>0</v>
      </c>
      <c r="M298" s="32">
        <f t="shared" si="132"/>
        <v>0</v>
      </c>
      <c r="N298" s="32">
        <f t="shared" si="132"/>
        <v>0</v>
      </c>
      <c r="O298" s="32">
        <f t="shared" si="132"/>
        <v>0</v>
      </c>
      <c r="P298" s="32">
        <f t="shared" si="132"/>
        <v>0</v>
      </c>
      <c r="Q298" s="42"/>
      <c r="R298" s="42"/>
      <c r="S298" s="18"/>
      <c r="T298" s="18"/>
      <c r="U298" s="18"/>
    </row>
    <row r="299" spans="1:21" s="36" customFormat="1" ht="13.5" hidden="1" customHeight="1">
      <c r="A299" s="749">
        <v>85332</v>
      </c>
      <c r="B299" s="752" t="s">
        <v>53</v>
      </c>
      <c r="C299" s="66" t="s">
        <v>5</v>
      </c>
      <c r="D299" s="31">
        <f>E299+M299</f>
        <v>18027285</v>
      </c>
      <c r="E299" s="32">
        <f>F299+I299+J299+K299+L299</f>
        <v>18027285</v>
      </c>
      <c r="F299" s="32">
        <f>G299+H299</f>
        <v>8833564</v>
      </c>
      <c r="G299" s="32">
        <v>7114437</v>
      </c>
      <c r="H299" s="32">
        <f>37000+140000+2000+225000+131500+4000+355000+40000+1000+428700+14000+3000+9000+251427+29500+42000+6000</f>
        <v>1719127</v>
      </c>
      <c r="I299" s="32">
        <v>0</v>
      </c>
      <c r="J299" s="32">
        <v>27500</v>
      </c>
      <c r="K299" s="32">
        <v>9166221</v>
      </c>
      <c r="L299" s="32">
        <v>0</v>
      </c>
      <c r="M299" s="32">
        <f>N299+P299</f>
        <v>0</v>
      </c>
      <c r="N299" s="32">
        <v>0</v>
      </c>
      <c r="O299" s="32">
        <v>0</v>
      </c>
      <c r="P299" s="32">
        <v>0</v>
      </c>
      <c r="Q299" s="58"/>
      <c r="R299" s="58"/>
      <c r="S299" s="35"/>
      <c r="T299" s="35"/>
      <c r="U299" s="35"/>
    </row>
    <row r="300" spans="1:21" s="36" customFormat="1" ht="13.5" hidden="1" customHeight="1">
      <c r="A300" s="750"/>
      <c r="B300" s="753"/>
      <c r="C300" s="66" t="s">
        <v>6</v>
      </c>
      <c r="D300" s="31">
        <f>E300+M300</f>
        <v>0</v>
      </c>
      <c r="E300" s="32">
        <f>F300+I300+J300+K300+L300</f>
        <v>0</v>
      </c>
      <c r="F300" s="32">
        <f>G300+H300</f>
        <v>0</v>
      </c>
      <c r="G300" s="32"/>
      <c r="H300" s="32"/>
      <c r="I300" s="32"/>
      <c r="J300" s="32"/>
      <c r="K300" s="32"/>
      <c r="L300" s="32"/>
      <c r="M300" s="32">
        <f>N300+P300</f>
        <v>0</v>
      </c>
      <c r="N300" s="32"/>
      <c r="O300" s="32"/>
      <c r="P300" s="32"/>
      <c r="Q300" s="58"/>
      <c r="R300" s="58"/>
      <c r="S300" s="35"/>
      <c r="T300" s="35"/>
      <c r="U300" s="35"/>
    </row>
    <row r="301" spans="1:21" s="36" customFormat="1" ht="13.5" hidden="1" customHeight="1">
      <c r="A301" s="751"/>
      <c r="B301" s="754"/>
      <c r="C301" s="66" t="s">
        <v>7</v>
      </c>
      <c r="D301" s="31">
        <f>D299+D300</f>
        <v>18027285</v>
      </c>
      <c r="E301" s="32">
        <f t="shared" ref="E301:P301" si="133">E299+E300</f>
        <v>18027285</v>
      </c>
      <c r="F301" s="32">
        <f t="shared" si="133"/>
        <v>8833564</v>
      </c>
      <c r="G301" s="32">
        <f t="shared" si="133"/>
        <v>7114437</v>
      </c>
      <c r="H301" s="32">
        <f t="shared" si="133"/>
        <v>1719127</v>
      </c>
      <c r="I301" s="32">
        <f t="shared" si="133"/>
        <v>0</v>
      </c>
      <c r="J301" s="32">
        <f t="shared" si="133"/>
        <v>27500</v>
      </c>
      <c r="K301" s="32">
        <f t="shared" si="133"/>
        <v>9166221</v>
      </c>
      <c r="L301" s="32">
        <f t="shared" si="133"/>
        <v>0</v>
      </c>
      <c r="M301" s="32">
        <f t="shared" si="133"/>
        <v>0</v>
      </c>
      <c r="N301" s="32">
        <f t="shared" si="133"/>
        <v>0</v>
      </c>
      <c r="O301" s="32">
        <f t="shared" si="133"/>
        <v>0</v>
      </c>
      <c r="P301" s="32">
        <f t="shared" si="133"/>
        <v>0</v>
      </c>
      <c r="Q301" s="58"/>
      <c r="R301" s="58"/>
      <c r="S301" s="35"/>
      <c r="T301" s="35"/>
      <c r="U301" s="35"/>
    </row>
    <row r="302" spans="1:21" s="36" customFormat="1" ht="13.35" customHeight="1">
      <c r="A302" s="749">
        <v>85395</v>
      </c>
      <c r="B302" s="752" t="s">
        <v>43</v>
      </c>
      <c r="C302" s="66" t="s">
        <v>5</v>
      </c>
      <c r="D302" s="31">
        <f>E302+M302</f>
        <v>10312595</v>
      </c>
      <c r="E302" s="32">
        <f>F302+I302+J302+K302+L302</f>
        <v>10312595</v>
      </c>
      <c r="F302" s="32">
        <f>G302+H302</f>
        <v>171500</v>
      </c>
      <c r="G302" s="32">
        <v>0</v>
      </c>
      <c r="H302" s="32">
        <f>21000+12000+138500</f>
        <v>171500</v>
      </c>
      <c r="I302" s="32">
        <v>100000</v>
      </c>
      <c r="J302" s="32">
        <v>0</v>
      </c>
      <c r="K302" s="32">
        <v>10041095</v>
      </c>
      <c r="L302" s="32">
        <v>0</v>
      </c>
      <c r="M302" s="32">
        <f>N302+P302</f>
        <v>0</v>
      </c>
      <c r="N302" s="32">
        <v>0</v>
      </c>
      <c r="O302" s="32">
        <v>0</v>
      </c>
      <c r="P302" s="32">
        <v>0</v>
      </c>
      <c r="Q302" s="58"/>
      <c r="R302" s="58"/>
      <c r="S302" s="35"/>
      <c r="T302" s="35"/>
      <c r="U302" s="35"/>
    </row>
    <row r="303" spans="1:21" s="36" customFormat="1" ht="13.35" customHeight="1">
      <c r="A303" s="750"/>
      <c r="B303" s="753"/>
      <c r="C303" s="66" t="s">
        <v>6</v>
      </c>
      <c r="D303" s="31">
        <f>E303+M303</f>
        <v>4452250</v>
      </c>
      <c r="E303" s="32">
        <f>F303+I303+J303+K303+L303</f>
        <v>4452250</v>
      </c>
      <c r="F303" s="32">
        <f>G303+H303</f>
        <v>0</v>
      </c>
      <c r="G303" s="32"/>
      <c r="H303" s="32"/>
      <c r="I303" s="32"/>
      <c r="J303" s="32"/>
      <c r="K303" s="32">
        <f>4452250</f>
        <v>4452250</v>
      </c>
      <c r="L303" s="32"/>
      <c r="M303" s="32">
        <f>N303+P303</f>
        <v>0</v>
      </c>
      <c r="N303" s="32"/>
      <c r="O303" s="32"/>
      <c r="P303" s="32"/>
      <c r="Q303" s="58"/>
      <c r="R303" s="58"/>
      <c r="S303" s="35"/>
      <c r="T303" s="35"/>
      <c r="U303" s="35"/>
    </row>
    <row r="304" spans="1:21" s="36" customFormat="1" ht="13.35" customHeight="1">
      <c r="A304" s="751"/>
      <c r="B304" s="754"/>
      <c r="C304" s="66" t="s">
        <v>7</v>
      </c>
      <c r="D304" s="31">
        <f>D302+D303</f>
        <v>14764845</v>
      </c>
      <c r="E304" s="32">
        <f t="shared" ref="E304:P304" si="134">E302+E303</f>
        <v>14764845</v>
      </c>
      <c r="F304" s="32">
        <f t="shared" si="134"/>
        <v>171500</v>
      </c>
      <c r="G304" s="32">
        <f t="shared" si="134"/>
        <v>0</v>
      </c>
      <c r="H304" s="32">
        <f t="shared" si="134"/>
        <v>171500</v>
      </c>
      <c r="I304" s="32">
        <f t="shared" si="134"/>
        <v>100000</v>
      </c>
      <c r="J304" s="32">
        <f t="shared" si="134"/>
        <v>0</v>
      </c>
      <c r="K304" s="32">
        <f t="shared" si="134"/>
        <v>14493345</v>
      </c>
      <c r="L304" s="32">
        <f t="shared" si="134"/>
        <v>0</v>
      </c>
      <c r="M304" s="32">
        <f t="shared" si="134"/>
        <v>0</v>
      </c>
      <c r="N304" s="32">
        <f t="shared" si="134"/>
        <v>0</v>
      </c>
      <c r="O304" s="32">
        <f t="shared" si="134"/>
        <v>0</v>
      </c>
      <c r="P304" s="32">
        <f t="shared" si="134"/>
        <v>0</v>
      </c>
      <c r="Q304" s="58"/>
      <c r="R304" s="58"/>
      <c r="S304" s="35"/>
      <c r="T304" s="35"/>
      <c r="U304" s="35"/>
    </row>
    <row r="305" spans="1:21" s="14" customFormat="1" ht="14.1" customHeight="1">
      <c r="A305" s="755">
        <v>854</v>
      </c>
      <c r="B305" s="758" t="s">
        <v>160</v>
      </c>
      <c r="C305" s="65" t="s">
        <v>5</v>
      </c>
      <c r="D305" s="29">
        <f t="shared" ref="D305:P306" si="135">D308+D314+D317+D320+D326+D329+D311+D323</f>
        <v>48836590</v>
      </c>
      <c r="E305" s="30">
        <f t="shared" si="135"/>
        <v>33304223</v>
      </c>
      <c r="F305" s="30">
        <f t="shared" si="135"/>
        <v>27509738</v>
      </c>
      <c r="G305" s="30">
        <f t="shared" si="135"/>
        <v>23742581</v>
      </c>
      <c r="H305" s="30">
        <f t="shared" si="135"/>
        <v>3767157</v>
      </c>
      <c r="I305" s="30">
        <f t="shared" si="135"/>
        <v>287000</v>
      </c>
      <c r="J305" s="30">
        <f t="shared" si="135"/>
        <v>110072</v>
      </c>
      <c r="K305" s="30">
        <f t="shared" si="135"/>
        <v>5397413</v>
      </c>
      <c r="L305" s="30">
        <f t="shared" si="135"/>
        <v>0</v>
      </c>
      <c r="M305" s="30">
        <f t="shared" si="135"/>
        <v>15532367</v>
      </c>
      <c r="N305" s="30">
        <f t="shared" si="135"/>
        <v>15532367</v>
      </c>
      <c r="O305" s="30">
        <f t="shared" si="135"/>
        <v>8247726</v>
      </c>
      <c r="P305" s="30">
        <f t="shared" si="135"/>
        <v>0</v>
      </c>
      <c r="Q305" s="53"/>
      <c r="R305" s="53"/>
      <c r="S305" s="20"/>
      <c r="T305" s="20"/>
      <c r="U305" s="20"/>
    </row>
    <row r="306" spans="1:21" s="14" customFormat="1" ht="14.1" customHeight="1">
      <c r="A306" s="756"/>
      <c r="B306" s="759"/>
      <c r="C306" s="65" t="s">
        <v>6</v>
      </c>
      <c r="D306" s="29">
        <f t="shared" si="135"/>
        <v>-387562</v>
      </c>
      <c r="E306" s="30">
        <f t="shared" si="135"/>
        <v>0</v>
      </c>
      <c r="F306" s="30">
        <f t="shared" si="135"/>
        <v>0</v>
      </c>
      <c r="G306" s="30">
        <f t="shared" si="135"/>
        <v>0</v>
      </c>
      <c r="H306" s="30">
        <f t="shared" si="135"/>
        <v>0</v>
      </c>
      <c r="I306" s="30">
        <f t="shared" si="135"/>
        <v>0</v>
      </c>
      <c r="J306" s="30">
        <f t="shared" si="135"/>
        <v>0</v>
      </c>
      <c r="K306" s="30">
        <f t="shared" si="135"/>
        <v>0</v>
      </c>
      <c r="L306" s="30">
        <f t="shared" si="135"/>
        <v>0</v>
      </c>
      <c r="M306" s="30">
        <f t="shared" si="135"/>
        <v>-387562</v>
      </c>
      <c r="N306" s="30">
        <f t="shared" si="135"/>
        <v>-387562</v>
      </c>
      <c r="O306" s="30">
        <f t="shared" si="135"/>
        <v>-1836917</v>
      </c>
      <c r="P306" s="30">
        <f t="shared" si="135"/>
        <v>0</v>
      </c>
      <c r="Q306" s="53"/>
      <c r="R306" s="53"/>
      <c r="S306" s="20"/>
      <c r="T306" s="20"/>
      <c r="U306" s="20"/>
    </row>
    <row r="307" spans="1:21" s="14" customFormat="1" ht="14.1" customHeight="1">
      <c r="A307" s="757"/>
      <c r="B307" s="760"/>
      <c r="C307" s="65" t="s">
        <v>7</v>
      </c>
      <c r="D307" s="29">
        <f>D305+D306</f>
        <v>48449028</v>
      </c>
      <c r="E307" s="30">
        <f t="shared" ref="E307:P307" si="136">E305+E306</f>
        <v>33304223</v>
      </c>
      <c r="F307" s="30">
        <f t="shared" si="136"/>
        <v>27509738</v>
      </c>
      <c r="G307" s="30">
        <f t="shared" si="136"/>
        <v>23742581</v>
      </c>
      <c r="H307" s="30">
        <f t="shared" si="136"/>
        <v>3767157</v>
      </c>
      <c r="I307" s="30">
        <f t="shared" si="136"/>
        <v>287000</v>
      </c>
      <c r="J307" s="30">
        <f t="shared" si="136"/>
        <v>110072</v>
      </c>
      <c r="K307" s="30">
        <f t="shared" si="136"/>
        <v>5397413</v>
      </c>
      <c r="L307" s="30">
        <f t="shared" si="136"/>
        <v>0</v>
      </c>
      <c r="M307" s="30">
        <f t="shared" si="136"/>
        <v>15144805</v>
      </c>
      <c r="N307" s="30">
        <f t="shared" si="136"/>
        <v>15144805</v>
      </c>
      <c r="O307" s="30">
        <f t="shared" si="136"/>
        <v>6410809</v>
      </c>
      <c r="P307" s="30">
        <f t="shared" si="136"/>
        <v>0</v>
      </c>
      <c r="Q307" s="53"/>
      <c r="R307" s="53"/>
      <c r="S307" s="20"/>
      <c r="T307" s="20"/>
      <c r="U307" s="20"/>
    </row>
    <row r="308" spans="1:21" s="36" customFormat="1" ht="13.35" customHeight="1">
      <c r="A308" s="749">
        <v>85403</v>
      </c>
      <c r="B308" s="752" t="s">
        <v>161</v>
      </c>
      <c r="C308" s="66" t="s">
        <v>5</v>
      </c>
      <c r="D308" s="31">
        <f t="shared" ref="D308:D330" si="137">E308+M308</f>
        <v>36309408</v>
      </c>
      <c r="E308" s="32">
        <f t="shared" ref="E308:E330" si="138">F308+I308+J308+K308+L308</f>
        <v>20777041</v>
      </c>
      <c r="F308" s="32">
        <f t="shared" ref="F308:F330" si="139">G308+H308</f>
        <v>19915039</v>
      </c>
      <c r="G308" s="32">
        <v>17047783</v>
      </c>
      <c r="H308" s="32">
        <f>473950+508960+21500+393000+234000+8300+699292+16300+1500+2600+33000+464892+220+1500+242+8000</f>
        <v>2867256</v>
      </c>
      <c r="I308" s="32">
        <v>0</v>
      </c>
      <c r="J308" s="32">
        <v>58439</v>
      </c>
      <c r="K308" s="32">
        <v>803563</v>
      </c>
      <c r="L308" s="32">
        <v>0</v>
      </c>
      <c r="M308" s="32">
        <f t="shared" ref="M308:M330" si="140">N308+P308</f>
        <v>15532367</v>
      </c>
      <c r="N308" s="32">
        <v>15532367</v>
      </c>
      <c r="O308" s="32">
        <v>8247726</v>
      </c>
      <c r="P308" s="32">
        <v>0</v>
      </c>
      <c r="Q308" s="58"/>
      <c r="R308" s="58"/>
      <c r="S308" s="35"/>
      <c r="T308" s="35"/>
      <c r="U308" s="35"/>
    </row>
    <row r="309" spans="1:21" s="36" customFormat="1" ht="13.35" customHeight="1">
      <c r="A309" s="750"/>
      <c r="B309" s="753"/>
      <c r="C309" s="66" t="s">
        <v>6</v>
      </c>
      <c r="D309" s="31">
        <f t="shared" si="137"/>
        <v>-387562</v>
      </c>
      <c r="E309" s="32">
        <f t="shared" si="138"/>
        <v>0</v>
      </c>
      <c r="F309" s="32">
        <f t="shared" si="139"/>
        <v>0</v>
      </c>
      <c r="G309" s="32"/>
      <c r="H309" s="32"/>
      <c r="I309" s="32"/>
      <c r="J309" s="32"/>
      <c r="K309" s="32"/>
      <c r="L309" s="32"/>
      <c r="M309" s="32">
        <f t="shared" si="140"/>
        <v>-387562</v>
      </c>
      <c r="N309" s="32">
        <f>1449355-1836917</f>
        <v>-387562</v>
      </c>
      <c r="O309" s="32">
        <f>-1836917</f>
        <v>-1836917</v>
      </c>
      <c r="P309" s="32"/>
      <c r="Q309" s="58"/>
      <c r="R309" s="58"/>
      <c r="S309" s="35"/>
      <c r="T309" s="35"/>
      <c r="U309" s="35"/>
    </row>
    <row r="310" spans="1:21" s="36" customFormat="1" ht="13.35" customHeight="1">
      <c r="A310" s="751"/>
      <c r="B310" s="754"/>
      <c r="C310" s="66" t="s">
        <v>7</v>
      </c>
      <c r="D310" s="31">
        <f>D308+D309</f>
        <v>35921846</v>
      </c>
      <c r="E310" s="32">
        <f t="shared" ref="E310:P310" si="141">E308+E309</f>
        <v>20777041</v>
      </c>
      <c r="F310" s="32">
        <f t="shared" si="141"/>
        <v>19915039</v>
      </c>
      <c r="G310" s="32">
        <f t="shared" si="141"/>
        <v>17047783</v>
      </c>
      <c r="H310" s="32">
        <f t="shared" si="141"/>
        <v>2867256</v>
      </c>
      <c r="I310" s="32">
        <f t="shared" si="141"/>
        <v>0</v>
      </c>
      <c r="J310" s="32">
        <f t="shared" si="141"/>
        <v>58439</v>
      </c>
      <c r="K310" s="32">
        <f t="shared" si="141"/>
        <v>803563</v>
      </c>
      <c r="L310" s="32">
        <f t="shared" si="141"/>
        <v>0</v>
      </c>
      <c r="M310" s="32">
        <f t="shared" si="141"/>
        <v>15144805</v>
      </c>
      <c r="N310" s="32">
        <f t="shared" si="141"/>
        <v>15144805</v>
      </c>
      <c r="O310" s="32">
        <f t="shared" si="141"/>
        <v>6410809</v>
      </c>
      <c r="P310" s="32">
        <f t="shared" si="141"/>
        <v>0</v>
      </c>
      <c r="Q310" s="58"/>
      <c r="R310" s="58"/>
      <c r="S310" s="35"/>
      <c r="T310" s="35"/>
      <c r="U310" s="35"/>
    </row>
    <row r="311" spans="1:21" s="36" customFormat="1" ht="13.5" hidden="1" customHeight="1">
      <c r="A311" s="749">
        <v>85404</v>
      </c>
      <c r="B311" s="752" t="s">
        <v>162</v>
      </c>
      <c r="C311" s="66" t="s">
        <v>5</v>
      </c>
      <c r="D311" s="31">
        <f t="shared" si="137"/>
        <v>1781146</v>
      </c>
      <c r="E311" s="32">
        <f t="shared" si="138"/>
        <v>1781146</v>
      </c>
      <c r="F311" s="32">
        <f t="shared" si="139"/>
        <v>1778876</v>
      </c>
      <c r="G311" s="32">
        <v>1666396</v>
      </c>
      <c r="H311" s="32">
        <f>9000+14000+25000+2500+500+13000+200+800+800+46180+500</f>
        <v>112480</v>
      </c>
      <c r="I311" s="32">
        <v>0</v>
      </c>
      <c r="J311" s="32">
        <v>2270</v>
      </c>
      <c r="K311" s="32">
        <v>0</v>
      </c>
      <c r="L311" s="32">
        <v>0</v>
      </c>
      <c r="M311" s="32">
        <f t="shared" si="140"/>
        <v>0</v>
      </c>
      <c r="N311" s="32">
        <v>0</v>
      </c>
      <c r="O311" s="32">
        <v>0</v>
      </c>
      <c r="P311" s="32">
        <v>0</v>
      </c>
      <c r="Q311" s="58"/>
      <c r="R311" s="58"/>
      <c r="S311" s="35"/>
      <c r="T311" s="35"/>
      <c r="U311" s="35"/>
    </row>
    <row r="312" spans="1:21" s="36" customFormat="1" ht="13.5" hidden="1" customHeight="1">
      <c r="A312" s="750"/>
      <c r="B312" s="753"/>
      <c r="C312" s="66" t="s">
        <v>6</v>
      </c>
      <c r="D312" s="31">
        <f t="shared" si="137"/>
        <v>0</v>
      </c>
      <c r="E312" s="32">
        <f t="shared" si="138"/>
        <v>0</v>
      </c>
      <c r="F312" s="32">
        <f t="shared" si="139"/>
        <v>0</v>
      </c>
      <c r="G312" s="32"/>
      <c r="H312" s="32"/>
      <c r="I312" s="32"/>
      <c r="J312" s="32"/>
      <c r="K312" s="32"/>
      <c r="L312" s="32"/>
      <c r="M312" s="32">
        <f t="shared" si="140"/>
        <v>0</v>
      </c>
      <c r="N312" s="32"/>
      <c r="O312" s="32"/>
      <c r="P312" s="32"/>
      <c r="Q312" s="58"/>
      <c r="R312" s="58"/>
      <c r="S312" s="35"/>
      <c r="T312" s="35"/>
      <c r="U312" s="35"/>
    </row>
    <row r="313" spans="1:21" s="36" customFormat="1" ht="13.5" hidden="1" customHeight="1">
      <c r="A313" s="751"/>
      <c r="B313" s="754"/>
      <c r="C313" s="66" t="s">
        <v>7</v>
      </c>
      <c r="D313" s="31">
        <f>D311+D312</f>
        <v>1781146</v>
      </c>
      <c r="E313" s="32">
        <f t="shared" ref="E313:P313" si="142">E311+E312</f>
        <v>1781146</v>
      </c>
      <c r="F313" s="32">
        <f t="shared" si="142"/>
        <v>1778876</v>
      </c>
      <c r="G313" s="32">
        <f t="shared" si="142"/>
        <v>1666396</v>
      </c>
      <c r="H313" s="32">
        <f t="shared" si="142"/>
        <v>112480</v>
      </c>
      <c r="I313" s="32">
        <f t="shared" si="142"/>
        <v>0</v>
      </c>
      <c r="J313" s="32">
        <f t="shared" si="142"/>
        <v>2270</v>
      </c>
      <c r="K313" s="32">
        <f t="shared" si="142"/>
        <v>0</v>
      </c>
      <c r="L313" s="32">
        <f t="shared" si="142"/>
        <v>0</v>
      </c>
      <c r="M313" s="32">
        <f t="shared" si="140"/>
        <v>0</v>
      </c>
      <c r="N313" s="32">
        <f t="shared" si="142"/>
        <v>0</v>
      </c>
      <c r="O313" s="32">
        <f t="shared" si="142"/>
        <v>0</v>
      </c>
      <c r="P313" s="32">
        <f t="shared" si="142"/>
        <v>0</v>
      </c>
      <c r="Q313" s="58"/>
      <c r="R313" s="58"/>
      <c r="S313" s="35"/>
      <c r="T313" s="35"/>
      <c r="U313" s="35"/>
    </row>
    <row r="314" spans="1:21" s="36" customFormat="1" ht="13.5" hidden="1" customHeight="1">
      <c r="A314" s="749">
        <v>85407</v>
      </c>
      <c r="B314" s="752" t="s">
        <v>163</v>
      </c>
      <c r="C314" s="66" t="s">
        <v>5</v>
      </c>
      <c r="D314" s="31">
        <f t="shared" si="137"/>
        <v>3955332</v>
      </c>
      <c r="E314" s="32">
        <f t="shared" si="138"/>
        <v>3955332</v>
      </c>
      <c r="F314" s="32">
        <f t="shared" si="139"/>
        <v>3944469</v>
      </c>
      <c r="G314" s="32">
        <v>3804261</v>
      </c>
      <c r="H314" s="32">
        <f>10978+13604+3106+860+829+486+1691+106654+2000</f>
        <v>140208</v>
      </c>
      <c r="I314" s="32">
        <v>0</v>
      </c>
      <c r="J314" s="32">
        <v>10863</v>
      </c>
      <c r="K314" s="32">
        <v>0</v>
      </c>
      <c r="L314" s="32">
        <v>0</v>
      </c>
      <c r="M314" s="32">
        <f t="shared" si="140"/>
        <v>0</v>
      </c>
      <c r="N314" s="32">
        <v>0</v>
      </c>
      <c r="O314" s="32">
        <v>0</v>
      </c>
      <c r="P314" s="32">
        <v>0</v>
      </c>
      <c r="Q314" s="58"/>
      <c r="R314" s="58"/>
      <c r="S314" s="35"/>
      <c r="T314" s="35"/>
      <c r="U314" s="35"/>
    </row>
    <row r="315" spans="1:21" s="36" customFormat="1" ht="13.5" hidden="1" customHeight="1">
      <c r="A315" s="750"/>
      <c r="B315" s="753"/>
      <c r="C315" s="66" t="s">
        <v>6</v>
      </c>
      <c r="D315" s="31">
        <f t="shared" si="137"/>
        <v>0</v>
      </c>
      <c r="E315" s="32">
        <f t="shared" si="138"/>
        <v>0</v>
      </c>
      <c r="F315" s="32">
        <f t="shared" si="139"/>
        <v>0</v>
      </c>
      <c r="G315" s="32"/>
      <c r="H315" s="32"/>
      <c r="I315" s="32"/>
      <c r="J315" s="32"/>
      <c r="K315" s="32"/>
      <c r="L315" s="32"/>
      <c r="M315" s="32">
        <f t="shared" si="140"/>
        <v>0</v>
      </c>
      <c r="N315" s="32"/>
      <c r="O315" s="32"/>
      <c r="P315" s="32"/>
      <c r="Q315" s="58"/>
      <c r="R315" s="58"/>
      <c r="S315" s="35"/>
      <c r="T315" s="35"/>
      <c r="U315" s="35"/>
    </row>
    <row r="316" spans="1:21" s="36" customFormat="1" ht="13.5" hidden="1" customHeight="1">
      <c r="A316" s="751"/>
      <c r="B316" s="754"/>
      <c r="C316" s="66" t="s">
        <v>7</v>
      </c>
      <c r="D316" s="31">
        <f>D314+D315</f>
        <v>3955332</v>
      </c>
      <c r="E316" s="32">
        <f t="shared" ref="E316:P316" si="143">E314+E315</f>
        <v>3955332</v>
      </c>
      <c r="F316" s="32">
        <f t="shared" si="143"/>
        <v>3944469</v>
      </c>
      <c r="G316" s="32">
        <f t="shared" si="143"/>
        <v>3804261</v>
      </c>
      <c r="H316" s="32">
        <f t="shared" si="143"/>
        <v>140208</v>
      </c>
      <c r="I316" s="32">
        <f t="shared" si="143"/>
        <v>0</v>
      </c>
      <c r="J316" s="32">
        <f t="shared" si="143"/>
        <v>10863</v>
      </c>
      <c r="K316" s="32">
        <f t="shared" si="143"/>
        <v>0</v>
      </c>
      <c r="L316" s="32">
        <f t="shared" si="143"/>
        <v>0</v>
      </c>
      <c r="M316" s="32">
        <f t="shared" si="143"/>
        <v>0</v>
      </c>
      <c r="N316" s="32">
        <f t="shared" si="143"/>
        <v>0</v>
      </c>
      <c r="O316" s="32">
        <f t="shared" si="143"/>
        <v>0</v>
      </c>
      <c r="P316" s="32">
        <f t="shared" si="143"/>
        <v>0</v>
      </c>
      <c r="Q316" s="58"/>
      <c r="R316" s="58"/>
      <c r="S316" s="35"/>
      <c r="T316" s="35"/>
      <c r="U316" s="35"/>
    </row>
    <row r="317" spans="1:21" s="36" customFormat="1" ht="13.5" hidden="1" customHeight="1">
      <c r="A317" s="749">
        <v>85410</v>
      </c>
      <c r="B317" s="752" t="s">
        <v>164</v>
      </c>
      <c r="C317" s="66" t="s">
        <v>5</v>
      </c>
      <c r="D317" s="31">
        <f t="shared" si="137"/>
        <v>1513427</v>
      </c>
      <c r="E317" s="32">
        <f t="shared" si="138"/>
        <v>1513427</v>
      </c>
      <c r="F317" s="32">
        <f t="shared" si="139"/>
        <v>1510927</v>
      </c>
      <c r="G317" s="32">
        <v>1224141</v>
      </c>
      <c r="H317" s="32">
        <f>180000+27500+1600+400+20000+1500+42054+13232+500</f>
        <v>286786</v>
      </c>
      <c r="I317" s="32">
        <v>0</v>
      </c>
      <c r="J317" s="32">
        <v>2500</v>
      </c>
      <c r="K317" s="32">
        <v>0</v>
      </c>
      <c r="L317" s="32">
        <v>0</v>
      </c>
      <c r="M317" s="32">
        <f t="shared" si="140"/>
        <v>0</v>
      </c>
      <c r="N317" s="32">
        <v>0</v>
      </c>
      <c r="O317" s="32">
        <v>0</v>
      </c>
      <c r="P317" s="32">
        <v>0</v>
      </c>
      <c r="Q317" s="58"/>
      <c r="R317" s="58"/>
      <c r="S317" s="35"/>
      <c r="T317" s="35"/>
      <c r="U317" s="35"/>
    </row>
    <row r="318" spans="1:21" s="36" customFormat="1" ht="13.5" hidden="1" customHeight="1">
      <c r="A318" s="750"/>
      <c r="B318" s="753"/>
      <c r="C318" s="66" t="s">
        <v>6</v>
      </c>
      <c r="D318" s="31">
        <f t="shared" si="137"/>
        <v>0</v>
      </c>
      <c r="E318" s="32">
        <f t="shared" si="138"/>
        <v>0</v>
      </c>
      <c r="F318" s="32">
        <f t="shared" si="139"/>
        <v>0</v>
      </c>
      <c r="G318" s="32"/>
      <c r="H318" s="32"/>
      <c r="I318" s="32"/>
      <c r="J318" s="32"/>
      <c r="K318" s="32"/>
      <c r="L318" s="32"/>
      <c r="M318" s="32">
        <f t="shared" si="140"/>
        <v>0</v>
      </c>
      <c r="N318" s="32"/>
      <c r="O318" s="32"/>
      <c r="P318" s="32"/>
      <c r="Q318" s="58"/>
      <c r="R318" s="58"/>
      <c r="S318" s="35"/>
      <c r="T318" s="35"/>
      <c r="U318" s="35"/>
    </row>
    <row r="319" spans="1:21" s="36" customFormat="1" ht="13.5" hidden="1" customHeight="1">
      <c r="A319" s="751"/>
      <c r="B319" s="754"/>
      <c r="C319" s="66" t="s">
        <v>7</v>
      </c>
      <c r="D319" s="31">
        <f>D317+D318</f>
        <v>1513427</v>
      </c>
      <c r="E319" s="32">
        <f t="shared" ref="E319:P319" si="144">E317+E318</f>
        <v>1513427</v>
      </c>
      <c r="F319" s="32">
        <f t="shared" si="144"/>
        <v>1510927</v>
      </c>
      <c r="G319" s="32">
        <f t="shared" si="144"/>
        <v>1224141</v>
      </c>
      <c r="H319" s="32">
        <f t="shared" si="144"/>
        <v>286786</v>
      </c>
      <c r="I319" s="32">
        <f t="shared" si="144"/>
        <v>0</v>
      </c>
      <c r="J319" s="32">
        <f t="shared" si="144"/>
        <v>2500</v>
      </c>
      <c r="K319" s="32">
        <f t="shared" si="144"/>
        <v>0</v>
      </c>
      <c r="L319" s="32">
        <f t="shared" si="144"/>
        <v>0</v>
      </c>
      <c r="M319" s="32">
        <f t="shared" si="144"/>
        <v>0</v>
      </c>
      <c r="N319" s="32">
        <f t="shared" si="144"/>
        <v>0</v>
      </c>
      <c r="O319" s="32">
        <f t="shared" si="144"/>
        <v>0</v>
      </c>
      <c r="P319" s="32">
        <f t="shared" si="144"/>
        <v>0</v>
      </c>
      <c r="Q319" s="58"/>
      <c r="R319" s="58"/>
      <c r="S319" s="35"/>
      <c r="T319" s="35"/>
      <c r="U319" s="35"/>
    </row>
    <row r="320" spans="1:21" s="12" customFormat="1" hidden="1">
      <c r="A320" s="749">
        <v>85415</v>
      </c>
      <c r="B320" s="752" t="s">
        <v>185</v>
      </c>
      <c r="C320" s="66" t="s">
        <v>5</v>
      </c>
      <c r="D320" s="31">
        <f t="shared" si="137"/>
        <v>207000</v>
      </c>
      <c r="E320" s="32">
        <f t="shared" si="138"/>
        <v>207000</v>
      </c>
      <c r="F320" s="32">
        <f t="shared" si="139"/>
        <v>0</v>
      </c>
      <c r="G320" s="32">
        <v>0</v>
      </c>
      <c r="H320" s="32">
        <v>0</v>
      </c>
      <c r="I320" s="32">
        <v>207000</v>
      </c>
      <c r="J320" s="32">
        <v>0</v>
      </c>
      <c r="K320" s="32">
        <v>0</v>
      </c>
      <c r="L320" s="32">
        <v>0</v>
      </c>
      <c r="M320" s="32">
        <f t="shared" si="140"/>
        <v>0</v>
      </c>
      <c r="N320" s="32">
        <v>0</v>
      </c>
      <c r="O320" s="32">
        <v>0</v>
      </c>
      <c r="P320" s="32">
        <v>0</v>
      </c>
      <c r="Q320" s="42"/>
      <c r="R320" s="42"/>
      <c r="S320" s="18"/>
      <c r="T320" s="18"/>
      <c r="U320" s="18"/>
    </row>
    <row r="321" spans="1:21" s="12" customFormat="1" hidden="1">
      <c r="A321" s="750"/>
      <c r="B321" s="753"/>
      <c r="C321" s="66" t="s">
        <v>6</v>
      </c>
      <c r="D321" s="31">
        <f t="shared" si="137"/>
        <v>0</v>
      </c>
      <c r="E321" s="32">
        <f t="shared" si="138"/>
        <v>0</v>
      </c>
      <c r="F321" s="32">
        <f t="shared" si="139"/>
        <v>0</v>
      </c>
      <c r="G321" s="32"/>
      <c r="H321" s="32"/>
      <c r="I321" s="32"/>
      <c r="J321" s="32"/>
      <c r="K321" s="32"/>
      <c r="L321" s="32"/>
      <c r="M321" s="32">
        <f t="shared" si="140"/>
        <v>0</v>
      </c>
      <c r="N321" s="32"/>
      <c r="O321" s="32"/>
      <c r="P321" s="32"/>
      <c r="Q321" s="42"/>
      <c r="R321" s="42"/>
      <c r="S321" s="18"/>
      <c r="T321" s="18"/>
      <c r="U321" s="18"/>
    </row>
    <row r="322" spans="1:21" s="12" customFormat="1" hidden="1">
      <c r="A322" s="751"/>
      <c r="B322" s="754"/>
      <c r="C322" s="66" t="s">
        <v>7</v>
      </c>
      <c r="D322" s="31">
        <f>D320+D321</f>
        <v>207000</v>
      </c>
      <c r="E322" s="32">
        <f t="shared" ref="E322:P322" si="145">E320+E321</f>
        <v>207000</v>
      </c>
      <c r="F322" s="32">
        <f t="shared" si="145"/>
        <v>0</v>
      </c>
      <c r="G322" s="32">
        <f t="shared" si="145"/>
        <v>0</v>
      </c>
      <c r="H322" s="32">
        <f t="shared" si="145"/>
        <v>0</v>
      </c>
      <c r="I322" s="32">
        <f t="shared" si="145"/>
        <v>207000</v>
      </c>
      <c r="J322" s="32">
        <f t="shared" si="145"/>
        <v>0</v>
      </c>
      <c r="K322" s="32">
        <f t="shared" si="145"/>
        <v>0</v>
      </c>
      <c r="L322" s="32">
        <f t="shared" si="145"/>
        <v>0</v>
      </c>
      <c r="M322" s="32">
        <f t="shared" si="145"/>
        <v>0</v>
      </c>
      <c r="N322" s="32">
        <f t="shared" si="145"/>
        <v>0</v>
      </c>
      <c r="O322" s="32">
        <f t="shared" si="145"/>
        <v>0</v>
      </c>
      <c r="P322" s="32">
        <f t="shared" si="145"/>
        <v>0</v>
      </c>
      <c r="Q322" s="42"/>
      <c r="R322" s="42"/>
      <c r="S322" s="18"/>
      <c r="T322" s="18"/>
      <c r="U322" s="18"/>
    </row>
    <row r="323" spans="1:21" s="12" customFormat="1" hidden="1">
      <c r="A323" s="749">
        <v>85416</v>
      </c>
      <c r="B323" s="752" t="s">
        <v>165</v>
      </c>
      <c r="C323" s="66" t="s">
        <v>5</v>
      </c>
      <c r="D323" s="31">
        <f t="shared" si="137"/>
        <v>4593850</v>
      </c>
      <c r="E323" s="32">
        <f t="shared" si="138"/>
        <v>4593850</v>
      </c>
      <c r="F323" s="32">
        <f t="shared" si="139"/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4593850</v>
      </c>
      <c r="L323" s="32">
        <v>0</v>
      </c>
      <c r="M323" s="32">
        <f t="shared" si="140"/>
        <v>0</v>
      </c>
      <c r="N323" s="32">
        <v>0</v>
      </c>
      <c r="O323" s="32">
        <v>0</v>
      </c>
      <c r="P323" s="32">
        <v>0</v>
      </c>
      <c r="Q323" s="42"/>
      <c r="R323" s="42"/>
      <c r="S323" s="18"/>
      <c r="T323" s="18"/>
      <c r="U323" s="18"/>
    </row>
    <row r="324" spans="1:21" s="12" customFormat="1" hidden="1">
      <c r="A324" s="750"/>
      <c r="B324" s="753"/>
      <c r="C324" s="66" t="s">
        <v>6</v>
      </c>
      <c r="D324" s="31">
        <f t="shared" si="137"/>
        <v>0</v>
      </c>
      <c r="E324" s="32">
        <f t="shared" si="138"/>
        <v>0</v>
      </c>
      <c r="F324" s="32">
        <f t="shared" si="139"/>
        <v>0</v>
      </c>
      <c r="G324" s="32"/>
      <c r="H324" s="32"/>
      <c r="I324" s="32"/>
      <c r="J324" s="32"/>
      <c r="K324" s="32"/>
      <c r="L324" s="32"/>
      <c r="M324" s="32">
        <f t="shared" si="140"/>
        <v>0</v>
      </c>
      <c r="N324" s="32"/>
      <c r="O324" s="32"/>
      <c r="P324" s="32"/>
      <c r="Q324" s="42"/>
      <c r="R324" s="42"/>
      <c r="S324" s="18"/>
      <c r="T324" s="18"/>
      <c r="U324" s="18"/>
    </row>
    <row r="325" spans="1:21" s="12" customFormat="1" hidden="1">
      <c r="A325" s="751"/>
      <c r="B325" s="754"/>
      <c r="C325" s="66" t="s">
        <v>7</v>
      </c>
      <c r="D325" s="31">
        <f>D323+D324</f>
        <v>4593850</v>
      </c>
      <c r="E325" s="32">
        <f t="shared" ref="E325:P325" si="146">E323+E324</f>
        <v>4593850</v>
      </c>
      <c r="F325" s="32">
        <f t="shared" si="146"/>
        <v>0</v>
      </c>
      <c r="G325" s="32">
        <f t="shared" si="146"/>
        <v>0</v>
      </c>
      <c r="H325" s="32">
        <f t="shared" si="146"/>
        <v>0</v>
      </c>
      <c r="I325" s="32">
        <f t="shared" si="146"/>
        <v>0</v>
      </c>
      <c r="J325" s="32">
        <f t="shared" si="146"/>
        <v>0</v>
      </c>
      <c r="K325" s="32">
        <f t="shared" si="146"/>
        <v>4593850</v>
      </c>
      <c r="L325" s="32">
        <f t="shared" si="146"/>
        <v>0</v>
      </c>
      <c r="M325" s="32">
        <f t="shared" si="146"/>
        <v>0</v>
      </c>
      <c r="N325" s="32">
        <f t="shared" si="146"/>
        <v>0</v>
      </c>
      <c r="O325" s="32">
        <f t="shared" si="146"/>
        <v>0</v>
      </c>
      <c r="P325" s="32">
        <f t="shared" si="146"/>
        <v>0</v>
      </c>
      <c r="Q325" s="42"/>
      <c r="R325" s="42"/>
      <c r="S325" s="18"/>
      <c r="T325" s="18"/>
      <c r="U325" s="18"/>
    </row>
    <row r="326" spans="1:21" s="36" customFormat="1" ht="13.5" hidden="1" customHeight="1">
      <c r="A326" s="749">
        <v>85446</v>
      </c>
      <c r="B326" s="752" t="s">
        <v>143</v>
      </c>
      <c r="C326" s="66" t="s">
        <v>5</v>
      </c>
      <c r="D326" s="31">
        <f t="shared" si="137"/>
        <v>100000</v>
      </c>
      <c r="E326" s="32">
        <f t="shared" si="138"/>
        <v>100000</v>
      </c>
      <c r="F326" s="32">
        <f t="shared" si="139"/>
        <v>100000</v>
      </c>
      <c r="G326" s="32">
        <v>0</v>
      </c>
      <c r="H326" s="32">
        <v>100000</v>
      </c>
      <c r="I326" s="32">
        <v>0</v>
      </c>
      <c r="J326" s="32">
        <v>0</v>
      </c>
      <c r="K326" s="32">
        <v>0</v>
      </c>
      <c r="L326" s="32">
        <v>0</v>
      </c>
      <c r="M326" s="32">
        <f t="shared" si="140"/>
        <v>0</v>
      </c>
      <c r="N326" s="32">
        <v>0</v>
      </c>
      <c r="O326" s="32">
        <v>0</v>
      </c>
      <c r="P326" s="32">
        <v>0</v>
      </c>
      <c r="Q326" s="58"/>
      <c r="R326" s="58"/>
      <c r="S326" s="35"/>
      <c r="T326" s="35"/>
      <c r="U326" s="35"/>
    </row>
    <row r="327" spans="1:21" s="36" customFormat="1" ht="13.5" hidden="1" customHeight="1">
      <c r="A327" s="750"/>
      <c r="B327" s="753"/>
      <c r="C327" s="66" t="s">
        <v>6</v>
      </c>
      <c r="D327" s="31">
        <f t="shared" si="137"/>
        <v>0</v>
      </c>
      <c r="E327" s="32">
        <f t="shared" si="138"/>
        <v>0</v>
      </c>
      <c r="F327" s="32">
        <f t="shared" si="139"/>
        <v>0</v>
      </c>
      <c r="G327" s="32"/>
      <c r="H327" s="32"/>
      <c r="I327" s="32"/>
      <c r="J327" s="32"/>
      <c r="K327" s="32"/>
      <c r="L327" s="32"/>
      <c r="M327" s="32">
        <f t="shared" si="140"/>
        <v>0</v>
      </c>
      <c r="N327" s="32"/>
      <c r="O327" s="32"/>
      <c r="P327" s="32"/>
      <c r="Q327" s="58"/>
      <c r="R327" s="58"/>
      <c r="S327" s="35"/>
      <c r="T327" s="35"/>
      <c r="U327" s="35"/>
    </row>
    <row r="328" spans="1:21" s="36" customFormat="1" ht="13.5" hidden="1" customHeight="1">
      <c r="A328" s="751"/>
      <c r="B328" s="754"/>
      <c r="C328" s="66" t="s">
        <v>7</v>
      </c>
      <c r="D328" s="31">
        <f>D326+D327</f>
        <v>100000</v>
      </c>
      <c r="E328" s="32">
        <f t="shared" ref="E328:P328" si="147">E326+E327</f>
        <v>100000</v>
      </c>
      <c r="F328" s="32">
        <f t="shared" si="147"/>
        <v>100000</v>
      </c>
      <c r="G328" s="32">
        <f t="shared" si="147"/>
        <v>0</v>
      </c>
      <c r="H328" s="32">
        <f t="shared" si="147"/>
        <v>100000</v>
      </c>
      <c r="I328" s="32">
        <f t="shared" si="147"/>
        <v>0</v>
      </c>
      <c r="J328" s="32">
        <f t="shared" si="147"/>
        <v>0</v>
      </c>
      <c r="K328" s="32">
        <f t="shared" si="147"/>
        <v>0</v>
      </c>
      <c r="L328" s="32">
        <f t="shared" si="147"/>
        <v>0</v>
      </c>
      <c r="M328" s="32">
        <f t="shared" si="147"/>
        <v>0</v>
      </c>
      <c r="N328" s="32">
        <f t="shared" si="147"/>
        <v>0</v>
      </c>
      <c r="O328" s="32">
        <f t="shared" si="147"/>
        <v>0</v>
      </c>
      <c r="P328" s="32">
        <f t="shared" si="147"/>
        <v>0</v>
      </c>
      <c r="Q328" s="58"/>
      <c r="R328" s="58"/>
      <c r="S328" s="35"/>
      <c r="T328" s="35"/>
      <c r="U328" s="35"/>
    </row>
    <row r="329" spans="1:21" s="36" customFormat="1" ht="13.5" hidden="1" customHeight="1">
      <c r="A329" s="749">
        <v>85495</v>
      </c>
      <c r="B329" s="752" t="s">
        <v>43</v>
      </c>
      <c r="C329" s="66" t="s">
        <v>5</v>
      </c>
      <c r="D329" s="31">
        <f t="shared" si="137"/>
        <v>376427</v>
      </c>
      <c r="E329" s="32">
        <f t="shared" si="138"/>
        <v>376427</v>
      </c>
      <c r="F329" s="32">
        <f t="shared" si="139"/>
        <v>260427</v>
      </c>
      <c r="G329" s="32">
        <v>0</v>
      </c>
      <c r="H329" s="32">
        <v>260427</v>
      </c>
      <c r="I329" s="32">
        <v>80000</v>
      </c>
      <c r="J329" s="32">
        <v>36000</v>
      </c>
      <c r="K329" s="32">
        <v>0</v>
      </c>
      <c r="L329" s="32">
        <v>0</v>
      </c>
      <c r="M329" s="32">
        <f t="shared" si="140"/>
        <v>0</v>
      </c>
      <c r="N329" s="32">
        <v>0</v>
      </c>
      <c r="O329" s="32">
        <v>0</v>
      </c>
      <c r="P329" s="32">
        <v>0</v>
      </c>
      <c r="Q329" s="58"/>
      <c r="R329" s="58"/>
      <c r="S329" s="35"/>
      <c r="T329" s="35"/>
      <c r="U329" s="35"/>
    </row>
    <row r="330" spans="1:21" s="36" customFormat="1" ht="13.5" hidden="1" customHeight="1">
      <c r="A330" s="750"/>
      <c r="B330" s="753"/>
      <c r="C330" s="66" t="s">
        <v>6</v>
      </c>
      <c r="D330" s="31">
        <f t="shared" si="137"/>
        <v>0</v>
      </c>
      <c r="E330" s="32">
        <f t="shared" si="138"/>
        <v>0</v>
      </c>
      <c r="F330" s="32">
        <f t="shared" si="139"/>
        <v>0</v>
      </c>
      <c r="G330" s="32"/>
      <c r="H330" s="32"/>
      <c r="I330" s="32"/>
      <c r="J330" s="32"/>
      <c r="K330" s="32"/>
      <c r="L330" s="32"/>
      <c r="M330" s="32">
        <f t="shared" si="140"/>
        <v>0</v>
      </c>
      <c r="N330" s="32"/>
      <c r="O330" s="32"/>
      <c r="P330" s="32"/>
      <c r="Q330" s="58"/>
      <c r="R330" s="58"/>
      <c r="S330" s="35"/>
      <c r="T330" s="35"/>
      <c r="U330" s="35"/>
    </row>
    <row r="331" spans="1:21" s="36" customFormat="1" ht="13.5" hidden="1" customHeight="1">
      <c r="A331" s="751"/>
      <c r="B331" s="754"/>
      <c r="C331" s="66" t="s">
        <v>7</v>
      </c>
      <c r="D331" s="31">
        <f>D329+D330</f>
        <v>376427</v>
      </c>
      <c r="E331" s="32">
        <f t="shared" ref="E331:P331" si="148">E329+E330</f>
        <v>376427</v>
      </c>
      <c r="F331" s="32">
        <f t="shared" si="148"/>
        <v>260427</v>
      </c>
      <c r="G331" s="32">
        <f t="shared" si="148"/>
        <v>0</v>
      </c>
      <c r="H331" s="32">
        <f t="shared" si="148"/>
        <v>260427</v>
      </c>
      <c r="I331" s="32">
        <f t="shared" si="148"/>
        <v>80000</v>
      </c>
      <c r="J331" s="32">
        <f t="shared" si="148"/>
        <v>36000</v>
      </c>
      <c r="K331" s="32">
        <f t="shared" si="148"/>
        <v>0</v>
      </c>
      <c r="L331" s="32">
        <f t="shared" si="148"/>
        <v>0</v>
      </c>
      <c r="M331" s="32">
        <f t="shared" si="148"/>
        <v>0</v>
      </c>
      <c r="N331" s="32">
        <f t="shared" si="148"/>
        <v>0</v>
      </c>
      <c r="O331" s="32">
        <f t="shared" si="148"/>
        <v>0</v>
      </c>
      <c r="P331" s="32">
        <f t="shared" si="148"/>
        <v>0</v>
      </c>
      <c r="Q331" s="58"/>
      <c r="R331" s="58"/>
      <c r="S331" s="35"/>
      <c r="T331" s="35"/>
      <c r="U331" s="35"/>
    </row>
    <row r="332" spans="1:21" s="14" customFormat="1" ht="14.25" hidden="1">
      <c r="A332" s="755">
        <v>855</v>
      </c>
      <c r="B332" s="758" t="s">
        <v>54</v>
      </c>
      <c r="C332" s="65" t="s">
        <v>5</v>
      </c>
      <c r="D332" s="29">
        <f t="shared" ref="D332:P333" si="149">D335+D338</f>
        <v>11802352</v>
      </c>
      <c r="E332" s="30">
        <f t="shared" si="149"/>
        <v>11802352</v>
      </c>
      <c r="F332" s="30">
        <f t="shared" si="149"/>
        <v>1691000</v>
      </c>
      <c r="G332" s="30">
        <f t="shared" si="149"/>
        <v>1366358</v>
      </c>
      <c r="H332" s="30">
        <f t="shared" si="149"/>
        <v>324642</v>
      </c>
      <c r="I332" s="30">
        <f t="shared" si="149"/>
        <v>1440000</v>
      </c>
      <c r="J332" s="30">
        <f t="shared" si="149"/>
        <v>1000</v>
      </c>
      <c r="K332" s="30">
        <f t="shared" si="149"/>
        <v>8670352</v>
      </c>
      <c r="L332" s="30">
        <f t="shared" si="149"/>
        <v>0</v>
      </c>
      <c r="M332" s="30">
        <f t="shared" si="149"/>
        <v>0</v>
      </c>
      <c r="N332" s="30">
        <f t="shared" si="149"/>
        <v>0</v>
      </c>
      <c r="O332" s="30">
        <f t="shared" si="149"/>
        <v>0</v>
      </c>
      <c r="P332" s="30">
        <f t="shared" si="149"/>
        <v>0</v>
      </c>
      <c r="Q332" s="53"/>
      <c r="R332" s="53"/>
      <c r="S332" s="20"/>
      <c r="T332" s="20"/>
      <c r="U332" s="20"/>
    </row>
    <row r="333" spans="1:21" s="14" customFormat="1" ht="14.25" hidden="1">
      <c r="A333" s="756"/>
      <c r="B333" s="759"/>
      <c r="C333" s="65" t="s">
        <v>6</v>
      </c>
      <c r="D333" s="29">
        <f t="shared" si="149"/>
        <v>0</v>
      </c>
      <c r="E333" s="30">
        <f t="shared" si="149"/>
        <v>0</v>
      </c>
      <c r="F333" s="30">
        <f t="shared" si="149"/>
        <v>0</v>
      </c>
      <c r="G333" s="30">
        <f t="shared" si="149"/>
        <v>0</v>
      </c>
      <c r="H333" s="30">
        <f t="shared" si="149"/>
        <v>0</v>
      </c>
      <c r="I333" s="30">
        <f t="shared" si="149"/>
        <v>0</v>
      </c>
      <c r="J333" s="30">
        <f t="shared" si="149"/>
        <v>0</v>
      </c>
      <c r="K333" s="30">
        <f t="shared" si="149"/>
        <v>0</v>
      </c>
      <c r="L333" s="30">
        <f t="shared" si="149"/>
        <v>0</v>
      </c>
      <c r="M333" s="30">
        <f t="shared" si="149"/>
        <v>0</v>
      </c>
      <c r="N333" s="30">
        <f t="shared" si="149"/>
        <v>0</v>
      </c>
      <c r="O333" s="30">
        <f t="shared" si="149"/>
        <v>0</v>
      </c>
      <c r="P333" s="30">
        <f t="shared" si="149"/>
        <v>0</v>
      </c>
      <c r="Q333" s="53"/>
      <c r="R333" s="53"/>
      <c r="S333" s="20"/>
      <c r="T333" s="20"/>
      <c r="U333" s="20"/>
    </row>
    <row r="334" spans="1:21" s="14" customFormat="1" ht="14.25" hidden="1">
      <c r="A334" s="757"/>
      <c r="B334" s="760"/>
      <c r="C334" s="65" t="s">
        <v>7</v>
      </c>
      <c r="D334" s="29">
        <f>D332+D333</f>
        <v>11802352</v>
      </c>
      <c r="E334" s="30">
        <f t="shared" ref="E334:P334" si="150">E332+E333</f>
        <v>11802352</v>
      </c>
      <c r="F334" s="30">
        <f t="shared" si="150"/>
        <v>1691000</v>
      </c>
      <c r="G334" s="30">
        <f t="shared" si="150"/>
        <v>1366358</v>
      </c>
      <c r="H334" s="30">
        <f t="shared" si="150"/>
        <v>324642</v>
      </c>
      <c r="I334" s="30">
        <f t="shared" si="150"/>
        <v>1440000</v>
      </c>
      <c r="J334" s="30">
        <f t="shared" si="150"/>
        <v>1000</v>
      </c>
      <c r="K334" s="30">
        <f t="shared" si="150"/>
        <v>8670352</v>
      </c>
      <c r="L334" s="30">
        <f t="shared" si="150"/>
        <v>0</v>
      </c>
      <c r="M334" s="30">
        <f t="shared" si="150"/>
        <v>0</v>
      </c>
      <c r="N334" s="30">
        <f t="shared" si="150"/>
        <v>0</v>
      </c>
      <c r="O334" s="30">
        <f t="shared" si="150"/>
        <v>0</v>
      </c>
      <c r="P334" s="30">
        <f t="shared" si="150"/>
        <v>0</v>
      </c>
      <c r="Q334" s="53"/>
      <c r="R334" s="53"/>
      <c r="S334" s="20"/>
      <c r="T334" s="20"/>
      <c r="U334" s="20"/>
    </row>
    <row r="335" spans="1:21" s="36" customFormat="1" ht="13.5" hidden="1" customHeight="1">
      <c r="A335" s="749">
        <v>85509</v>
      </c>
      <c r="B335" s="752" t="s">
        <v>68</v>
      </c>
      <c r="C335" s="66" t="s">
        <v>5</v>
      </c>
      <c r="D335" s="31">
        <f>E335+M335</f>
        <v>1963000</v>
      </c>
      <c r="E335" s="32">
        <f>F335+I335+J335+K335+L335</f>
        <v>1963000</v>
      </c>
      <c r="F335" s="32">
        <f>G335+H335</f>
        <v>1532000</v>
      </c>
      <c r="G335" s="32">
        <v>1364358</v>
      </c>
      <c r="H335" s="32">
        <f>13000+5000+35000+5000+1500+35000+9000+3108+15000+150+40884+3000+2000</f>
        <v>167642</v>
      </c>
      <c r="I335" s="32">
        <v>430000</v>
      </c>
      <c r="J335" s="32">
        <v>1000</v>
      </c>
      <c r="K335" s="32">
        <v>0</v>
      </c>
      <c r="L335" s="32">
        <v>0</v>
      </c>
      <c r="M335" s="32">
        <f>N335+P335</f>
        <v>0</v>
      </c>
      <c r="N335" s="32">
        <v>0</v>
      </c>
      <c r="O335" s="32">
        <v>0</v>
      </c>
      <c r="P335" s="32">
        <v>0</v>
      </c>
      <c r="Q335" s="59"/>
      <c r="R335" s="59"/>
      <c r="S335" s="35"/>
      <c r="T335" s="35"/>
      <c r="U335" s="35"/>
    </row>
    <row r="336" spans="1:21" s="36" customFormat="1" ht="13.5" hidden="1" customHeight="1">
      <c r="A336" s="750"/>
      <c r="B336" s="753"/>
      <c r="C336" s="66" t="s">
        <v>6</v>
      </c>
      <c r="D336" s="31">
        <f>E336+M336</f>
        <v>0</v>
      </c>
      <c r="E336" s="32">
        <f>F336+I336+J336+K336+L336</f>
        <v>0</v>
      </c>
      <c r="F336" s="32">
        <f>G336+H336</f>
        <v>0</v>
      </c>
      <c r="G336" s="32"/>
      <c r="H336" s="32"/>
      <c r="I336" s="32"/>
      <c r="J336" s="32"/>
      <c r="K336" s="32"/>
      <c r="L336" s="32"/>
      <c r="M336" s="32">
        <f>N336+P336</f>
        <v>0</v>
      </c>
      <c r="N336" s="32"/>
      <c r="O336" s="32"/>
      <c r="P336" s="32"/>
      <c r="Q336" s="59"/>
      <c r="R336" s="59"/>
      <c r="S336" s="35"/>
      <c r="T336" s="35"/>
      <c r="U336" s="35"/>
    </row>
    <row r="337" spans="1:21" s="36" customFormat="1" ht="13.5" hidden="1" customHeight="1">
      <c r="A337" s="751"/>
      <c r="B337" s="754"/>
      <c r="C337" s="66" t="s">
        <v>7</v>
      </c>
      <c r="D337" s="31">
        <f>D335+D336</f>
        <v>1963000</v>
      </c>
      <c r="E337" s="32">
        <f t="shared" ref="E337:P337" si="151">E335+E336</f>
        <v>1963000</v>
      </c>
      <c r="F337" s="32">
        <f t="shared" si="151"/>
        <v>1532000</v>
      </c>
      <c r="G337" s="32">
        <f t="shared" si="151"/>
        <v>1364358</v>
      </c>
      <c r="H337" s="32">
        <f t="shared" si="151"/>
        <v>167642</v>
      </c>
      <c r="I337" s="32">
        <f t="shared" si="151"/>
        <v>430000</v>
      </c>
      <c r="J337" s="32">
        <f t="shared" si="151"/>
        <v>1000</v>
      </c>
      <c r="K337" s="32">
        <f t="shared" si="151"/>
        <v>0</v>
      </c>
      <c r="L337" s="32">
        <f t="shared" si="151"/>
        <v>0</v>
      </c>
      <c r="M337" s="32">
        <f t="shared" si="151"/>
        <v>0</v>
      </c>
      <c r="N337" s="32">
        <f t="shared" si="151"/>
        <v>0</v>
      </c>
      <c r="O337" s="32">
        <f t="shared" si="151"/>
        <v>0</v>
      </c>
      <c r="P337" s="32">
        <f t="shared" si="151"/>
        <v>0</v>
      </c>
      <c r="Q337" s="59"/>
      <c r="R337" s="59"/>
      <c r="S337" s="35"/>
      <c r="T337" s="35"/>
      <c r="U337" s="35"/>
    </row>
    <row r="338" spans="1:21" s="36" customFormat="1" ht="13.5" hidden="1" customHeight="1">
      <c r="A338" s="749">
        <v>85595</v>
      </c>
      <c r="B338" s="752" t="s">
        <v>43</v>
      </c>
      <c r="C338" s="66" t="s">
        <v>5</v>
      </c>
      <c r="D338" s="31">
        <f>E338+M338</f>
        <v>9839352</v>
      </c>
      <c r="E338" s="32">
        <f>F338+I338+J338+K338+L338</f>
        <v>9839352</v>
      </c>
      <c r="F338" s="32">
        <f>G338+H338</f>
        <v>159000</v>
      </c>
      <c r="G338" s="32">
        <v>2000</v>
      </c>
      <c r="H338" s="32">
        <f>4000+1900+100+151000</f>
        <v>157000</v>
      </c>
      <c r="I338" s="32">
        <v>1010000</v>
      </c>
      <c r="J338" s="32">
        <v>0</v>
      </c>
      <c r="K338" s="32">
        <f>9839352-1010000-2000-4000-1900-100-151000</f>
        <v>8670352</v>
      </c>
      <c r="L338" s="32">
        <v>0</v>
      </c>
      <c r="M338" s="32">
        <f>N338+P338</f>
        <v>0</v>
      </c>
      <c r="N338" s="32">
        <v>0</v>
      </c>
      <c r="O338" s="32">
        <v>0</v>
      </c>
      <c r="P338" s="32">
        <v>0</v>
      </c>
      <c r="Q338" s="58"/>
      <c r="R338" s="58"/>
      <c r="S338" s="35"/>
      <c r="T338" s="35"/>
      <c r="U338" s="35"/>
    </row>
    <row r="339" spans="1:21" s="36" customFormat="1" ht="13.5" hidden="1" customHeight="1">
      <c r="A339" s="750"/>
      <c r="B339" s="753"/>
      <c r="C339" s="66" t="s">
        <v>6</v>
      </c>
      <c r="D339" s="31">
        <f>E339+M339</f>
        <v>0</v>
      </c>
      <c r="E339" s="32">
        <f>F339+I339+J339+K339+L339</f>
        <v>0</v>
      </c>
      <c r="F339" s="32">
        <f>G339+H339</f>
        <v>0</v>
      </c>
      <c r="G339" s="32"/>
      <c r="H339" s="32"/>
      <c r="I339" s="32"/>
      <c r="J339" s="32"/>
      <c r="K339" s="32"/>
      <c r="L339" s="32"/>
      <c r="M339" s="32">
        <f>N339+P339</f>
        <v>0</v>
      </c>
      <c r="N339" s="32"/>
      <c r="O339" s="32"/>
      <c r="P339" s="32"/>
      <c r="Q339" s="58"/>
      <c r="R339" s="58"/>
      <c r="S339" s="35"/>
      <c r="T339" s="35"/>
      <c r="U339" s="35"/>
    </row>
    <row r="340" spans="1:21" s="36" customFormat="1" ht="13.5" hidden="1" customHeight="1">
      <c r="A340" s="751"/>
      <c r="B340" s="754"/>
      <c r="C340" s="66" t="s">
        <v>7</v>
      </c>
      <c r="D340" s="31">
        <f>D338+D339</f>
        <v>9839352</v>
      </c>
      <c r="E340" s="32">
        <f t="shared" ref="E340:P340" si="152">E338+E339</f>
        <v>9839352</v>
      </c>
      <c r="F340" s="32">
        <f t="shared" si="152"/>
        <v>159000</v>
      </c>
      <c r="G340" s="32">
        <f t="shared" si="152"/>
        <v>2000</v>
      </c>
      <c r="H340" s="32">
        <f t="shared" si="152"/>
        <v>157000</v>
      </c>
      <c r="I340" s="32">
        <f t="shared" si="152"/>
        <v>1010000</v>
      </c>
      <c r="J340" s="32">
        <f t="shared" si="152"/>
        <v>0</v>
      </c>
      <c r="K340" s="32">
        <f t="shared" si="152"/>
        <v>8670352</v>
      </c>
      <c r="L340" s="32">
        <f t="shared" si="152"/>
        <v>0</v>
      </c>
      <c r="M340" s="32">
        <f t="shared" si="152"/>
        <v>0</v>
      </c>
      <c r="N340" s="32">
        <f t="shared" si="152"/>
        <v>0</v>
      </c>
      <c r="O340" s="32">
        <f t="shared" si="152"/>
        <v>0</v>
      </c>
      <c r="P340" s="32">
        <f t="shared" si="152"/>
        <v>0</v>
      </c>
      <c r="Q340" s="58"/>
      <c r="R340" s="58"/>
      <c r="S340" s="35"/>
      <c r="T340" s="35"/>
      <c r="U340" s="35"/>
    </row>
    <row r="341" spans="1:21" s="14" customFormat="1" ht="14.1" customHeight="1">
      <c r="A341" s="755">
        <v>900</v>
      </c>
      <c r="B341" s="758" t="s">
        <v>30</v>
      </c>
      <c r="C341" s="65" t="s">
        <v>5</v>
      </c>
      <c r="D341" s="29">
        <f>D350+D353+D359+D362+D365+D371+D368+D347+D344+D356</f>
        <v>17257213</v>
      </c>
      <c r="E341" s="30">
        <f>E350+E353+E359+E362+E365+E371+E368+E347+E344+E356</f>
        <v>3384186</v>
      </c>
      <c r="F341" s="30">
        <f t="shared" ref="F341:P341" si="153">F350+F353+F359+F362+F365+F371+F368+F347+F344+F356</f>
        <v>2746315</v>
      </c>
      <c r="G341" s="30">
        <f t="shared" si="153"/>
        <v>1821725</v>
      </c>
      <c r="H341" s="30">
        <f t="shared" si="153"/>
        <v>924590</v>
      </c>
      <c r="I341" s="30">
        <f t="shared" si="153"/>
        <v>100000</v>
      </c>
      <c r="J341" s="30">
        <f t="shared" si="153"/>
        <v>0</v>
      </c>
      <c r="K341" s="30">
        <f t="shared" si="153"/>
        <v>537871</v>
      </c>
      <c r="L341" s="30">
        <f t="shared" si="153"/>
        <v>0</v>
      </c>
      <c r="M341" s="30">
        <f t="shared" si="153"/>
        <v>13873027</v>
      </c>
      <c r="N341" s="30">
        <f t="shared" si="153"/>
        <v>12373027</v>
      </c>
      <c r="O341" s="30">
        <f t="shared" si="153"/>
        <v>12373027</v>
      </c>
      <c r="P341" s="30">
        <f t="shared" si="153"/>
        <v>1500000</v>
      </c>
      <c r="Q341" s="53"/>
      <c r="R341" s="53"/>
      <c r="S341" s="20"/>
      <c r="T341" s="20"/>
      <c r="U341" s="20"/>
    </row>
    <row r="342" spans="1:21" s="14" customFormat="1" ht="14.1" customHeight="1">
      <c r="A342" s="756"/>
      <c r="B342" s="759"/>
      <c r="C342" s="65" t="s">
        <v>6</v>
      </c>
      <c r="D342" s="29">
        <f>D351+D354+D360+D363+D366+D372+D369+D348+D345+D357</f>
        <v>620000</v>
      </c>
      <c r="E342" s="30">
        <f t="shared" ref="E342:P342" si="154">E351+E354+E360+E363+E366+E372+E369+E348+E345+E357</f>
        <v>-80000</v>
      </c>
      <c r="F342" s="30">
        <f t="shared" si="154"/>
        <v>-80000</v>
      </c>
      <c r="G342" s="30">
        <f t="shared" si="154"/>
        <v>0</v>
      </c>
      <c r="H342" s="30">
        <f t="shared" si="154"/>
        <v>-80000</v>
      </c>
      <c r="I342" s="30">
        <f t="shared" si="154"/>
        <v>0</v>
      </c>
      <c r="J342" s="30">
        <f t="shared" si="154"/>
        <v>0</v>
      </c>
      <c r="K342" s="30">
        <f t="shared" si="154"/>
        <v>0</v>
      </c>
      <c r="L342" s="30">
        <f t="shared" si="154"/>
        <v>0</v>
      </c>
      <c r="M342" s="30">
        <f t="shared" si="154"/>
        <v>700000</v>
      </c>
      <c r="N342" s="30">
        <f t="shared" si="154"/>
        <v>700000</v>
      </c>
      <c r="O342" s="30">
        <f t="shared" si="154"/>
        <v>0</v>
      </c>
      <c r="P342" s="30">
        <f t="shared" si="154"/>
        <v>0</v>
      </c>
      <c r="Q342" s="53"/>
      <c r="R342" s="53"/>
      <c r="S342" s="20"/>
      <c r="T342" s="20"/>
      <c r="U342" s="20"/>
    </row>
    <row r="343" spans="1:21" s="14" customFormat="1" ht="14.1" customHeight="1">
      <c r="A343" s="757"/>
      <c r="B343" s="760"/>
      <c r="C343" s="111" t="s">
        <v>7</v>
      </c>
      <c r="D343" s="29">
        <f>D341+D342</f>
        <v>17877213</v>
      </c>
      <c r="E343" s="30">
        <f t="shared" ref="E343:P343" si="155">E341+E342</f>
        <v>3304186</v>
      </c>
      <c r="F343" s="30">
        <f t="shared" si="155"/>
        <v>2666315</v>
      </c>
      <c r="G343" s="30">
        <f t="shared" si="155"/>
        <v>1821725</v>
      </c>
      <c r="H343" s="30">
        <f t="shared" si="155"/>
        <v>844590</v>
      </c>
      <c r="I343" s="30">
        <f t="shared" si="155"/>
        <v>100000</v>
      </c>
      <c r="J343" s="30">
        <f t="shared" si="155"/>
        <v>0</v>
      </c>
      <c r="K343" s="30">
        <f t="shared" si="155"/>
        <v>537871</v>
      </c>
      <c r="L343" s="30">
        <f t="shared" si="155"/>
        <v>0</v>
      </c>
      <c r="M343" s="30">
        <f t="shared" si="155"/>
        <v>14573027</v>
      </c>
      <c r="N343" s="30">
        <f t="shared" si="155"/>
        <v>13073027</v>
      </c>
      <c r="O343" s="30">
        <f t="shared" si="155"/>
        <v>12373027</v>
      </c>
      <c r="P343" s="30">
        <f t="shared" si="155"/>
        <v>1500000</v>
      </c>
      <c r="Q343" s="53"/>
      <c r="R343" s="53"/>
      <c r="S343" s="20"/>
      <c r="T343" s="20"/>
      <c r="U343" s="20"/>
    </row>
    <row r="344" spans="1:21" s="36" customFormat="1" ht="13.5" hidden="1" customHeight="1">
      <c r="A344" s="749">
        <v>90001</v>
      </c>
      <c r="B344" s="752" t="s">
        <v>202</v>
      </c>
      <c r="C344" s="66" t="s">
        <v>5</v>
      </c>
      <c r="D344" s="31">
        <f>E344+M344</f>
        <v>60878</v>
      </c>
      <c r="E344" s="32">
        <f>F344+I344+J344+K344+L344</f>
        <v>0</v>
      </c>
      <c r="F344" s="32">
        <f>G344+H344</f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f>N344+P344</f>
        <v>60878</v>
      </c>
      <c r="N344" s="32">
        <v>60878</v>
      </c>
      <c r="O344" s="32">
        <v>60878</v>
      </c>
      <c r="P344" s="32">
        <v>0</v>
      </c>
      <c r="Q344" s="58"/>
      <c r="R344" s="58"/>
      <c r="S344" s="35"/>
      <c r="T344" s="35"/>
      <c r="U344" s="35"/>
    </row>
    <row r="345" spans="1:21" s="36" customFormat="1" ht="13.5" hidden="1" customHeight="1">
      <c r="A345" s="750"/>
      <c r="B345" s="753"/>
      <c r="C345" s="66" t="s">
        <v>6</v>
      </c>
      <c r="D345" s="31">
        <f>E345+M345</f>
        <v>0</v>
      </c>
      <c r="E345" s="32">
        <f>F345+I345+J345+K345+L345</f>
        <v>0</v>
      </c>
      <c r="F345" s="32">
        <f>G345+H345</f>
        <v>0</v>
      </c>
      <c r="G345" s="32"/>
      <c r="H345" s="32"/>
      <c r="I345" s="32"/>
      <c r="J345" s="32"/>
      <c r="K345" s="32"/>
      <c r="L345" s="32"/>
      <c r="M345" s="32">
        <f>N345+P345</f>
        <v>0</v>
      </c>
      <c r="N345" s="32"/>
      <c r="O345" s="32"/>
      <c r="P345" s="32"/>
      <c r="Q345" s="58"/>
      <c r="R345" s="58"/>
      <c r="S345" s="35"/>
      <c r="T345" s="35"/>
      <c r="U345" s="35"/>
    </row>
    <row r="346" spans="1:21" s="36" customFormat="1" ht="13.5" hidden="1" customHeight="1">
      <c r="A346" s="751"/>
      <c r="B346" s="754"/>
      <c r="C346" s="66" t="s">
        <v>7</v>
      </c>
      <c r="D346" s="31">
        <f>D344+D345</f>
        <v>60878</v>
      </c>
      <c r="E346" s="32">
        <f t="shared" ref="E346:P346" si="156">E344+E345</f>
        <v>0</v>
      </c>
      <c r="F346" s="32">
        <f t="shared" si="156"/>
        <v>0</v>
      </c>
      <c r="G346" s="32">
        <f t="shared" si="156"/>
        <v>0</v>
      </c>
      <c r="H346" s="32">
        <f t="shared" si="156"/>
        <v>0</v>
      </c>
      <c r="I346" s="32">
        <f t="shared" si="156"/>
        <v>0</v>
      </c>
      <c r="J346" s="32">
        <f t="shared" si="156"/>
        <v>0</v>
      </c>
      <c r="K346" s="32">
        <f t="shared" si="156"/>
        <v>0</v>
      </c>
      <c r="L346" s="32">
        <f t="shared" si="156"/>
        <v>0</v>
      </c>
      <c r="M346" s="32">
        <f t="shared" si="156"/>
        <v>60878</v>
      </c>
      <c r="N346" s="32">
        <f t="shared" si="156"/>
        <v>60878</v>
      </c>
      <c r="O346" s="32">
        <f t="shared" si="156"/>
        <v>60878</v>
      </c>
      <c r="P346" s="32">
        <f t="shared" si="156"/>
        <v>0</v>
      </c>
      <c r="Q346" s="58"/>
      <c r="R346" s="58"/>
      <c r="S346" s="35"/>
      <c r="T346" s="35"/>
      <c r="U346" s="35"/>
    </row>
    <row r="347" spans="1:21" s="36" customFormat="1" ht="13.5" hidden="1" customHeight="1">
      <c r="A347" s="749">
        <v>90002</v>
      </c>
      <c r="B347" s="752" t="s">
        <v>203</v>
      </c>
      <c r="C347" s="66" t="s">
        <v>5</v>
      </c>
      <c r="D347" s="31">
        <f t="shared" ref="D347:D372" si="157">E347+M347</f>
        <v>2000</v>
      </c>
      <c r="E347" s="32">
        <f t="shared" ref="E347:E372" si="158">F347+I347+J347+K347+L347</f>
        <v>2000</v>
      </c>
      <c r="F347" s="32">
        <f t="shared" ref="F347:F372" si="159">G347+H347</f>
        <v>2000</v>
      </c>
      <c r="G347" s="32">
        <v>2000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f>N347+P347</f>
        <v>0</v>
      </c>
      <c r="N347" s="32">
        <v>0</v>
      </c>
      <c r="O347" s="32">
        <v>0</v>
      </c>
      <c r="P347" s="32">
        <v>0</v>
      </c>
      <c r="Q347" s="58"/>
      <c r="R347" s="58"/>
      <c r="S347" s="35"/>
      <c r="T347" s="35"/>
      <c r="U347" s="35"/>
    </row>
    <row r="348" spans="1:21" s="36" customFormat="1" ht="13.5" hidden="1" customHeight="1">
      <c r="A348" s="750"/>
      <c r="B348" s="753"/>
      <c r="C348" s="66" t="s">
        <v>6</v>
      </c>
      <c r="D348" s="31">
        <f t="shared" si="157"/>
        <v>0</v>
      </c>
      <c r="E348" s="32">
        <f t="shared" si="158"/>
        <v>0</v>
      </c>
      <c r="F348" s="32">
        <f t="shared" si="159"/>
        <v>0</v>
      </c>
      <c r="G348" s="32"/>
      <c r="H348" s="32"/>
      <c r="I348" s="32"/>
      <c r="J348" s="32"/>
      <c r="K348" s="32"/>
      <c r="L348" s="32"/>
      <c r="M348" s="32">
        <f>N348+P348</f>
        <v>0</v>
      </c>
      <c r="N348" s="32"/>
      <c r="O348" s="32"/>
      <c r="P348" s="32"/>
      <c r="Q348" s="58"/>
      <c r="R348" s="58"/>
      <c r="S348" s="35"/>
      <c r="T348" s="35"/>
      <c r="U348" s="35"/>
    </row>
    <row r="349" spans="1:21" s="36" customFormat="1" ht="13.5" hidden="1" customHeight="1">
      <c r="A349" s="751"/>
      <c r="B349" s="754"/>
      <c r="C349" s="66" t="s">
        <v>7</v>
      </c>
      <c r="D349" s="31">
        <f>D347+D348</f>
        <v>2000</v>
      </c>
      <c r="E349" s="32">
        <f t="shared" ref="E349:P349" si="160">E347+E348</f>
        <v>2000</v>
      </c>
      <c r="F349" s="32">
        <f t="shared" si="160"/>
        <v>2000</v>
      </c>
      <c r="G349" s="32">
        <f t="shared" si="160"/>
        <v>2000</v>
      </c>
      <c r="H349" s="32">
        <f t="shared" si="160"/>
        <v>0</v>
      </c>
      <c r="I349" s="32">
        <f t="shared" si="160"/>
        <v>0</v>
      </c>
      <c r="J349" s="32">
        <f t="shared" si="160"/>
        <v>0</v>
      </c>
      <c r="K349" s="32">
        <f t="shared" si="160"/>
        <v>0</v>
      </c>
      <c r="L349" s="32">
        <f t="shared" si="160"/>
        <v>0</v>
      </c>
      <c r="M349" s="32">
        <f t="shared" si="160"/>
        <v>0</v>
      </c>
      <c r="N349" s="32">
        <f t="shared" si="160"/>
        <v>0</v>
      </c>
      <c r="O349" s="32">
        <f t="shared" si="160"/>
        <v>0</v>
      </c>
      <c r="P349" s="32">
        <f t="shared" si="160"/>
        <v>0</v>
      </c>
      <c r="Q349" s="58"/>
      <c r="R349" s="58"/>
      <c r="S349" s="35"/>
      <c r="T349" s="35"/>
      <c r="U349" s="35"/>
    </row>
    <row r="350" spans="1:21" s="36" customFormat="1" ht="13.5" hidden="1" customHeight="1">
      <c r="A350" s="749">
        <v>90005</v>
      </c>
      <c r="B350" s="752" t="s">
        <v>55</v>
      </c>
      <c r="C350" s="66" t="s">
        <v>5</v>
      </c>
      <c r="D350" s="31">
        <f t="shared" si="157"/>
        <v>137000</v>
      </c>
      <c r="E350" s="32">
        <f t="shared" si="158"/>
        <v>137000</v>
      </c>
      <c r="F350" s="32">
        <f t="shared" si="159"/>
        <v>137000</v>
      </c>
      <c r="G350" s="32">
        <v>0</v>
      </c>
      <c r="H350" s="32">
        <v>137000</v>
      </c>
      <c r="I350" s="32">
        <v>0</v>
      </c>
      <c r="J350" s="32">
        <v>0</v>
      </c>
      <c r="K350" s="32">
        <v>0</v>
      </c>
      <c r="L350" s="32">
        <v>0</v>
      </c>
      <c r="M350" s="32">
        <f t="shared" ref="M350:M372" si="161">N350+P350</f>
        <v>0</v>
      </c>
      <c r="N350" s="32">
        <v>0</v>
      </c>
      <c r="O350" s="32">
        <v>0</v>
      </c>
      <c r="P350" s="32">
        <v>0</v>
      </c>
      <c r="Q350" s="58"/>
      <c r="R350" s="58"/>
      <c r="S350" s="35"/>
      <c r="T350" s="35"/>
      <c r="U350" s="35"/>
    </row>
    <row r="351" spans="1:21" s="36" customFormat="1" ht="13.5" hidden="1" customHeight="1">
      <c r="A351" s="750"/>
      <c r="B351" s="753"/>
      <c r="C351" s="66" t="s">
        <v>6</v>
      </c>
      <c r="D351" s="31">
        <f t="shared" si="157"/>
        <v>0</v>
      </c>
      <c r="E351" s="32">
        <f t="shared" si="158"/>
        <v>0</v>
      </c>
      <c r="F351" s="32">
        <f t="shared" si="159"/>
        <v>0</v>
      </c>
      <c r="G351" s="32"/>
      <c r="H351" s="32"/>
      <c r="I351" s="32"/>
      <c r="J351" s="32"/>
      <c r="K351" s="32"/>
      <c r="L351" s="32"/>
      <c r="M351" s="32">
        <f t="shared" si="161"/>
        <v>0</v>
      </c>
      <c r="N351" s="32"/>
      <c r="O351" s="32"/>
      <c r="P351" s="32"/>
      <c r="Q351" s="58"/>
      <c r="R351" s="58"/>
      <c r="S351" s="35"/>
      <c r="T351" s="35"/>
      <c r="U351" s="35"/>
    </row>
    <row r="352" spans="1:21" s="36" customFormat="1" ht="13.5" hidden="1" customHeight="1">
      <c r="A352" s="751"/>
      <c r="B352" s="754"/>
      <c r="C352" s="66" t="s">
        <v>7</v>
      </c>
      <c r="D352" s="31">
        <f>D350+D351</f>
        <v>137000</v>
      </c>
      <c r="E352" s="32">
        <f t="shared" ref="E352:P352" si="162">E350+E351</f>
        <v>137000</v>
      </c>
      <c r="F352" s="32">
        <f t="shared" si="162"/>
        <v>137000</v>
      </c>
      <c r="G352" s="32">
        <f t="shared" si="162"/>
        <v>0</v>
      </c>
      <c r="H352" s="32">
        <f t="shared" si="162"/>
        <v>137000</v>
      </c>
      <c r="I352" s="32">
        <f t="shared" si="162"/>
        <v>0</v>
      </c>
      <c r="J352" s="32">
        <f t="shared" si="162"/>
        <v>0</v>
      </c>
      <c r="K352" s="32">
        <f t="shared" si="162"/>
        <v>0</v>
      </c>
      <c r="L352" s="32">
        <f t="shared" si="162"/>
        <v>0</v>
      </c>
      <c r="M352" s="32">
        <f t="shared" si="162"/>
        <v>0</v>
      </c>
      <c r="N352" s="32">
        <f t="shared" si="162"/>
        <v>0</v>
      </c>
      <c r="O352" s="32">
        <f t="shared" si="162"/>
        <v>0</v>
      </c>
      <c r="P352" s="32">
        <f t="shared" si="162"/>
        <v>0</v>
      </c>
      <c r="Q352" s="58"/>
      <c r="R352" s="58"/>
      <c r="S352" s="35"/>
      <c r="T352" s="35"/>
      <c r="U352" s="35"/>
    </row>
    <row r="353" spans="1:21" s="36" customFormat="1" ht="13.5" hidden="1" customHeight="1">
      <c r="A353" s="749">
        <v>90007</v>
      </c>
      <c r="B353" s="752" t="s">
        <v>56</v>
      </c>
      <c r="C353" s="66" t="s">
        <v>5</v>
      </c>
      <c r="D353" s="31">
        <f t="shared" si="157"/>
        <v>59000</v>
      </c>
      <c r="E353" s="32">
        <f t="shared" si="158"/>
        <v>59000</v>
      </c>
      <c r="F353" s="32">
        <f t="shared" si="159"/>
        <v>59000</v>
      </c>
      <c r="G353" s="32">
        <v>0</v>
      </c>
      <c r="H353" s="32">
        <v>59000</v>
      </c>
      <c r="I353" s="32">
        <v>0</v>
      </c>
      <c r="J353" s="32">
        <v>0</v>
      </c>
      <c r="K353" s="32">
        <v>0</v>
      </c>
      <c r="L353" s="32">
        <v>0</v>
      </c>
      <c r="M353" s="32">
        <f t="shared" si="161"/>
        <v>0</v>
      </c>
      <c r="N353" s="32">
        <v>0</v>
      </c>
      <c r="O353" s="32">
        <v>0</v>
      </c>
      <c r="P353" s="32">
        <v>0</v>
      </c>
      <c r="Q353" s="58"/>
      <c r="R353" s="58"/>
      <c r="S353" s="35"/>
      <c r="T353" s="35"/>
      <c r="U353" s="35"/>
    </row>
    <row r="354" spans="1:21" s="36" customFormat="1" ht="13.5" hidden="1" customHeight="1">
      <c r="A354" s="750"/>
      <c r="B354" s="753"/>
      <c r="C354" s="66" t="s">
        <v>6</v>
      </c>
      <c r="D354" s="31">
        <f t="shared" si="157"/>
        <v>0</v>
      </c>
      <c r="E354" s="32">
        <f t="shared" si="158"/>
        <v>0</v>
      </c>
      <c r="F354" s="32">
        <f t="shared" si="159"/>
        <v>0</v>
      </c>
      <c r="G354" s="32"/>
      <c r="H354" s="32"/>
      <c r="I354" s="32"/>
      <c r="J354" s="32"/>
      <c r="K354" s="32"/>
      <c r="L354" s="32"/>
      <c r="M354" s="32">
        <f t="shared" si="161"/>
        <v>0</v>
      </c>
      <c r="N354" s="32"/>
      <c r="O354" s="32"/>
      <c r="P354" s="32"/>
      <c r="Q354" s="58"/>
      <c r="R354" s="58"/>
      <c r="S354" s="35"/>
      <c r="T354" s="35"/>
      <c r="U354" s="35"/>
    </row>
    <row r="355" spans="1:21" s="36" customFormat="1" ht="13.5" hidden="1" customHeight="1">
      <c r="A355" s="751"/>
      <c r="B355" s="754"/>
      <c r="C355" s="66" t="s">
        <v>7</v>
      </c>
      <c r="D355" s="31">
        <f>D353+D354</f>
        <v>59000</v>
      </c>
      <c r="E355" s="32">
        <f t="shared" ref="E355:P355" si="163">E353+E354</f>
        <v>59000</v>
      </c>
      <c r="F355" s="32">
        <f t="shared" si="163"/>
        <v>59000</v>
      </c>
      <c r="G355" s="32">
        <f t="shared" si="163"/>
        <v>0</v>
      </c>
      <c r="H355" s="32">
        <f t="shared" si="163"/>
        <v>59000</v>
      </c>
      <c r="I355" s="32">
        <f t="shared" si="163"/>
        <v>0</v>
      </c>
      <c r="J355" s="32">
        <f t="shared" si="163"/>
        <v>0</v>
      </c>
      <c r="K355" s="32">
        <f t="shared" si="163"/>
        <v>0</v>
      </c>
      <c r="L355" s="32">
        <f t="shared" si="163"/>
        <v>0</v>
      </c>
      <c r="M355" s="32">
        <f t="shared" si="163"/>
        <v>0</v>
      </c>
      <c r="N355" s="32">
        <f t="shared" si="163"/>
        <v>0</v>
      </c>
      <c r="O355" s="32">
        <f t="shared" si="163"/>
        <v>0</v>
      </c>
      <c r="P355" s="32">
        <f t="shared" si="163"/>
        <v>0</v>
      </c>
      <c r="Q355" s="58"/>
      <c r="R355" s="58"/>
      <c r="S355" s="35"/>
      <c r="T355" s="35"/>
      <c r="U355" s="35"/>
    </row>
    <row r="356" spans="1:21" s="36" customFormat="1" ht="13.5" hidden="1" customHeight="1">
      <c r="A356" s="749">
        <v>90015</v>
      </c>
      <c r="B356" s="752" t="s">
        <v>204</v>
      </c>
      <c r="C356" s="66" t="s">
        <v>5</v>
      </c>
      <c r="D356" s="31">
        <f>E356+M356</f>
        <v>556985</v>
      </c>
      <c r="E356" s="32">
        <f>F356+I356+J356+K356+L356</f>
        <v>11140</v>
      </c>
      <c r="F356" s="32">
        <f>G356+H356</f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11140</v>
      </c>
      <c r="L356" s="32">
        <v>0</v>
      </c>
      <c r="M356" s="32">
        <f t="shared" si="161"/>
        <v>545845</v>
      </c>
      <c r="N356" s="32">
        <v>545845</v>
      </c>
      <c r="O356" s="32">
        <v>545845</v>
      </c>
      <c r="P356" s="32"/>
      <c r="Q356" s="58"/>
      <c r="R356" s="58"/>
      <c r="S356" s="35"/>
      <c r="T356" s="35"/>
      <c r="U356" s="35"/>
    </row>
    <row r="357" spans="1:21" s="36" customFormat="1" ht="13.5" hidden="1" customHeight="1">
      <c r="A357" s="750"/>
      <c r="B357" s="753"/>
      <c r="C357" s="66" t="s">
        <v>6</v>
      </c>
      <c r="D357" s="31">
        <f>E357+M357</f>
        <v>0</v>
      </c>
      <c r="E357" s="32">
        <f>F357+I357+J357+K357+L357</f>
        <v>0</v>
      </c>
      <c r="F357" s="32">
        <f>G357+H357</f>
        <v>0</v>
      </c>
      <c r="G357" s="32"/>
      <c r="H357" s="32"/>
      <c r="I357" s="32"/>
      <c r="J357" s="32"/>
      <c r="K357" s="32"/>
      <c r="L357" s="32"/>
      <c r="M357" s="32">
        <f t="shared" si="161"/>
        <v>0</v>
      </c>
      <c r="N357" s="32"/>
      <c r="O357" s="32"/>
      <c r="P357" s="32"/>
      <c r="Q357" s="58"/>
      <c r="R357" s="58"/>
      <c r="S357" s="35"/>
      <c r="T357" s="35"/>
      <c r="U357" s="35"/>
    </row>
    <row r="358" spans="1:21" s="36" customFormat="1" ht="13.5" hidden="1" customHeight="1">
      <c r="A358" s="751"/>
      <c r="B358" s="754"/>
      <c r="C358" s="66" t="s">
        <v>7</v>
      </c>
      <c r="D358" s="31">
        <f>D356+D357</f>
        <v>556985</v>
      </c>
      <c r="E358" s="32">
        <f t="shared" ref="E358:P358" si="164">E356+E357</f>
        <v>11140</v>
      </c>
      <c r="F358" s="32">
        <f t="shared" si="164"/>
        <v>0</v>
      </c>
      <c r="G358" s="32">
        <f t="shared" si="164"/>
        <v>0</v>
      </c>
      <c r="H358" s="32">
        <f t="shared" si="164"/>
        <v>0</v>
      </c>
      <c r="I358" s="32">
        <f t="shared" si="164"/>
        <v>0</v>
      </c>
      <c r="J358" s="32">
        <f t="shared" si="164"/>
        <v>0</v>
      </c>
      <c r="K358" s="32">
        <f t="shared" si="164"/>
        <v>11140</v>
      </c>
      <c r="L358" s="32">
        <f t="shared" si="164"/>
        <v>0</v>
      </c>
      <c r="M358" s="32">
        <f t="shared" si="164"/>
        <v>545845</v>
      </c>
      <c r="N358" s="32">
        <f t="shared" si="164"/>
        <v>545845</v>
      </c>
      <c r="O358" s="32">
        <f t="shared" si="164"/>
        <v>545845</v>
      </c>
      <c r="P358" s="32">
        <f t="shared" si="164"/>
        <v>0</v>
      </c>
      <c r="Q358" s="58"/>
      <c r="R358" s="58"/>
      <c r="S358" s="35"/>
      <c r="T358" s="35"/>
      <c r="U358" s="35"/>
    </row>
    <row r="359" spans="1:21" s="12" customFormat="1" hidden="1">
      <c r="A359" s="749">
        <v>90019</v>
      </c>
      <c r="B359" s="752" t="s">
        <v>166</v>
      </c>
      <c r="C359" s="66" t="s">
        <v>5</v>
      </c>
      <c r="D359" s="31">
        <f t="shared" si="157"/>
        <v>800000</v>
      </c>
      <c r="E359" s="32">
        <f t="shared" si="158"/>
        <v>800000</v>
      </c>
      <c r="F359" s="32">
        <f t="shared" si="159"/>
        <v>800000</v>
      </c>
      <c r="G359" s="32">
        <v>633600</v>
      </c>
      <c r="H359" s="32">
        <f>10000+150000+400+6000</f>
        <v>166400</v>
      </c>
      <c r="I359" s="32">
        <v>0</v>
      </c>
      <c r="J359" s="32">
        <v>0</v>
      </c>
      <c r="K359" s="32">
        <v>0</v>
      </c>
      <c r="L359" s="32">
        <v>0</v>
      </c>
      <c r="M359" s="32">
        <f t="shared" si="161"/>
        <v>0</v>
      </c>
      <c r="N359" s="32">
        <v>0</v>
      </c>
      <c r="O359" s="32">
        <v>0</v>
      </c>
      <c r="P359" s="32">
        <v>0</v>
      </c>
      <c r="Q359" s="42"/>
      <c r="R359" s="42"/>
      <c r="S359" s="18"/>
      <c r="T359" s="18"/>
      <c r="U359" s="18"/>
    </row>
    <row r="360" spans="1:21" s="12" customFormat="1" hidden="1">
      <c r="A360" s="750"/>
      <c r="B360" s="753"/>
      <c r="C360" s="66" t="s">
        <v>6</v>
      </c>
      <c r="D360" s="31">
        <f t="shared" si="157"/>
        <v>0</v>
      </c>
      <c r="E360" s="32">
        <f t="shared" si="158"/>
        <v>0</v>
      </c>
      <c r="F360" s="32">
        <f t="shared" si="159"/>
        <v>0</v>
      </c>
      <c r="G360" s="32"/>
      <c r="H360" s="32"/>
      <c r="I360" s="32"/>
      <c r="J360" s="32"/>
      <c r="K360" s="32"/>
      <c r="L360" s="32"/>
      <c r="M360" s="32">
        <f t="shared" si="161"/>
        <v>0</v>
      </c>
      <c r="N360" s="32"/>
      <c r="O360" s="32"/>
      <c r="P360" s="32"/>
      <c r="Q360" s="42"/>
      <c r="R360" s="42"/>
      <c r="S360" s="18"/>
      <c r="T360" s="18"/>
      <c r="U360" s="18"/>
    </row>
    <row r="361" spans="1:21" s="12" customFormat="1" hidden="1">
      <c r="A361" s="751"/>
      <c r="B361" s="754"/>
      <c r="C361" s="66" t="s">
        <v>7</v>
      </c>
      <c r="D361" s="31">
        <f>D359+D360</f>
        <v>800000</v>
      </c>
      <c r="E361" s="32">
        <f t="shared" ref="E361:P361" si="165">E359+E360</f>
        <v>800000</v>
      </c>
      <c r="F361" s="32">
        <f t="shared" si="165"/>
        <v>800000</v>
      </c>
      <c r="G361" s="32">
        <f t="shared" si="165"/>
        <v>633600</v>
      </c>
      <c r="H361" s="32">
        <f t="shared" si="165"/>
        <v>166400</v>
      </c>
      <c r="I361" s="32">
        <f t="shared" si="165"/>
        <v>0</v>
      </c>
      <c r="J361" s="32">
        <f t="shared" si="165"/>
        <v>0</v>
      </c>
      <c r="K361" s="32">
        <f t="shared" si="165"/>
        <v>0</v>
      </c>
      <c r="L361" s="32">
        <f t="shared" si="165"/>
        <v>0</v>
      </c>
      <c r="M361" s="32">
        <f t="shared" si="165"/>
        <v>0</v>
      </c>
      <c r="N361" s="32">
        <f t="shared" si="165"/>
        <v>0</v>
      </c>
      <c r="O361" s="32">
        <f t="shared" si="165"/>
        <v>0</v>
      </c>
      <c r="P361" s="32">
        <f t="shared" si="165"/>
        <v>0</v>
      </c>
      <c r="Q361" s="42"/>
      <c r="R361" s="42"/>
      <c r="S361" s="18"/>
      <c r="T361" s="18"/>
      <c r="U361" s="18"/>
    </row>
    <row r="362" spans="1:21" s="12" customFormat="1" hidden="1">
      <c r="A362" s="749">
        <v>90020</v>
      </c>
      <c r="B362" s="752" t="s">
        <v>167</v>
      </c>
      <c r="C362" s="66" t="s">
        <v>5</v>
      </c>
      <c r="D362" s="31">
        <f t="shared" si="157"/>
        <v>22480</v>
      </c>
      <c r="E362" s="32">
        <f t="shared" si="158"/>
        <v>22480</v>
      </c>
      <c r="F362" s="32">
        <f t="shared" si="159"/>
        <v>22480</v>
      </c>
      <c r="G362" s="32">
        <v>19100</v>
      </c>
      <c r="H362" s="32">
        <v>3380</v>
      </c>
      <c r="I362" s="32">
        <v>0</v>
      </c>
      <c r="J362" s="32">
        <v>0</v>
      </c>
      <c r="K362" s="32">
        <v>0</v>
      </c>
      <c r="L362" s="32">
        <v>0</v>
      </c>
      <c r="M362" s="32">
        <f t="shared" si="161"/>
        <v>0</v>
      </c>
      <c r="N362" s="32">
        <v>0</v>
      </c>
      <c r="O362" s="32">
        <v>0</v>
      </c>
      <c r="P362" s="32">
        <v>0</v>
      </c>
      <c r="Q362" s="42"/>
      <c r="R362" s="42"/>
      <c r="S362" s="18"/>
      <c r="T362" s="18"/>
      <c r="U362" s="18"/>
    </row>
    <row r="363" spans="1:21" s="12" customFormat="1" hidden="1">
      <c r="A363" s="750"/>
      <c r="B363" s="753"/>
      <c r="C363" s="66" t="s">
        <v>6</v>
      </c>
      <c r="D363" s="31">
        <f t="shared" si="157"/>
        <v>0</v>
      </c>
      <c r="E363" s="32">
        <f t="shared" si="158"/>
        <v>0</v>
      </c>
      <c r="F363" s="32">
        <f t="shared" si="159"/>
        <v>0</v>
      </c>
      <c r="G363" s="32"/>
      <c r="H363" s="32"/>
      <c r="I363" s="32"/>
      <c r="J363" s="32"/>
      <c r="K363" s="32"/>
      <c r="L363" s="32"/>
      <c r="M363" s="32">
        <f t="shared" si="161"/>
        <v>0</v>
      </c>
      <c r="N363" s="32"/>
      <c r="O363" s="32"/>
      <c r="P363" s="32"/>
      <c r="Q363" s="42"/>
      <c r="R363" s="42"/>
      <c r="S363" s="18"/>
      <c r="T363" s="18"/>
      <c r="U363" s="18"/>
    </row>
    <row r="364" spans="1:21" s="12" customFormat="1" hidden="1">
      <c r="A364" s="751"/>
      <c r="B364" s="754"/>
      <c r="C364" s="66" t="s">
        <v>7</v>
      </c>
      <c r="D364" s="31">
        <f>D362+D363</f>
        <v>22480</v>
      </c>
      <c r="E364" s="32">
        <f t="shared" ref="E364:P364" si="166">E362+E363</f>
        <v>22480</v>
      </c>
      <c r="F364" s="32">
        <f t="shared" si="166"/>
        <v>22480</v>
      </c>
      <c r="G364" s="32">
        <f t="shared" si="166"/>
        <v>19100</v>
      </c>
      <c r="H364" s="32">
        <f t="shared" si="166"/>
        <v>3380</v>
      </c>
      <c r="I364" s="32">
        <f t="shared" si="166"/>
        <v>0</v>
      </c>
      <c r="J364" s="32">
        <f t="shared" si="166"/>
        <v>0</v>
      </c>
      <c r="K364" s="32">
        <f t="shared" si="166"/>
        <v>0</v>
      </c>
      <c r="L364" s="32">
        <f t="shared" si="166"/>
        <v>0</v>
      </c>
      <c r="M364" s="32">
        <f t="shared" si="166"/>
        <v>0</v>
      </c>
      <c r="N364" s="32">
        <f t="shared" si="166"/>
        <v>0</v>
      </c>
      <c r="O364" s="32">
        <f t="shared" si="166"/>
        <v>0</v>
      </c>
      <c r="P364" s="32">
        <f t="shared" si="166"/>
        <v>0</v>
      </c>
      <c r="Q364" s="42"/>
      <c r="R364" s="42"/>
      <c r="S364" s="18"/>
      <c r="T364" s="18"/>
      <c r="U364" s="18"/>
    </row>
    <row r="365" spans="1:21" s="12" customFormat="1" hidden="1">
      <c r="A365" s="749">
        <v>90024</v>
      </c>
      <c r="B365" s="752" t="s">
        <v>168</v>
      </c>
      <c r="C365" s="66" t="s">
        <v>5</v>
      </c>
      <c r="D365" s="31">
        <f t="shared" si="157"/>
        <v>3510</v>
      </c>
      <c r="E365" s="32">
        <f t="shared" si="158"/>
        <v>3510</v>
      </c>
      <c r="F365" s="32">
        <f t="shared" si="159"/>
        <v>3510</v>
      </c>
      <c r="G365" s="32">
        <v>2000</v>
      </c>
      <c r="H365" s="32">
        <v>1510</v>
      </c>
      <c r="I365" s="32">
        <v>0</v>
      </c>
      <c r="J365" s="32">
        <v>0</v>
      </c>
      <c r="K365" s="32">
        <v>0</v>
      </c>
      <c r="L365" s="32">
        <v>0</v>
      </c>
      <c r="M365" s="32">
        <f t="shared" si="161"/>
        <v>0</v>
      </c>
      <c r="N365" s="32">
        <v>0</v>
      </c>
      <c r="O365" s="32">
        <v>0</v>
      </c>
      <c r="P365" s="32">
        <v>0</v>
      </c>
      <c r="Q365" s="42"/>
      <c r="R365" s="42"/>
      <c r="S365" s="18"/>
      <c r="T365" s="18"/>
      <c r="U365" s="18"/>
    </row>
    <row r="366" spans="1:21" s="12" customFormat="1" hidden="1">
      <c r="A366" s="750"/>
      <c r="B366" s="753"/>
      <c r="C366" s="66" t="s">
        <v>6</v>
      </c>
      <c r="D366" s="31">
        <f t="shared" si="157"/>
        <v>0</v>
      </c>
      <c r="E366" s="32">
        <f t="shared" si="158"/>
        <v>0</v>
      </c>
      <c r="F366" s="32">
        <f t="shared" si="159"/>
        <v>0</v>
      </c>
      <c r="G366" s="32"/>
      <c r="H366" s="32"/>
      <c r="I366" s="32"/>
      <c r="J366" s="32"/>
      <c r="K366" s="32"/>
      <c r="L366" s="32"/>
      <c r="M366" s="32">
        <f t="shared" si="161"/>
        <v>0</v>
      </c>
      <c r="N366" s="32"/>
      <c r="O366" s="32"/>
      <c r="P366" s="32"/>
      <c r="Q366" s="42"/>
      <c r="R366" s="42"/>
      <c r="S366" s="18"/>
      <c r="T366" s="18"/>
      <c r="U366" s="18"/>
    </row>
    <row r="367" spans="1:21" s="12" customFormat="1" hidden="1">
      <c r="A367" s="751"/>
      <c r="B367" s="754"/>
      <c r="C367" s="66" t="s">
        <v>7</v>
      </c>
      <c r="D367" s="31">
        <f>D365+D366</f>
        <v>3510</v>
      </c>
      <c r="E367" s="32">
        <f t="shared" ref="E367:P367" si="167">E365+E366</f>
        <v>3510</v>
      </c>
      <c r="F367" s="32">
        <f t="shared" si="167"/>
        <v>3510</v>
      </c>
      <c r="G367" s="32">
        <f t="shared" si="167"/>
        <v>2000</v>
      </c>
      <c r="H367" s="32">
        <f t="shared" si="167"/>
        <v>1510</v>
      </c>
      <c r="I367" s="32">
        <f t="shared" si="167"/>
        <v>0</v>
      </c>
      <c r="J367" s="32">
        <f t="shared" si="167"/>
        <v>0</v>
      </c>
      <c r="K367" s="32">
        <f t="shared" si="167"/>
        <v>0</v>
      </c>
      <c r="L367" s="32">
        <f t="shared" si="167"/>
        <v>0</v>
      </c>
      <c r="M367" s="32">
        <f t="shared" si="167"/>
        <v>0</v>
      </c>
      <c r="N367" s="32">
        <f t="shared" si="167"/>
        <v>0</v>
      </c>
      <c r="O367" s="32">
        <f t="shared" si="167"/>
        <v>0</v>
      </c>
      <c r="P367" s="32">
        <f t="shared" si="167"/>
        <v>0</v>
      </c>
      <c r="Q367" s="42"/>
      <c r="R367" s="42"/>
      <c r="S367" s="18"/>
      <c r="T367" s="18"/>
      <c r="U367" s="18"/>
    </row>
    <row r="368" spans="1:21" s="12" customFormat="1" hidden="1">
      <c r="A368" s="749">
        <v>90026</v>
      </c>
      <c r="B368" s="752" t="s">
        <v>186</v>
      </c>
      <c r="C368" s="66" t="s">
        <v>5</v>
      </c>
      <c r="D368" s="31">
        <f t="shared" si="157"/>
        <v>3212667</v>
      </c>
      <c r="E368" s="32">
        <f t="shared" si="158"/>
        <v>650320</v>
      </c>
      <c r="F368" s="32">
        <f t="shared" si="159"/>
        <v>150150</v>
      </c>
      <c r="G368" s="32">
        <v>118050</v>
      </c>
      <c r="H368" s="32">
        <f>30100+2000</f>
        <v>32100</v>
      </c>
      <c r="I368" s="32">
        <v>0</v>
      </c>
      <c r="J368" s="32">
        <v>0</v>
      </c>
      <c r="K368" s="32">
        <f>270000+15000+42560+5675+166935</f>
        <v>500170</v>
      </c>
      <c r="L368" s="32">
        <v>0</v>
      </c>
      <c r="M368" s="32">
        <f t="shared" si="161"/>
        <v>2562347</v>
      </c>
      <c r="N368" s="32">
        <v>2562347</v>
      </c>
      <c r="O368" s="32">
        <v>2562347</v>
      </c>
      <c r="P368" s="32">
        <v>0</v>
      </c>
      <c r="Q368" s="42"/>
      <c r="R368" s="42"/>
      <c r="S368" s="18"/>
      <c r="T368" s="18"/>
      <c r="U368" s="18"/>
    </row>
    <row r="369" spans="1:21" s="12" customFormat="1" hidden="1">
      <c r="A369" s="750"/>
      <c r="B369" s="753"/>
      <c r="C369" s="66" t="s">
        <v>6</v>
      </c>
      <c r="D369" s="31">
        <f t="shared" si="157"/>
        <v>0</v>
      </c>
      <c r="E369" s="32">
        <f t="shared" si="158"/>
        <v>0</v>
      </c>
      <c r="F369" s="32">
        <f t="shared" si="159"/>
        <v>0</v>
      </c>
      <c r="G369" s="32"/>
      <c r="H369" s="32"/>
      <c r="I369" s="32"/>
      <c r="J369" s="32"/>
      <c r="K369" s="32"/>
      <c r="L369" s="32"/>
      <c r="M369" s="32">
        <f t="shared" si="161"/>
        <v>0</v>
      </c>
      <c r="N369" s="32"/>
      <c r="O369" s="32"/>
      <c r="P369" s="32"/>
      <c r="Q369" s="42"/>
      <c r="R369" s="42"/>
      <c r="S369" s="18"/>
      <c r="T369" s="18"/>
      <c r="U369" s="18"/>
    </row>
    <row r="370" spans="1:21" s="12" customFormat="1" hidden="1">
      <c r="A370" s="751"/>
      <c r="B370" s="754"/>
      <c r="C370" s="66" t="s">
        <v>7</v>
      </c>
      <c r="D370" s="31">
        <f>D368+D369</f>
        <v>3212667</v>
      </c>
      <c r="E370" s="32">
        <f t="shared" ref="E370:P370" si="168">E368+E369</f>
        <v>650320</v>
      </c>
      <c r="F370" s="32">
        <f t="shared" si="168"/>
        <v>150150</v>
      </c>
      <c r="G370" s="32">
        <f t="shared" si="168"/>
        <v>118050</v>
      </c>
      <c r="H370" s="32">
        <f t="shared" si="168"/>
        <v>32100</v>
      </c>
      <c r="I370" s="32">
        <f t="shared" si="168"/>
        <v>0</v>
      </c>
      <c r="J370" s="32">
        <f t="shared" si="168"/>
        <v>0</v>
      </c>
      <c r="K370" s="32">
        <f t="shared" si="168"/>
        <v>500170</v>
      </c>
      <c r="L370" s="32">
        <f t="shared" si="168"/>
        <v>0</v>
      </c>
      <c r="M370" s="32">
        <f t="shared" si="168"/>
        <v>2562347</v>
      </c>
      <c r="N370" s="32">
        <f t="shared" si="168"/>
        <v>2562347</v>
      </c>
      <c r="O370" s="32">
        <f t="shared" si="168"/>
        <v>2562347</v>
      </c>
      <c r="P370" s="32">
        <f t="shared" si="168"/>
        <v>0</v>
      </c>
      <c r="Q370" s="42"/>
      <c r="R370" s="42"/>
      <c r="S370" s="18"/>
      <c r="T370" s="18"/>
      <c r="U370" s="18"/>
    </row>
    <row r="371" spans="1:21" s="36" customFormat="1" ht="13.35" customHeight="1">
      <c r="A371" s="749">
        <v>90095</v>
      </c>
      <c r="B371" s="752" t="s">
        <v>43</v>
      </c>
      <c r="C371" s="66" t="s">
        <v>5</v>
      </c>
      <c r="D371" s="31">
        <f t="shared" si="157"/>
        <v>12402693</v>
      </c>
      <c r="E371" s="32">
        <f t="shared" si="158"/>
        <v>1698736</v>
      </c>
      <c r="F371" s="32">
        <f t="shared" si="159"/>
        <v>1572175</v>
      </c>
      <c r="G371" s="32">
        <v>1046975</v>
      </c>
      <c r="H371" s="32">
        <v>525200</v>
      </c>
      <c r="I371" s="32">
        <v>100000</v>
      </c>
      <c r="J371" s="32">
        <v>0</v>
      </c>
      <c r="K371" s="32">
        <v>26561</v>
      </c>
      <c r="L371" s="32">
        <v>0</v>
      </c>
      <c r="M371" s="32">
        <f t="shared" si="161"/>
        <v>10703957</v>
      </c>
      <c r="N371" s="32">
        <v>9203957</v>
      </c>
      <c r="O371" s="32">
        <v>9203957</v>
      </c>
      <c r="P371" s="32">
        <v>1500000</v>
      </c>
      <c r="Q371" s="58"/>
      <c r="R371" s="58"/>
      <c r="S371" s="35"/>
      <c r="T371" s="35"/>
      <c r="U371" s="35"/>
    </row>
    <row r="372" spans="1:21" s="36" customFormat="1" ht="13.35" customHeight="1">
      <c r="A372" s="750"/>
      <c r="B372" s="753"/>
      <c r="C372" s="66" t="s">
        <v>6</v>
      </c>
      <c r="D372" s="31">
        <f t="shared" si="157"/>
        <v>620000</v>
      </c>
      <c r="E372" s="32">
        <f t="shared" si="158"/>
        <v>-80000</v>
      </c>
      <c r="F372" s="32">
        <f t="shared" si="159"/>
        <v>-80000</v>
      </c>
      <c r="G372" s="32"/>
      <c r="H372" s="32">
        <v>-80000</v>
      </c>
      <c r="I372" s="32"/>
      <c r="J372" s="32"/>
      <c r="K372" s="32"/>
      <c r="L372" s="32"/>
      <c r="M372" s="32">
        <f t="shared" si="161"/>
        <v>700000</v>
      </c>
      <c r="N372" s="32">
        <v>700000</v>
      </c>
      <c r="O372" s="32"/>
      <c r="P372" s="32"/>
      <c r="Q372" s="58"/>
      <c r="R372" s="58"/>
      <c r="S372" s="35"/>
      <c r="T372" s="35"/>
      <c r="U372" s="35"/>
    </row>
    <row r="373" spans="1:21" s="36" customFormat="1" ht="13.35" customHeight="1">
      <c r="A373" s="751"/>
      <c r="B373" s="754"/>
      <c r="C373" s="64" t="s">
        <v>7</v>
      </c>
      <c r="D373" s="31">
        <f>D371+D372</f>
        <v>13022693</v>
      </c>
      <c r="E373" s="32">
        <f t="shared" ref="E373:P373" si="169">E371+E372</f>
        <v>1618736</v>
      </c>
      <c r="F373" s="32">
        <f t="shared" si="169"/>
        <v>1492175</v>
      </c>
      <c r="G373" s="32">
        <f t="shared" si="169"/>
        <v>1046975</v>
      </c>
      <c r="H373" s="32">
        <f t="shared" si="169"/>
        <v>445200</v>
      </c>
      <c r="I373" s="32">
        <f t="shared" si="169"/>
        <v>100000</v>
      </c>
      <c r="J373" s="32">
        <f t="shared" si="169"/>
        <v>0</v>
      </c>
      <c r="K373" s="32">
        <f t="shared" si="169"/>
        <v>26561</v>
      </c>
      <c r="L373" s="32">
        <f t="shared" si="169"/>
        <v>0</v>
      </c>
      <c r="M373" s="32">
        <f t="shared" si="169"/>
        <v>11403957</v>
      </c>
      <c r="N373" s="32">
        <f t="shared" si="169"/>
        <v>9903957</v>
      </c>
      <c r="O373" s="32">
        <f t="shared" si="169"/>
        <v>9203957</v>
      </c>
      <c r="P373" s="32">
        <f t="shared" si="169"/>
        <v>1500000</v>
      </c>
      <c r="Q373" s="58"/>
      <c r="R373" s="58"/>
      <c r="S373" s="35"/>
      <c r="T373" s="35"/>
      <c r="U373" s="35"/>
    </row>
    <row r="374" spans="1:21" s="14" customFormat="1" ht="14.1" customHeight="1">
      <c r="A374" s="755">
        <v>921</v>
      </c>
      <c r="B374" s="758" t="s">
        <v>31</v>
      </c>
      <c r="C374" s="65" t="s">
        <v>5</v>
      </c>
      <c r="D374" s="40">
        <f t="shared" ref="D374:P375" si="170">D380+D383+D386+D389+D392+D395+D398+D404+D401+D377</f>
        <v>131685589</v>
      </c>
      <c r="E374" s="30">
        <f t="shared" si="170"/>
        <v>101207552</v>
      </c>
      <c r="F374" s="30">
        <f t="shared" si="170"/>
        <v>5030584</v>
      </c>
      <c r="G374" s="30">
        <f t="shared" si="170"/>
        <v>130000</v>
      </c>
      <c r="H374" s="30">
        <f t="shared" si="170"/>
        <v>4900584</v>
      </c>
      <c r="I374" s="30">
        <f t="shared" si="170"/>
        <v>93515148</v>
      </c>
      <c r="J374" s="30">
        <f t="shared" si="170"/>
        <v>406000</v>
      </c>
      <c r="K374" s="30">
        <f t="shared" si="170"/>
        <v>2255820</v>
      </c>
      <c r="L374" s="30">
        <f t="shared" si="170"/>
        <v>0</v>
      </c>
      <c r="M374" s="30">
        <f t="shared" si="170"/>
        <v>30478037</v>
      </c>
      <c r="N374" s="30">
        <f t="shared" si="170"/>
        <v>30478037</v>
      </c>
      <c r="O374" s="30">
        <f t="shared" si="170"/>
        <v>10235192</v>
      </c>
      <c r="P374" s="30">
        <f t="shared" si="170"/>
        <v>0</v>
      </c>
      <c r="Q374" s="53"/>
      <c r="R374" s="53"/>
      <c r="S374" s="20"/>
      <c r="T374" s="20"/>
      <c r="U374" s="20"/>
    </row>
    <row r="375" spans="1:21" s="14" customFormat="1" ht="14.1" customHeight="1">
      <c r="A375" s="756"/>
      <c r="B375" s="759"/>
      <c r="C375" s="65" t="s">
        <v>6</v>
      </c>
      <c r="D375" s="40">
        <f t="shared" si="170"/>
        <v>3515481</v>
      </c>
      <c r="E375" s="30">
        <f t="shared" si="170"/>
        <v>-504978</v>
      </c>
      <c r="F375" s="30">
        <f t="shared" si="170"/>
        <v>0</v>
      </c>
      <c r="G375" s="30">
        <f t="shared" si="170"/>
        <v>0</v>
      </c>
      <c r="H375" s="30">
        <f t="shared" si="170"/>
        <v>0</v>
      </c>
      <c r="I375" s="30">
        <f t="shared" si="170"/>
        <v>-504978</v>
      </c>
      <c r="J375" s="30">
        <f t="shared" si="170"/>
        <v>0</v>
      </c>
      <c r="K375" s="30">
        <f t="shared" si="170"/>
        <v>0</v>
      </c>
      <c r="L375" s="30">
        <f t="shared" si="170"/>
        <v>0</v>
      </c>
      <c r="M375" s="30">
        <f t="shared" si="170"/>
        <v>4020459</v>
      </c>
      <c r="N375" s="30">
        <f t="shared" si="170"/>
        <v>4020459</v>
      </c>
      <c r="O375" s="30">
        <f t="shared" si="170"/>
        <v>0</v>
      </c>
      <c r="P375" s="30">
        <f t="shared" si="170"/>
        <v>0</v>
      </c>
      <c r="Q375" s="53"/>
      <c r="R375" s="53"/>
      <c r="S375" s="20"/>
      <c r="T375" s="20"/>
      <c r="U375" s="20"/>
    </row>
    <row r="376" spans="1:21" s="14" customFormat="1" ht="14.1" customHeight="1">
      <c r="A376" s="757"/>
      <c r="B376" s="760"/>
      <c r="C376" s="65" t="s">
        <v>7</v>
      </c>
      <c r="D376" s="40">
        <f>D374+D375</f>
        <v>135201070</v>
      </c>
      <c r="E376" s="30">
        <f t="shared" ref="E376:P376" si="171">E374+E375</f>
        <v>100702574</v>
      </c>
      <c r="F376" s="30">
        <f t="shared" si="171"/>
        <v>5030584</v>
      </c>
      <c r="G376" s="30">
        <f t="shared" si="171"/>
        <v>130000</v>
      </c>
      <c r="H376" s="30">
        <f t="shared" si="171"/>
        <v>4900584</v>
      </c>
      <c r="I376" s="30">
        <f t="shared" si="171"/>
        <v>93010170</v>
      </c>
      <c r="J376" s="30">
        <f t="shared" si="171"/>
        <v>406000</v>
      </c>
      <c r="K376" s="30">
        <f t="shared" si="171"/>
        <v>2255820</v>
      </c>
      <c r="L376" s="30">
        <f t="shared" si="171"/>
        <v>0</v>
      </c>
      <c r="M376" s="30">
        <f t="shared" si="171"/>
        <v>34498496</v>
      </c>
      <c r="N376" s="30">
        <f t="shared" si="171"/>
        <v>34498496</v>
      </c>
      <c r="O376" s="30">
        <f t="shared" si="171"/>
        <v>10235192</v>
      </c>
      <c r="P376" s="30">
        <f t="shared" si="171"/>
        <v>0</v>
      </c>
      <c r="Q376" s="53"/>
      <c r="R376" s="53"/>
      <c r="S376" s="20"/>
      <c r="T376" s="20"/>
      <c r="U376" s="20"/>
    </row>
    <row r="377" spans="1:21" s="36" customFormat="1" ht="13.35" customHeight="1">
      <c r="A377" s="749">
        <v>92105</v>
      </c>
      <c r="B377" s="752" t="s">
        <v>182</v>
      </c>
      <c r="C377" s="66" t="s">
        <v>5</v>
      </c>
      <c r="D377" s="31">
        <f t="shared" ref="D377:D405" si="172">E377+M377</f>
        <v>490000</v>
      </c>
      <c r="E377" s="32">
        <f t="shared" ref="E377:E405" si="173">F377+I377+J377+K377+L377</f>
        <v>470000</v>
      </c>
      <c r="F377" s="32">
        <f t="shared" ref="F377:F405" si="174">G377+H377</f>
        <v>0</v>
      </c>
      <c r="G377" s="32">
        <v>0</v>
      </c>
      <c r="H377" s="32">
        <v>0</v>
      </c>
      <c r="I377" s="32">
        <v>470000</v>
      </c>
      <c r="J377" s="32">
        <v>0</v>
      </c>
      <c r="K377" s="32">
        <v>0</v>
      </c>
      <c r="L377" s="32">
        <v>0</v>
      </c>
      <c r="M377" s="32">
        <f t="shared" ref="M377:M405" si="175">N377+P377</f>
        <v>20000</v>
      </c>
      <c r="N377" s="32">
        <v>20000</v>
      </c>
      <c r="O377" s="32">
        <v>0</v>
      </c>
      <c r="P377" s="32">
        <v>0</v>
      </c>
      <c r="Q377" s="58"/>
      <c r="R377" s="58"/>
      <c r="S377" s="35"/>
      <c r="T377" s="35"/>
      <c r="U377" s="35"/>
    </row>
    <row r="378" spans="1:21" s="36" customFormat="1" ht="13.35" customHeight="1">
      <c r="A378" s="750"/>
      <c r="B378" s="753"/>
      <c r="C378" s="66" t="s">
        <v>6</v>
      </c>
      <c r="D378" s="31">
        <f t="shared" si="172"/>
        <v>-240000</v>
      </c>
      <c r="E378" s="32">
        <f t="shared" si="173"/>
        <v>-240000</v>
      </c>
      <c r="F378" s="32">
        <f t="shared" si="174"/>
        <v>0</v>
      </c>
      <c r="G378" s="32"/>
      <c r="H378" s="32"/>
      <c r="I378" s="32">
        <v>-240000</v>
      </c>
      <c r="J378" s="32"/>
      <c r="K378" s="32"/>
      <c r="L378" s="32"/>
      <c r="M378" s="32">
        <f t="shared" si="175"/>
        <v>0</v>
      </c>
      <c r="N378" s="32"/>
      <c r="O378" s="32"/>
      <c r="P378" s="32"/>
      <c r="Q378" s="58"/>
      <c r="R378" s="58"/>
      <c r="S378" s="35"/>
      <c r="T378" s="35"/>
      <c r="U378" s="35"/>
    </row>
    <row r="379" spans="1:21" s="36" customFormat="1" ht="13.35" customHeight="1">
      <c r="A379" s="751"/>
      <c r="B379" s="754"/>
      <c r="C379" s="66" t="s">
        <v>7</v>
      </c>
      <c r="D379" s="31">
        <f>D377+D378</f>
        <v>250000</v>
      </c>
      <c r="E379" s="32">
        <f t="shared" ref="E379:P379" si="176">E377+E378</f>
        <v>230000</v>
      </c>
      <c r="F379" s="32">
        <f t="shared" si="176"/>
        <v>0</v>
      </c>
      <c r="G379" s="32">
        <f t="shared" si="176"/>
        <v>0</v>
      </c>
      <c r="H379" s="32">
        <f t="shared" si="176"/>
        <v>0</v>
      </c>
      <c r="I379" s="32">
        <f t="shared" si="176"/>
        <v>230000</v>
      </c>
      <c r="J379" s="32">
        <f t="shared" si="176"/>
        <v>0</v>
      </c>
      <c r="K379" s="32">
        <f t="shared" si="176"/>
        <v>0</v>
      </c>
      <c r="L379" s="32">
        <f t="shared" si="176"/>
        <v>0</v>
      </c>
      <c r="M379" s="32">
        <f t="shared" si="176"/>
        <v>20000</v>
      </c>
      <c r="N379" s="32">
        <f t="shared" si="176"/>
        <v>20000</v>
      </c>
      <c r="O379" s="32">
        <f t="shared" si="176"/>
        <v>0</v>
      </c>
      <c r="P379" s="32">
        <f t="shared" si="176"/>
        <v>0</v>
      </c>
      <c r="Q379" s="58"/>
      <c r="R379" s="58"/>
      <c r="S379" s="35"/>
      <c r="T379" s="35"/>
      <c r="U379" s="35"/>
    </row>
    <row r="380" spans="1:21" s="36" customFormat="1" ht="13.35" customHeight="1">
      <c r="A380" s="749">
        <v>92106</v>
      </c>
      <c r="B380" s="752" t="s">
        <v>169</v>
      </c>
      <c r="C380" s="66" t="s">
        <v>5</v>
      </c>
      <c r="D380" s="31">
        <f t="shared" si="172"/>
        <v>37203719</v>
      </c>
      <c r="E380" s="32">
        <f t="shared" si="173"/>
        <v>29859708</v>
      </c>
      <c r="F380" s="32">
        <f t="shared" si="174"/>
        <v>0</v>
      </c>
      <c r="G380" s="32">
        <v>0</v>
      </c>
      <c r="H380" s="32">
        <v>0</v>
      </c>
      <c r="I380" s="32">
        <v>29859708</v>
      </c>
      <c r="J380" s="32">
        <v>0</v>
      </c>
      <c r="K380" s="32">
        <v>0</v>
      </c>
      <c r="L380" s="32">
        <v>0</v>
      </c>
      <c r="M380" s="32">
        <f t="shared" si="175"/>
        <v>7344011</v>
      </c>
      <c r="N380" s="32">
        <v>7344011</v>
      </c>
      <c r="O380" s="32">
        <v>0</v>
      </c>
      <c r="P380" s="32">
        <v>0</v>
      </c>
      <c r="Q380" s="58"/>
      <c r="R380" s="58"/>
      <c r="S380" s="35"/>
      <c r="T380" s="35"/>
      <c r="U380" s="35"/>
    </row>
    <row r="381" spans="1:21" s="36" customFormat="1" ht="13.35" customHeight="1">
      <c r="A381" s="750"/>
      <c r="B381" s="753"/>
      <c r="C381" s="66" t="s">
        <v>6</v>
      </c>
      <c r="D381" s="31">
        <f t="shared" si="172"/>
        <v>3914988</v>
      </c>
      <c r="E381" s="32">
        <f t="shared" si="173"/>
        <v>205310</v>
      </c>
      <c r="F381" s="32">
        <f t="shared" si="174"/>
        <v>0</v>
      </c>
      <c r="G381" s="32"/>
      <c r="H381" s="32"/>
      <c r="I381" s="32">
        <v>205310</v>
      </c>
      <c r="J381" s="32"/>
      <c r="K381" s="32"/>
      <c r="L381" s="32"/>
      <c r="M381" s="32">
        <f t="shared" si="175"/>
        <v>3709678</v>
      </c>
      <c r="N381" s="32">
        <v>3709678</v>
      </c>
      <c r="O381" s="32"/>
      <c r="P381" s="32"/>
      <c r="Q381" s="58"/>
      <c r="R381" s="58"/>
      <c r="S381" s="35"/>
      <c r="T381" s="35"/>
      <c r="U381" s="35"/>
    </row>
    <row r="382" spans="1:21" s="36" customFormat="1" ht="13.35" customHeight="1">
      <c r="A382" s="751"/>
      <c r="B382" s="754"/>
      <c r="C382" s="64" t="s">
        <v>7</v>
      </c>
      <c r="D382" s="31">
        <f>D380+D381</f>
        <v>41118707</v>
      </c>
      <c r="E382" s="32">
        <f t="shared" ref="E382:P382" si="177">E380+E381</f>
        <v>30065018</v>
      </c>
      <c r="F382" s="32">
        <f t="shared" si="177"/>
        <v>0</v>
      </c>
      <c r="G382" s="32">
        <f t="shared" si="177"/>
        <v>0</v>
      </c>
      <c r="H382" s="32">
        <f t="shared" si="177"/>
        <v>0</v>
      </c>
      <c r="I382" s="32">
        <f t="shared" si="177"/>
        <v>30065018</v>
      </c>
      <c r="J382" s="32">
        <f t="shared" si="177"/>
        <v>0</v>
      </c>
      <c r="K382" s="32">
        <f t="shared" si="177"/>
        <v>0</v>
      </c>
      <c r="L382" s="32">
        <f t="shared" si="177"/>
        <v>0</v>
      </c>
      <c r="M382" s="32">
        <f t="shared" si="177"/>
        <v>11053689</v>
      </c>
      <c r="N382" s="32">
        <f t="shared" si="177"/>
        <v>11053689</v>
      </c>
      <c r="O382" s="32">
        <f t="shared" si="177"/>
        <v>0</v>
      </c>
      <c r="P382" s="32">
        <f t="shared" si="177"/>
        <v>0</v>
      </c>
      <c r="Q382" s="58"/>
      <c r="R382" s="58"/>
      <c r="S382" s="35"/>
      <c r="T382" s="35"/>
      <c r="U382" s="35"/>
    </row>
    <row r="383" spans="1:21" s="36" customFormat="1" ht="13.5" hidden="1" customHeight="1">
      <c r="A383" s="749">
        <v>92108</v>
      </c>
      <c r="B383" s="752" t="s">
        <v>170</v>
      </c>
      <c r="C383" s="66" t="s">
        <v>5</v>
      </c>
      <c r="D383" s="31">
        <f t="shared" si="172"/>
        <v>11936975</v>
      </c>
      <c r="E383" s="32">
        <f t="shared" si="173"/>
        <v>10016500</v>
      </c>
      <c r="F383" s="32">
        <f t="shared" si="174"/>
        <v>0</v>
      </c>
      <c r="G383" s="32">
        <v>0</v>
      </c>
      <c r="H383" s="32">
        <v>0</v>
      </c>
      <c r="I383" s="32">
        <v>10016500</v>
      </c>
      <c r="J383" s="32">
        <v>0</v>
      </c>
      <c r="K383" s="32">
        <v>0</v>
      </c>
      <c r="L383" s="32">
        <v>0</v>
      </c>
      <c r="M383" s="32">
        <f t="shared" si="175"/>
        <v>1920475</v>
      </c>
      <c r="N383" s="32">
        <v>1920475</v>
      </c>
      <c r="O383" s="32">
        <v>0</v>
      </c>
      <c r="P383" s="32">
        <v>0</v>
      </c>
      <c r="Q383" s="58"/>
      <c r="R383" s="58"/>
      <c r="S383" s="35"/>
      <c r="T383" s="35"/>
      <c r="U383" s="35"/>
    </row>
    <row r="384" spans="1:21" s="36" customFormat="1" ht="13.5" hidden="1" customHeight="1">
      <c r="A384" s="750"/>
      <c r="B384" s="753"/>
      <c r="C384" s="66" t="s">
        <v>6</v>
      </c>
      <c r="D384" s="31">
        <f t="shared" si="172"/>
        <v>0</v>
      </c>
      <c r="E384" s="32">
        <f t="shared" si="173"/>
        <v>0</v>
      </c>
      <c r="F384" s="32">
        <f t="shared" si="174"/>
        <v>0</v>
      </c>
      <c r="G384" s="32"/>
      <c r="H384" s="32"/>
      <c r="I384" s="32"/>
      <c r="J384" s="32"/>
      <c r="K384" s="32"/>
      <c r="L384" s="32"/>
      <c r="M384" s="32">
        <f t="shared" si="175"/>
        <v>0</v>
      </c>
      <c r="N384" s="32"/>
      <c r="O384" s="32"/>
      <c r="P384" s="32"/>
      <c r="Q384" s="58"/>
      <c r="R384" s="58"/>
      <c r="S384" s="35"/>
      <c r="T384" s="35"/>
      <c r="U384" s="35"/>
    </row>
    <row r="385" spans="1:21" s="36" customFormat="1" ht="13.5" hidden="1" customHeight="1">
      <c r="A385" s="751"/>
      <c r="B385" s="754"/>
      <c r="C385" s="66" t="s">
        <v>7</v>
      </c>
      <c r="D385" s="31">
        <f>D383+D384</f>
        <v>11936975</v>
      </c>
      <c r="E385" s="32">
        <f t="shared" ref="E385:P385" si="178">E383+E384</f>
        <v>10016500</v>
      </c>
      <c r="F385" s="32">
        <f t="shared" si="178"/>
        <v>0</v>
      </c>
      <c r="G385" s="32">
        <f t="shared" si="178"/>
        <v>0</v>
      </c>
      <c r="H385" s="32">
        <f t="shared" si="178"/>
        <v>0</v>
      </c>
      <c r="I385" s="32">
        <f t="shared" si="178"/>
        <v>10016500</v>
      </c>
      <c r="J385" s="32">
        <f t="shared" si="178"/>
        <v>0</v>
      </c>
      <c r="K385" s="32">
        <f t="shared" si="178"/>
        <v>0</v>
      </c>
      <c r="L385" s="32">
        <f t="shared" si="178"/>
        <v>0</v>
      </c>
      <c r="M385" s="32">
        <f t="shared" si="178"/>
        <v>1920475</v>
      </c>
      <c r="N385" s="32">
        <f t="shared" si="178"/>
        <v>1920475</v>
      </c>
      <c r="O385" s="32">
        <f t="shared" si="178"/>
        <v>0</v>
      </c>
      <c r="P385" s="32">
        <f t="shared" si="178"/>
        <v>0</v>
      </c>
      <c r="Q385" s="58"/>
      <c r="R385" s="58"/>
      <c r="S385" s="35"/>
      <c r="T385" s="35"/>
      <c r="U385" s="35"/>
    </row>
    <row r="386" spans="1:21" s="36" customFormat="1" ht="13.5" customHeight="1">
      <c r="A386" s="749">
        <v>92109</v>
      </c>
      <c r="B386" s="752" t="s">
        <v>171</v>
      </c>
      <c r="C386" s="66" t="s">
        <v>5</v>
      </c>
      <c r="D386" s="31">
        <f t="shared" si="172"/>
        <v>8142894</v>
      </c>
      <c r="E386" s="32">
        <f t="shared" si="173"/>
        <v>7761552</v>
      </c>
      <c r="F386" s="32">
        <f t="shared" si="174"/>
        <v>0</v>
      </c>
      <c r="G386" s="32">
        <v>0</v>
      </c>
      <c r="H386" s="32">
        <v>0</v>
      </c>
      <c r="I386" s="32">
        <v>7761552</v>
      </c>
      <c r="J386" s="32">
        <v>0</v>
      </c>
      <c r="K386" s="32">
        <v>0</v>
      </c>
      <c r="L386" s="32">
        <v>0</v>
      </c>
      <c r="M386" s="32">
        <f t="shared" si="175"/>
        <v>381342</v>
      </c>
      <c r="N386" s="32">
        <v>381342</v>
      </c>
      <c r="O386" s="32">
        <v>0</v>
      </c>
      <c r="P386" s="32">
        <v>0</v>
      </c>
      <c r="Q386" s="58"/>
      <c r="R386" s="58"/>
      <c r="S386" s="35"/>
      <c r="T386" s="35"/>
      <c r="U386" s="35"/>
    </row>
    <row r="387" spans="1:21" s="36" customFormat="1" ht="13.5" customHeight="1">
      <c r="A387" s="750"/>
      <c r="B387" s="753"/>
      <c r="C387" s="66" t="s">
        <v>6</v>
      </c>
      <c r="D387" s="31">
        <f t="shared" si="172"/>
        <v>-113275</v>
      </c>
      <c r="E387" s="32">
        <f t="shared" si="173"/>
        <v>16000</v>
      </c>
      <c r="F387" s="32">
        <f t="shared" si="174"/>
        <v>0</v>
      </c>
      <c r="G387" s="32"/>
      <c r="H387" s="32"/>
      <c r="I387" s="32">
        <v>16000</v>
      </c>
      <c r="J387" s="32"/>
      <c r="K387" s="32"/>
      <c r="L387" s="32"/>
      <c r="M387" s="32">
        <f t="shared" si="175"/>
        <v>-129275</v>
      </c>
      <c r="N387" s="32">
        <v>-129275</v>
      </c>
      <c r="O387" s="32"/>
      <c r="P387" s="32"/>
      <c r="Q387" s="58"/>
      <c r="R387" s="58"/>
      <c r="S387" s="35"/>
      <c r="T387" s="35"/>
      <c r="U387" s="35"/>
    </row>
    <row r="388" spans="1:21" s="36" customFormat="1" ht="13.5" customHeight="1">
      <c r="A388" s="751"/>
      <c r="B388" s="754"/>
      <c r="C388" s="64" t="s">
        <v>7</v>
      </c>
      <c r="D388" s="31">
        <f>D386+D387</f>
        <v>8029619</v>
      </c>
      <c r="E388" s="32">
        <f t="shared" ref="E388:P388" si="179">E386+E387</f>
        <v>7777552</v>
      </c>
      <c r="F388" s="32">
        <f t="shared" si="179"/>
        <v>0</v>
      </c>
      <c r="G388" s="32">
        <f t="shared" si="179"/>
        <v>0</v>
      </c>
      <c r="H388" s="32">
        <f t="shared" si="179"/>
        <v>0</v>
      </c>
      <c r="I388" s="32">
        <f t="shared" si="179"/>
        <v>7777552</v>
      </c>
      <c r="J388" s="32">
        <f t="shared" si="179"/>
        <v>0</v>
      </c>
      <c r="K388" s="32">
        <f t="shared" si="179"/>
        <v>0</v>
      </c>
      <c r="L388" s="32">
        <f t="shared" si="179"/>
        <v>0</v>
      </c>
      <c r="M388" s="32">
        <f t="shared" si="179"/>
        <v>252067</v>
      </c>
      <c r="N388" s="32">
        <f t="shared" si="179"/>
        <v>252067</v>
      </c>
      <c r="O388" s="32">
        <f t="shared" si="179"/>
        <v>0</v>
      </c>
      <c r="P388" s="32">
        <f t="shared" si="179"/>
        <v>0</v>
      </c>
      <c r="Q388" s="58"/>
      <c r="R388" s="58"/>
      <c r="S388" s="35"/>
      <c r="T388" s="35"/>
      <c r="U388" s="35"/>
    </row>
    <row r="389" spans="1:21" s="36" customFormat="1" ht="13.5" hidden="1" customHeight="1">
      <c r="A389" s="749">
        <v>92110</v>
      </c>
      <c r="B389" s="752" t="s">
        <v>172</v>
      </c>
      <c r="C389" s="66" t="s">
        <v>5</v>
      </c>
      <c r="D389" s="31">
        <f t="shared" si="172"/>
        <v>2562846</v>
      </c>
      <c r="E389" s="32">
        <f t="shared" si="173"/>
        <v>2503846</v>
      </c>
      <c r="F389" s="32">
        <f t="shared" si="174"/>
        <v>0</v>
      </c>
      <c r="G389" s="32">
        <v>0</v>
      </c>
      <c r="H389" s="32">
        <v>0</v>
      </c>
      <c r="I389" s="32">
        <v>2503846</v>
      </c>
      <c r="J389" s="32">
        <v>0</v>
      </c>
      <c r="K389" s="32">
        <v>0</v>
      </c>
      <c r="L389" s="32">
        <v>0</v>
      </c>
      <c r="M389" s="32">
        <f t="shared" si="175"/>
        <v>59000</v>
      </c>
      <c r="N389" s="32">
        <v>59000</v>
      </c>
      <c r="O389" s="32">
        <v>0</v>
      </c>
      <c r="P389" s="32">
        <v>0</v>
      </c>
      <c r="Q389" s="58"/>
      <c r="R389" s="58"/>
      <c r="S389" s="35"/>
      <c r="T389" s="35"/>
      <c r="U389" s="35"/>
    </row>
    <row r="390" spans="1:21" s="36" customFormat="1" ht="13.5" hidden="1" customHeight="1">
      <c r="A390" s="750"/>
      <c r="B390" s="753"/>
      <c r="C390" s="66" t="s">
        <v>6</v>
      </c>
      <c r="D390" s="31">
        <f t="shared" si="172"/>
        <v>0</v>
      </c>
      <c r="E390" s="32">
        <f t="shared" si="173"/>
        <v>0</v>
      </c>
      <c r="F390" s="32">
        <f t="shared" si="174"/>
        <v>0</v>
      </c>
      <c r="G390" s="32"/>
      <c r="H390" s="32"/>
      <c r="I390" s="32"/>
      <c r="J390" s="32"/>
      <c r="K390" s="32"/>
      <c r="L390" s="32"/>
      <c r="M390" s="32">
        <f t="shared" si="175"/>
        <v>0</v>
      </c>
      <c r="N390" s="32"/>
      <c r="O390" s="32"/>
      <c r="P390" s="32"/>
      <c r="Q390" s="58"/>
      <c r="R390" s="58"/>
      <c r="S390" s="35"/>
      <c r="T390" s="35"/>
      <c r="U390" s="35"/>
    </row>
    <row r="391" spans="1:21" s="36" customFormat="1" ht="13.5" hidden="1" customHeight="1">
      <c r="A391" s="751"/>
      <c r="B391" s="754"/>
      <c r="C391" s="66" t="s">
        <v>7</v>
      </c>
      <c r="D391" s="31">
        <f>D389+D390</f>
        <v>2562846</v>
      </c>
      <c r="E391" s="32">
        <f t="shared" ref="E391:P391" si="180">E389+E390</f>
        <v>2503846</v>
      </c>
      <c r="F391" s="32">
        <f t="shared" si="180"/>
        <v>0</v>
      </c>
      <c r="G391" s="32">
        <f t="shared" si="180"/>
        <v>0</v>
      </c>
      <c r="H391" s="32">
        <f t="shared" si="180"/>
        <v>0</v>
      </c>
      <c r="I391" s="32">
        <f t="shared" si="180"/>
        <v>2503846</v>
      </c>
      <c r="J391" s="32">
        <f t="shared" si="180"/>
        <v>0</v>
      </c>
      <c r="K391" s="32">
        <f t="shared" si="180"/>
        <v>0</v>
      </c>
      <c r="L391" s="32">
        <f t="shared" si="180"/>
        <v>0</v>
      </c>
      <c r="M391" s="32">
        <f t="shared" si="180"/>
        <v>59000</v>
      </c>
      <c r="N391" s="32">
        <f t="shared" si="180"/>
        <v>59000</v>
      </c>
      <c r="O391" s="32">
        <f t="shared" si="180"/>
        <v>0</v>
      </c>
      <c r="P391" s="32">
        <f t="shared" si="180"/>
        <v>0</v>
      </c>
      <c r="Q391" s="58"/>
      <c r="R391" s="58"/>
      <c r="S391" s="35"/>
      <c r="T391" s="35"/>
      <c r="U391" s="35"/>
    </row>
    <row r="392" spans="1:21" s="36" customFormat="1" ht="13.5" hidden="1" customHeight="1">
      <c r="A392" s="749">
        <v>92113</v>
      </c>
      <c r="B392" s="752" t="s">
        <v>173</v>
      </c>
      <c r="C392" s="66" t="s">
        <v>5</v>
      </c>
      <c r="D392" s="31">
        <f t="shared" si="172"/>
        <v>1299500</v>
      </c>
      <c r="E392" s="32">
        <f t="shared" si="173"/>
        <v>1299500</v>
      </c>
      <c r="F392" s="32">
        <f t="shared" si="174"/>
        <v>0</v>
      </c>
      <c r="G392" s="32">
        <v>0</v>
      </c>
      <c r="H392" s="32">
        <v>0</v>
      </c>
      <c r="I392" s="32">
        <v>1299500</v>
      </c>
      <c r="J392" s="32">
        <v>0</v>
      </c>
      <c r="K392" s="32">
        <v>0</v>
      </c>
      <c r="L392" s="32">
        <v>0</v>
      </c>
      <c r="M392" s="32">
        <f t="shared" si="175"/>
        <v>0</v>
      </c>
      <c r="N392" s="32">
        <v>0</v>
      </c>
      <c r="O392" s="32">
        <v>0</v>
      </c>
      <c r="P392" s="32">
        <v>0</v>
      </c>
      <c r="Q392" s="58"/>
      <c r="R392" s="58"/>
      <c r="S392" s="35"/>
      <c r="T392" s="35"/>
      <c r="U392" s="35"/>
    </row>
    <row r="393" spans="1:21" s="36" customFormat="1" ht="13.5" hidden="1" customHeight="1">
      <c r="A393" s="750"/>
      <c r="B393" s="753"/>
      <c r="C393" s="66" t="s">
        <v>6</v>
      </c>
      <c r="D393" s="31">
        <f t="shared" si="172"/>
        <v>0</v>
      </c>
      <c r="E393" s="32">
        <f t="shared" si="173"/>
        <v>0</v>
      </c>
      <c r="F393" s="32">
        <f t="shared" si="174"/>
        <v>0</v>
      </c>
      <c r="G393" s="32"/>
      <c r="H393" s="32"/>
      <c r="I393" s="32"/>
      <c r="J393" s="32"/>
      <c r="K393" s="32"/>
      <c r="L393" s="32"/>
      <c r="M393" s="32">
        <f t="shared" si="175"/>
        <v>0</v>
      </c>
      <c r="N393" s="32"/>
      <c r="O393" s="32"/>
      <c r="P393" s="32"/>
      <c r="Q393" s="58"/>
      <c r="R393" s="58"/>
      <c r="S393" s="35"/>
      <c r="T393" s="35"/>
      <c r="U393" s="35"/>
    </row>
    <row r="394" spans="1:21" s="36" customFormat="1" ht="13.5" hidden="1" customHeight="1">
      <c r="A394" s="751"/>
      <c r="B394" s="754"/>
      <c r="C394" s="66" t="s">
        <v>7</v>
      </c>
      <c r="D394" s="31">
        <f>D392+D393</f>
        <v>1299500</v>
      </c>
      <c r="E394" s="32">
        <f t="shared" ref="E394:P394" si="181">E392+E393</f>
        <v>1299500</v>
      </c>
      <c r="F394" s="32">
        <f t="shared" si="181"/>
        <v>0</v>
      </c>
      <c r="G394" s="32">
        <f t="shared" si="181"/>
        <v>0</v>
      </c>
      <c r="H394" s="32">
        <f t="shared" si="181"/>
        <v>0</v>
      </c>
      <c r="I394" s="32">
        <f t="shared" si="181"/>
        <v>1299500</v>
      </c>
      <c r="J394" s="32">
        <f t="shared" si="181"/>
        <v>0</v>
      </c>
      <c r="K394" s="32">
        <f t="shared" si="181"/>
        <v>0</v>
      </c>
      <c r="L394" s="32">
        <f t="shared" si="181"/>
        <v>0</v>
      </c>
      <c r="M394" s="32">
        <f t="shared" si="181"/>
        <v>0</v>
      </c>
      <c r="N394" s="32">
        <f t="shared" si="181"/>
        <v>0</v>
      </c>
      <c r="O394" s="32">
        <f t="shared" si="181"/>
        <v>0</v>
      </c>
      <c r="P394" s="32">
        <f t="shared" si="181"/>
        <v>0</v>
      </c>
      <c r="Q394" s="58"/>
      <c r="R394" s="58"/>
      <c r="S394" s="35"/>
      <c r="T394" s="35"/>
      <c r="U394" s="35"/>
    </row>
    <row r="395" spans="1:21" s="36" customFormat="1" ht="13.5" customHeight="1">
      <c r="A395" s="749">
        <v>92116</v>
      </c>
      <c r="B395" s="752" t="s">
        <v>174</v>
      </c>
      <c r="C395" s="66" t="s">
        <v>5</v>
      </c>
      <c r="D395" s="31">
        <f t="shared" si="172"/>
        <v>22259720</v>
      </c>
      <c r="E395" s="32">
        <f t="shared" si="173"/>
        <v>22053820</v>
      </c>
      <c r="F395" s="32">
        <f t="shared" si="174"/>
        <v>0</v>
      </c>
      <c r="G395" s="32">
        <v>0</v>
      </c>
      <c r="H395" s="32">
        <v>0</v>
      </c>
      <c r="I395" s="32">
        <v>22053820</v>
      </c>
      <c r="J395" s="32">
        <v>0</v>
      </c>
      <c r="K395" s="32">
        <v>0</v>
      </c>
      <c r="L395" s="32">
        <v>0</v>
      </c>
      <c r="M395" s="32">
        <f t="shared" si="175"/>
        <v>205900</v>
      </c>
      <c r="N395" s="32">
        <v>205900</v>
      </c>
      <c r="O395" s="32">
        <v>0</v>
      </c>
      <c r="P395" s="32">
        <v>0</v>
      </c>
      <c r="Q395" s="58"/>
      <c r="R395" s="58"/>
      <c r="S395" s="35"/>
      <c r="T395" s="35"/>
      <c r="U395" s="35"/>
    </row>
    <row r="396" spans="1:21" s="36" customFormat="1" ht="13.5" customHeight="1">
      <c r="A396" s="750"/>
      <c r="B396" s="753"/>
      <c r="C396" s="66" t="s">
        <v>6</v>
      </c>
      <c r="D396" s="31">
        <f t="shared" si="172"/>
        <v>511404</v>
      </c>
      <c r="E396" s="32">
        <f t="shared" si="173"/>
        <v>332495</v>
      </c>
      <c r="F396" s="32">
        <f t="shared" si="174"/>
        <v>0</v>
      </c>
      <c r="G396" s="32"/>
      <c r="H396" s="32"/>
      <c r="I396" s="32">
        <v>332495</v>
      </c>
      <c r="J396" s="32"/>
      <c r="K396" s="32"/>
      <c r="L396" s="32"/>
      <c r="M396" s="32">
        <f t="shared" si="175"/>
        <v>178909</v>
      </c>
      <c r="N396" s="32">
        <v>178909</v>
      </c>
      <c r="O396" s="32"/>
      <c r="P396" s="32"/>
      <c r="Q396" s="58"/>
      <c r="R396" s="58"/>
      <c r="S396" s="35"/>
      <c r="T396" s="35"/>
      <c r="U396" s="35"/>
    </row>
    <row r="397" spans="1:21" s="36" customFormat="1" ht="13.5" customHeight="1">
      <c r="A397" s="751"/>
      <c r="B397" s="754"/>
      <c r="C397" s="66" t="s">
        <v>7</v>
      </c>
      <c r="D397" s="31">
        <f>D395+D396</f>
        <v>22771124</v>
      </c>
      <c r="E397" s="32">
        <f t="shared" ref="E397:P397" si="182">E395+E396</f>
        <v>22386315</v>
      </c>
      <c r="F397" s="32">
        <f t="shared" si="182"/>
        <v>0</v>
      </c>
      <c r="G397" s="32">
        <f t="shared" si="182"/>
        <v>0</v>
      </c>
      <c r="H397" s="32">
        <f t="shared" si="182"/>
        <v>0</v>
      </c>
      <c r="I397" s="32">
        <f t="shared" si="182"/>
        <v>22386315</v>
      </c>
      <c r="J397" s="32">
        <f t="shared" si="182"/>
        <v>0</v>
      </c>
      <c r="K397" s="32">
        <f t="shared" si="182"/>
        <v>0</v>
      </c>
      <c r="L397" s="32">
        <f t="shared" si="182"/>
        <v>0</v>
      </c>
      <c r="M397" s="32">
        <f t="shared" si="182"/>
        <v>384809</v>
      </c>
      <c r="N397" s="32">
        <f t="shared" si="182"/>
        <v>384809</v>
      </c>
      <c r="O397" s="32">
        <f t="shared" si="182"/>
        <v>0</v>
      </c>
      <c r="P397" s="32">
        <f t="shared" si="182"/>
        <v>0</v>
      </c>
      <c r="Q397" s="58"/>
      <c r="R397" s="58"/>
      <c r="S397" s="35"/>
      <c r="T397" s="35"/>
      <c r="U397" s="35"/>
    </row>
    <row r="398" spans="1:21" s="36" customFormat="1" ht="13.5" customHeight="1">
      <c r="A398" s="749">
        <v>92118</v>
      </c>
      <c r="B398" s="752" t="s">
        <v>175</v>
      </c>
      <c r="C398" s="66" t="s">
        <v>5</v>
      </c>
      <c r="D398" s="31">
        <f t="shared" si="172"/>
        <v>16182150</v>
      </c>
      <c r="E398" s="32">
        <f t="shared" si="173"/>
        <v>15235222</v>
      </c>
      <c r="F398" s="32">
        <f t="shared" si="174"/>
        <v>0</v>
      </c>
      <c r="G398" s="32">
        <v>0</v>
      </c>
      <c r="H398" s="32">
        <v>0</v>
      </c>
      <c r="I398" s="32">
        <v>15235222</v>
      </c>
      <c r="J398" s="32">
        <v>0</v>
      </c>
      <c r="K398" s="32">
        <v>0</v>
      </c>
      <c r="L398" s="32">
        <v>0</v>
      </c>
      <c r="M398" s="32">
        <f t="shared" si="175"/>
        <v>946928</v>
      </c>
      <c r="N398" s="32">
        <v>946928</v>
      </c>
      <c r="O398" s="32">
        <v>0</v>
      </c>
      <c r="P398" s="32">
        <v>0</v>
      </c>
      <c r="Q398" s="58"/>
      <c r="R398" s="58"/>
      <c r="S398" s="35"/>
      <c r="T398" s="35"/>
      <c r="U398" s="35"/>
    </row>
    <row r="399" spans="1:21" s="36" customFormat="1" ht="13.5" customHeight="1">
      <c r="A399" s="750"/>
      <c r="B399" s="753"/>
      <c r="C399" s="66" t="s">
        <v>6</v>
      </c>
      <c r="D399" s="31">
        <f t="shared" si="172"/>
        <v>141763</v>
      </c>
      <c r="E399" s="32">
        <f t="shared" si="173"/>
        <v>-69384</v>
      </c>
      <c r="F399" s="32">
        <f t="shared" si="174"/>
        <v>0</v>
      </c>
      <c r="G399" s="32"/>
      <c r="H399" s="32"/>
      <c r="I399" s="32">
        <f>26014-95398</f>
        <v>-69384</v>
      </c>
      <c r="J399" s="32"/>
      <c r="K399" s="32"/>
      <c r="L399" s="32"/>
      <c r="M399" s="32">
        <f t="shared" si="175"/>
        <v>211147</v>
      </c>
      <c r="N399" s="32">
        <v>211147</v>
      </c>
      <c r="O399" s="32"/>
      <c r="P399" s="32"/>
      <c r="Q399" s="58"/>
      <c r="R399" s="58"/>
      <c r="S399" s="35"/>
      <c r="T399" s="35"/>
      <c r="U399" s="35"/>
    </row>
    <row r="400" spans="1:21" s="36" customFormat="1" ht="13.5" customHeight="1">
      <c r="A400" s="751"/>
      <c r="B400" s="754"/>
      <c r="C400" s="66" t="s">
        <v>7</v>
      </c>
      <c r="D400" s="31">
        <f>D398+D399</f>
        <v>16323913</v>
      </c>
      <c r="E400" s="32">
        <f t="shared" ref="E400:P400" si="183">E398+E399</f>
        <v>15165838</v>
      </c>
      <c r="F400" s="32">
        <f t="shared" si="183"/>
        <v>0</v>
      </c>
      <c r="G400" s="32">
        <f t="shared" si="183"/>
        <v>0</v>
      </c>
      <c r="H400" s="32">
        <f t="shared" si="183"/>
        <v>0</v>
      </c>
      <c r="I400" s="32">
        <f t="shared" si="183"/>
        <v>15165838</v>
      </c>
      <c r="J400" s="32">
        <f t="shared" si="183"/>
        <v>0</v>
      </c>
      <c r="K400" s="32">
        <f t="shared" si="183"/>
        <v>0</v>
      </c>
      <c r="L400" s="32">
        <f t="shared" si="183"/>
        <v>0</v>
      </c>
      <c r="M400" s="32">
        <f t="shared" si="183"/>
        <v>1158075</v>
      </c>
      <c r="N400" s="32">
        <f t="shared" si="183"/>
        <v>1158075</v>
      </c>
      <c r="O400" s="32">
        <f t="shared" si="183"/>
        <v>0</v>
      </c>
      <c r="P400" s="32">
        <f t="shared" si="183"/>
        <v>0</v>
      </c>
      <c r="Q400" s="58"/>
      <c r="R400" s="58"/>
      <c r="S400" s="35"/>
      <c r="T400" s="35"/>
      <c r="U400" s="35"/>
    </row>
    <row r="401" spans="1:21" s="36" customFormat="1" ht="13.5" hidden="1" customHeight="1">
      <c r="A401" s="749">
        <v>92120</v>
      </c>
      <c r="B401" s="752" t="s">
        <v>176</v>
      </c>
      <c r="C401" s="66" t="s">
        <v>5</v>
      </c>
      <c r="D401" s="31">
        <f t="shared" si="172"/>
        <v>1878676</v>
      </c>
      <c r="E401" s="32">
        <f t="shared" si="173"/>
        <v>1878676</v>
      </c>
      <c r="F401" s="32">
        <f t="shared" si="174"/>
        <v>75000</v>
      </c>
      <c r="G401" s="32">
        <v>8000</v>
      </c>
      <c r="H401" s="32">
        <v>67000</v>
      </c>
      <c r="I401" s="32">
        <v>1125000</v>
      </c>
      <c r="J401" s="32">
        <v>0</v>
      </c>
      <c r="K401" s="32">
        <v>678676</v>
      </c>
      <c r="L401" s="32">
        <v>0</v>
      </c>
      <c r="M401" s="32">
        <f t="shared" si="175"/>
        <v>0</v>
      </c>
      <c r="N401" s="32">
        <v>0</v>
      </c>
      <c r="O401" s="32">
        <v>0</v>
      </c>
      <c r="P401" s="32">
        <v>0</v>
      </c>
      <c r="Q401" s="58"/>
      <c r="R401" s="58"/>
      <c r="S401" s="35"/>
      <c r="T401" s="35"/>
      <c r="U401" s="35"/>
    </row>
    <row r="402" spans="1:21" s="36" customFormat="1" ht="13.5" hidden="1" customHeight="1">
      <c r="A402" s="750"/>
      <c r="B402" s="753"/>
      <c r="C402" s="66" t="s">
        <v>6</v>
      </c>
      <c r="D402" s="31">
        <f t="shared" si="172"/>
        <v>0</v>
      </c>
      <c r="E402" s="32">
        <f t="shared" si="173"/>
        <v>0</v>
      </c>
      <c r="F402" s="32">
        <f t="shared" si="174"/>
        <v>0</v>
      </c>
      <c r="G402" s="32"/>
      <c r="H402" s="32"/>
      <c r="I402" s="32"/>
      <c r="J402" s="32"/>
      <c r="K402" s="32"/>
      <c r="L402" s="32"/>
      <c r="M402" s="32">
        <f t="shared" si="175"/>
        <v>0</v>
      </c>
      <c r="N402" s="32"/>
      <c r="O402" s="32"/>
      <c r="P402" s="32"/>
      <c r="Q402" s="58"/>
      <c r="R402" s="58"/>
      <c r="S402" s="35"/>
      <c r="T402" s="35"/>
      <c r="U402" s="35"/>
    </row>
    <row r="403" spans="1:21" s="36" customFormat="1" ht="13.5" hidden="1" customHeight="1">
      <c r="A403" s="751"/>
      <c r="B403" s="754"/>
      <c r="C403" s="66" t="s">
        <v>7</v>
      </c>
      <c r="D403" s="31">
        <f>D401+D402</f>
        <v>1878676</v>
      </c>
      <c r="E403" s="32">
        <f t="shared" ref="E403:P403" si="184">E401+E402</f>
        <v>1878676</v>
      </c>
      <c r="F403" s="32">
        <f t="shared" si="184"/>
        <v>75000</v>
      </c>
      <c r="G403" s="32">
        <f t="shared" si="184"/>
        <v>8000</v>
      </c>
      <c r="H403" s="32">
        <f t="shared" si="184"/>
        <v>67000</v>
      </c>
      <c r="I403" s="32">
        <f t="shared" si="184"/>
        <v>1125000</v>
      </c>
      <c r="J403" s="32">
        <f t="shared" si="184"/>
        <v>0</v>
      </c>
      <c r="K403" s="32">
        <f t="shared" si="184"/>
        <v>678676</v>
      </c>
      <c r="L403" s="32">
        <f t="shared" si="184"/>
        <v>0</v>
      </c>
      <c r="M403" s="32">
        <f t="shared" si="184"/>
        <v>0</v>
      </c>
      <c r="N403" s="32">
        <f t="shared" si="184"/>
        <v>0</v>
      </c>
      <c r="O403" s="32">
        <f t="shared" si="184"/>
        <v>0</v>
      </c>
      <c r="P403" s="32">
        <f t="shared" si="184"/>
        <v>0</v>
      </c>
      <c r="Q403" s="58"/>
      <c r="R403" s="58"/>
      <c r="S403" s="35"/>
      <c r="T403" s="35"/>
      <c r="U403" s="35"/>
    </row>
    <row r="404" spans="1:21" s="36" customFormat="1" ht="13.5" customHeight="1">
      <c r="A404" s="749">
        <v>92195</v>
      </c>
      <c r="B404" s="752" t="s">
        <v>43</v>
      </c>
      <c r="C404" s="66" t="s">
        <v>5</v>
      </c>
      <c r="D404" s="31">
        <f t="shared" si="172"/>
        <v>29729109</v>
      </c>
      <c r="E404" s="32">
        <f t="shared" si="173"/>
        <v>10128728</v>
      </c>
      <c r="F404" s="32">
        <f t="shared" si="174"/>
        <v>4955584</v>
      </c>
      <c r="G404" s="32">
        <v>122000</v>
      </c>
      <c r="H404" s="32">
        <v>4833584</v>
      </c>
      <c r="I404" s="32">
        <v>3190000</v>
      </c>
      <c r="J404" s="32">
        <v>406000</v>
      </c>
      <c r="K404" s="32">
        <v>1577144</v>
      </c>
      <c r="L404" s="32">
        <v>0</v>
      </c>
      <c r="M404" s="32">
        <f t="shared" si="175"/>
        <v>19600381</v>
      </c>
      <c r="N404" s="32">
        <v>19600381</v>
      </c>
      <c r="O404" s="32">
        <f>8960179+1275013</f>
        <v>10235192</v>
      </c>
      <c r="P404" s="32">
        <v>0</v>
      </c>
      <c r="Q404" s="58"/>
      <c r="R404" s="58"/>
      <c r="S404" s="35"/>
      <c r="T404" s="35"/>
      <c r="U404" s="35"/>
    </row>
    <row r="405" spans="1:21" s="36" customFormat="1" ht="13.5" customHeight="1">
      <c r="A405" s="750"/>
      <c r="B405" s="753"/>
      <c r="C405" s="66" t="s">
        <v>6</v>
      </c>
      <c r="D405" s="31">
        <f t="shared" si="172"/>
        <v>-699399</v>
      </c>
      <c r="E405" s="32">
        <f t="shared" si="173"/>
        <v>-749399</v>
      </c>
      <c r="F405" s="32">
        <f t="shared" si="174"/>
        <v>0</v>
      </c>
      <c r="G405" s="32"/>
      <c r="H405" s="32"/>
      <c r="I405" s="32">
        <v>-749399</v>
      </c>
      <c r="J405" s="32"/>
      <c r="K405" s="32"/>
      <c r="L405" s="32"/>
      <c r="M405" s="32">
        <f t="shared" si="175"/>
        <v>50000</v>
      </c>
      <c r="N405" s="32">
        <v>50000</v>
      </c>
      <c r="O405" s="32"/>
      <c r="P405" s="32"/>
      <c r="Q405" s="58"/>
      <c r="R405" s="58"/>
      <c r="S405" s="35"/>
      <c r="T405" s="35"/>
      <c r="U405" s="35"/>
    </row>
    <row r="406" spans="1:21" s="36" customFormat="1" ht="13.5" customHeight="1">
      <c r="A406" s="751"/>
      <c r="B406" s="754"/>
      <c r="C406" s="66" t="s">
        <v>7</v>
      </c>
      <c r="D406" s="31">
        <f>D404+D405</f>
        <v>29029710</v>
      </c>
      <c r="E406" s="32">
        <f t="shared" ref="E406:P406" si="185">E404+E405</f>
        <v>9379329</v>
      </c>
      <c r="F406" s="32">
        <f t="shared" si="185"/>
        <v>4955584</v>
      </c>
      <c r="G406" s="32">
        <f t="shared" si="185"/>
        <v>122000</v>
      </c>
      <c r="H406" s="32">
        <f t="shared" si="185"/>
        <v>4833584</v>
      </c>
      <c r="I406" s="32">
        <f t="shared" si="185"/>
        <v>2440601</v>
      </c>
      <c r="J406" s="32">
        <f t="shared" si="185"/>
        <v>406000</v>
      </c>
      <c r="K406" s="32">
        <f t="shared" si="185"/>
        <v>1577144</v>
      </c>
      <c r="L406" s="32">
        <f t="shared" si="185"/>
        <v>0</v>
      </c>
      <c r="M406" s="32">
        <f t="shared" si="185"/>
        <v>19650381</v>
      </c>
      <c r="N406" s="32">
        <f t="shared" si="185"/>
        <v>19650381</v>
      </c>
      <c r="O406" s="32">
        <f t="shared" si="185"/>
        <v>10235192</v>
      </c>
      <c r="P406" s="32">
        <f t="shared" si="185"/>
        <v>0</v>
      </c>
      <c r="Q406" s="58"/>
      <c r="R406" s="58"/>
      <c r="S406" s="35"/>
      <c r="T406" s="35"/>
      <c r="U406" s="35"/>
    </row>
    <row r="407" spans="1:21" s="14" customFormat="1" ht="20.45" customHeight="1">
      <c r="A407" s="755">
        <v>925</v>
      </c>
      <c r="B407" s="758" t="s">
        <v>32</v>
      </c>
      <c r="C407" s="65" t="s">
        <v>5</v>
      </c>
      <c r="D407" s="29">
        <f t="shared" ref="D407:P408" si="186">D410</f>
        <v>10223547</v>
      </c>
      <c r="E407" s="30">
        <f t="shared" si="186"/>
        <v>5563789</v>
      </c>
      <c r="F407" s="30">
        <f t="shared" si="186"/>
        <v>4986827</v>
      </c>
      <c r="G407" s="30">
        <f t="shared" si="186"/>
        <v>3906018</v>
      </c>
      <c r="H407" s="30">
        <f t="shared" si="186"/>
        <v>1080809</v>
      </c>
      <c r="I407" s="30">
        <f t="shared" si="186"/>
        <v>0</v>
      </c>
      <c r="J407" s="30">
        <f t="shared" si="186"/>
        <v>90600</v>
      </c>
      <c r="K407" s="30">
        <f t="shared" si="186"/>
        <v>486362</v>
      </c>
      <c r="L407" s="30">
        <f t="shared" si="186"/>
        <v>0</v>
      </c>
      <c r="M407" s="30">
        <f t="shared" si="186"/>
        <v>4659758</v>
      </c>
      <c r="N407" s="30">
        <f t="shared" si="186"/>
        <v>4659758</v>
      </c>
      <c r="O407" s="30">
        <f>O410</f>
        <v>4644158</v>
      </c>
      <c r="P407" s="30">
        <f t="shared" si="186"/>
        <v>0</v>
      </c>
      <c r="Q407" s="53"/>
      <c r="R407" s="53"/>
      <c r="S407" s="20"/>
      <c r="T407" s="20"/>
      <c r="U407" s="20"/>
    </row>
    <row r="408" spans="1:21" s="14" customFormat="1" ht="20.45" customHeight="1">
      <c r="A408" s="756"/>
      <c r="B408" s="759"/>
      <c r="C408" s="65" t="s">
        <v>6</v>
      </c>
      <c r="D408" s="29">
        <f t="shared" si="186"/>
        <v>311356</v>
      </c>
      <c r="E408" s="30">
        <f t="shared" si="186"/>
        <v>43856</v>
      </c>
      <c r="F408" s="30">
        <f t="shared" si="186"/>
        <v>43856</v>
      </c>
      <c r="G408" s="30">
        <f t="shared" si="186"/>
        <v>6000</v>
      </c>
      <c r="H408" s="30">
        <f t="shared" si="186"/>
        <v>37856</v>
      </c>
      <c r="I408" s="30">
        <f t="shared" si="186"/>
        <v>0</v>
      </c>
      <c r="J408" s="30">
        <f t="shared" si="186"/>
        <v>0</v>
      </c>
      <c r="K408" s="30">
        <f t="shared" si="186"/>
        <v>0</v>
      </c>
      <c r="L408" s="30">
        <f t="shared" si="186"/>
        <v>0</v>
      </c>
      <c r="M408" s="30">
        <f t="shared" si="186"/>
        <v>267500</v>
      </c>
      <c r="N408" s="30">
        <f t="shared" si="186"/>
        <v>267500</v>
      </c>
      <c r="O408" s="30">
        <f t="shared" si="186"/>
        <v>0</v>
      </c>
      <c r="P408" s="30">
        <f t="shared" si="186"/>
        <v>0</v>
      </c>
      <c r="Q408" s="53"/>
      <c r="R408" s="53"/>
      <c r="S408" s="20"/>
      <c r="T408" s="20"/>
      <c r="U408" s="20"/>
    </row>
    <row r="409" spans="1:21" s="14" customFormat="1" ht="20.45" customHeight="1">
      <c r="A409" s="757"/>
      <c r="B409" s="760"/>
      <c r="C409" s="65" t="s">
        <v>7</v>
      </c>
      <c r="D409" s="29">
        <f>D407+D408</f>
        <v>10534903</v>
      </c>
      <c r="E409" s="30">
        <f t="shared" ref="E409:P409" si="187">E407+E408</f>
        <v>5607645</v>
      </c>
      <c r="F409" s="30">
        <f t="shared" si="187"/>
        <v>5030683</v>
      </c>
      <c r="G409" s="30">
        <f t="shared" si="187"/>
        <v>3912018</v>
      </c>
      <c r="H409" s="30">
        <f t="shared" si="187"/>
        <v>1118665</v>
      </c>
      <c r="I409" s="30">
        <f t="shared" si="187"/>
        <v>0</v>
      </c>
      <c r="J409" s="30">
        <f t="shared" si="187"/>
        <v>90600</v>
      </c>
      <c r="K409" s="30">
        <f t="shared" si="187"/>
        <v>486362</v>
      </c>
      <c r="L409" s="30">
        <f t="shared" si="187"/>
        <v>0</v>
      </c>
      <c r="M409" s="30">
        <f t="shared" si="187"/>
        <v>4927258</v>
      </c>
      <c r="N409" s="30">
        <f t="shared" si="187"/>
        <v>4927258</v>
      </c>
      <c r="O409" s="30">
        <f t="shared" si="187"/>
        <v>4644158</v>
      </c>
      <c r="P409" s="30">
        <f t="shared" si="187"/>
        <v>0</v>
      </c>
      <c r="Q409" s="53"/>
      <c r="R409" s="53"/>
      <c r="S409" s="20"/>
      <c r="T409" s="20"/>
      <c r="U409" s="20"/>
    </row>
    <row r="410" spans="1:21" s="36" customFormat="1" ht="13.5" customHeight="1">
      <c r="A410" s="749">
        <v>92502</v>
      </c>
      <c r="B410" s="752" t="s">
        <v>177</v>
      </c>
      <c r="C410" s="66" t="s">
        <v>5</v>
      </c>
      <c r="D410" s="56">
        <f>E410+M410</f>
        <v>10223547</v>
      </c>
      <c r="E410" s="57">
        <f>F410+I410+J410+K410+L410</f>
        <v>5563789</v>
      </c>
      <c r="F410" s="57">
        <f>G410+H410</f>
        <v>4986827</v>
      </c>
      <c r="G410" s="57">
        <v>3906018</v>
      </c>
      <c r="H410" s="57">
        <v>1080809</v>
      </c>
      <c r="I410" s="57">
        <v>0</v>
      </c>
      <c r="J410" s="57">
        <v>90600</v>
      </c>
      <c r="K410" s="57">
        <v>486362</v>
      </c>
      <c r="L410" s="57">
        <v>0</v>
      </c>
      <c r="M410" s="57">
        <f>N410+P410</f>
        <v>4659758</v>
      </c>
      <c r="N410" s="57">
        <v>4659758</v>
      </c>
      <c r="O410" s="57">
        <v>4644158</v>
      </c>
      <c r="P410" s="57">
        <v>0</v>
      </c>
      <c r="Q410" s="58"/>
      <c r="R410" s="58"/>
      <c r="S410" s="35"/>
      <c r="T410" s="35"/>
      <c r="U410" s="35"/>
    </row>
    <row r="411" spans="1:21" s="36" customFormat="1" ht="13.5" customHeight="1">
      <c r="A411" s="750"/>
      <c r="B411" s="753"/>
      <c r="C411" s="66" t="s">
        <v>6</v>
      </c>
      <c r="D411" s="56">
        <f>E411+M411</f>
        <v>311356</v>
      </c>
      <c r="E411" s="57">
        <f>F411+I411+J411+K411+L411</f>
        <v>43856</v>
      </c>
      <c r="F411" s="57">
        <f>G411+H411</f>
        <v>43856</v>
      </c>
      <c r="G411" s="57">
        <f>6000</f>
        <v>6000</v>
      </c>
      <c r="H411" s="57">
        <f>8000-144+30000</f>
        <v>37856</v>
      </c>
      <c r="I411" s="57"/>
      <c r="J411" s="57"/>
      <c r="K411" s="57"/>
      <c r="L411" s="57"/>
      <c r="M411" s="57">
        <f>N411+P411</f>
        <v>267500</v>
      </c>
      <c r="N411" s="57">
        <v>267500</v>
      </c>
      <c r="O411" s="57"/>
      <c r="P411" s="57"/>
      <c r="Q411" s="58"/>
      <c r="R411" s="58"/>
      <c r="S411" s="35"/>
      <c r="T411" s="35"/>
      <c r="U411" s="35"/>
    </row>
    <row r="412" spans="1:21" s="36" customFormat="1" ht="13.5" customHeight="1">
      <c r="A412" s="751"/>
      <c r="B412" s="754"/>
      <c r="C412" s="66" t="s">
        <v>7</v>
      </c>
      <c r="D412" s="56">
        <f>D410+D411</f>
        <v>10534903</v>
      </c>
      <c r="E412" s="57">
        <f t="shared" ref="E412:P412" si="188">E410+E411</f>
        <v>5607645</v>
      </c>
      <c r="F412" s="57">
        <f t="shared" si="188"/>
        <v>5030683</v>
      </c>
      <c r="G412" s="57">
        <f t="shared" si="188"/>
        <v>3912018</v>
      </c>
      <c r="H412" s="57">
        <f t="shared" si="188"/>
        <v>1118665</v>
      </c>
      <c r="I412" s="57">
        <f t="shared" si="188"/>
        <v>0</v>
      </c>
      <c r="J412" s="57">
        <f t="shared" si="188"/>
        <v>90600</v>
      </c>
      <c r="K412" s="57">
        <f t="shared" si="188"/>
        <v>486362</v>
      </c>
      <c r="L412" s="57">
        <f t="shared" si="188"/>
        <v>0</v>
      </c>
      <c r="M412" s="57">
        <f t="shared" si="188"/>
        <v>4927258</v>
      </c>
      <c r="N412" s="57">
        <f t="shared" si="188"/>
        <v>4927258</v>
      </c>
      <c r="O412" s="57">
        <f t="shared" si="188"/>
        <v>4644158</v>
      </c>
      <c r="P412" s="57">
        <f t="shared" si="188"/>
        <v>0</v>
      </c>
      <c r="Q412" s="58"/>
      <c r="R412" s="58"/>
      <c r="S412" s="35"/>
      <c r="T412" s="35"/>
      <c r="U412" s="35"/>
    </row>
    <row r="413" spans="1:21" s="14" customFormat="1" ht="14.25">
      <c r="A413" s="755">
        <v>926</v>
      </c>
      <c r="B413" s="758" t="s">
        <v>178</v>
      </c>
      <c r="C413" s="65" t="s">
        <v>5</v>
      </c>
      <c r="D413" s="29">
        <f t="shared" ref="D413:P414" si="189">D416</f>
        <v>7405900</v>
      </c>
      <c r="E413" s="30">
        <f t="shared" si="189"/>
        <v>5405900</v>
      </c>
      <c r="F413" s="30">
        <f t="shared" si="189"/>
        <v>270000</v>
      </c>
      <c r="G413" s="30">
        <f t="shared" si="189"/>
        <v>3000</v>
      </c>
      <c r="H413" s="30">
        <f t="shared" si="189"/>
        <v>267000</v>
      </c>
      <c r="I413" s="30">
        <f t="shared" si="189"/>
        <v>4100000</v>
      </c>
      <c r="J413" s="30">
        <f t="shared" si="189"/>
        <v>1035900</v>
      </c>
      <c r="K413" s="30">
        <f t="shared" si="189"/>
        <v>0</v>
      </c>
      <c r="L413" s="30">
        <f t="shared" si="189"/>
        <v>0</v>
      </c>
      <c r="M413" s="30">
        <f t="shared" si="189"/>
        <v>2000000</v>
      </c>
      <c r="N413" s="30">
        <f t="shared" si="189"/>
        <v>2000000</v>
      </c>
      <c r="O413" s="30">
        <f t="shared" si="189"/>
        <v>0</v>
      </c>
      <c r="P413" s="30">
        <f t="shared" si="189"/>
        <v>0</v>
      </c>
      <c r="Q413" s="53"/>
      <c r="R413" s="53"/>
      <c r="S413" s="20"/>
      <c r="T413" s="20"/>
      <c r="U413" s="20"/>
    </row>
    <row r="414" spans="1:21" s="14" customFormat="1" ht="14.25">
      <c r="A414" s="756"/>
      <c r="B414" s="759"/>
      <c r="C414" s="65" t="s">
        <v>6</v>
      </c>
      <c r="D414" s="29">
        <f t="shared" si="189"/>
        <v>770000</v>
      </c>
      <c r="E414" s="30">
        <f t="shared" si="189"/>
        <v>70000</v>
      </c>
      <c r="F414" s="30">
        <f t="shared" si="189"/>
        <v>70000</v>
      </c>
      <c r="G414" s="30">
        <f t="shared" si="189"/>
        <v>0</v>
      </c>
      <c r="H414" s="30">
        <f t="shared" si="189"/>
        <v>70000</v>
      </c>
      <c r="I414" s="30">
        <f t="shared" si="189"/>
        <v>0</v>
      </c>
      <c r="J414" s="30">
        <f t="shared" si="189"/>
        <v>0</v>
      </c>
      <c r="K414" s="30">
        <f t="shared" si="189"/>
        <v>0</v>
      </c>
      <c r="L414" s="30">
        <f t="shared" si="189"/>
        <v>0</v>
      </c>
      <c r="M414" s="30">
        <f t="shared" si="189"/>
        <v>700000</v>
      </c>
      <c r="N414" s="30">
        <f t="shared" si="189"/>
        <v>700000</v>
      </c>
      <c r="O414" s="30">
        <f t="shared" si="189"/>
        <v>0</v>
      </c>
      <c r="P414" s="30">
        <f t="shared" si="189"/>
        <v>0</v>
      </c>
      <c r="Q414" s="53"/>
      <c r="R414" s="53"/>
      <c r="S414" s="20"/>
      <c r="T414" s="20"/>
      <c r="U414" s="20"/>
    </row>
    <row r="415" spans="1:21" s="14" customFormat="1" ht="14.25">
      <c r="A415" s="757"/>
      <c r="B415" s="760"/>
      <c r="C415" s="65" t="s">
        <v>7</v>
      </c>
      <c r="D415" s="29">
        <f>D413+D414</f>
        <v>8175900</v>
      </c>
      <c r="E415" s="30">
        <f t="shared" ref="E415:P415" si="190">E413+E414</f>
        <v>5475900</v>
      </c>
      <c r="F415" s="30">
        <f t="shared" si="190"/>
        <v>340000</v>
      </c>
      <c r="G415" s="30">
        <f t="shared" si="190"/>
        <v>3000</v>
      </c>
      <c r="H415" s="30">
        <f t="shared" si="190"/>
        <v>337000</v>
      </c>
      <c r="I415" s="30">
        <f t="shared" si="190"/>
        <v>4100000</v>
      </c>
      <c r="J415" s="30">
        <f t="shared" si="190"/>
        <v>1035900</v>
      </c>
      <c r="K415" s="30">
        <f t="shared" si="190"/>
        <v>0</v>
      </c>
      <c r="L415" s="30">
        <f t="shared" si="190"/>
        <v>0</v>
      </c>
      <c r="M415" s="30">
        <f t="shared" si="190"/>
        <v>2700000</v>
      </c>
      <c r="N415" s="30">
        <f t="shared" si="190"/>
        <v>2700000</v>
      </c>
      <c r="O415" s="30">
        <f t="shared" si="190"/>
        <v>0</v>
      </c>
      <c r="P415" s="30">
        <f t="shared" si="190"/>
        <v>0</v>
      </c>
      <c r="Q415" s="53"/>
      <c r="R415" s="53"/>
      <c r="S415" s="20"/>
      <c r="T415" s="20"/>
      <c r="U415" s="20"/>
    </row>
    <row r="416" spans="1:21" s="36" customFormat="1" ht="13.5" customHeight="1">
      <c r="A416" s="749">
        <v>92605</v>
      </c>
      <c r="B416" s="752" t="s">
        <v>179</v>
      </c>
      <c r="C416" s="66" t="s">
        <v>5</v>
      </c>
      <c r="D416" s="31">
        <f>E416+M416</f>
        <v>7405900</v>
      </c>
      <c r="E416" s="32">
        <f>F416+I416+J416+K416+L416</f>
        <v>5405900</v>
      </c>
      <c r="F416" s="32">
        <f>G416+H416</f>
        <v>270000</v>
      </c>
      <c r="G416" s="32">
        <v>3000</v>
      </c>
      <c r="H416" s="32">
        <f>23000+40000+2000+200000+2000</f>
        <v>267000</v>
      </c>
      <c r="I416" s="32">
        <v>4100000</v>
      </c>
      <c r="J416" s="32">
        <v>1035900</v>
      </c>
      <c r="K416" s="32">
        <v>0</v>
      </c>
      <c r="L416" s="32">
        <v>0</v>
      </c>
      <c r="M416" s="32">
        <f>N416+P416</f>
        <v>2000000</v>
      </c>
      <c r="N416" s="32">
        <v>2000000</v>
      </c>
      <c r="O416" s="32">
        <v>0</v>
      </c>
      <c r="P416" s="32">
        <v>0</v>
      </c>
      <c r="Q416" s="58"/>
      <c r="R416" s="58"/>
      <c r="S416" s="35"/>
      <c r="T416" s="35"/>
      <c r="U416" s="35"/>
    </row>
    <row r="417" spans="1:21" s="36" customFormat="1" ht="13.5" customHeight="1">
      <c r="A417" s="750"/>
      <c r="B417" s="753"/>
      <c r="C417" s="66" t="s">
        <v>6</v>
      </c>
      <c r="D417" s="31">
        <f>E417+M417</f>
        <v>770000</v>
      </c>
      <c r="E417" s="32">
        <f>F417+I417+J417+K417+L417</f>
        <v>70000</v>
      </c>
      <c r="F417" s="32">
        <f>G417+H417</f>
        <v>70000</v>
      </c>
      <c r="G417" s="32"/>
      <c r="H417" s="32">
        <v>70000</v>
      </c>
      <c r="I417" s="32"/>
      <c r="J417" s="32"/>
      <c r="K417" s="32"/>
      <c r="L417" s="32"/>
      <c r="M417" s="32">
        <f>N417+P417</f>
        <v>700000</v>
      </c>
      <c r="N417" s="32">
        <v>700000</v>
      </c>
      <c r="O417" s="32"/>
      <c r="P417" s="32"/>
      <c r="Q417" s="58"/>
      <c r="R417" s="58"/>
      <c r="S417" s="35"/>
      <c r="T417" s="35"/>
      <c r="U417" s="35"/>
    </row>
    <row r="418" spans="1:21" s="36" customFormat="1" ht="13.5" customHeight="1">
      <c r="A418" s="751"/>
      <c r="B418" s="754"/>
      <c r="C418" s="66" t="s">
        <v>7</v>
      </c>
      <c r="D418" s="31">
        <f>D416+D417</f>
        <v>8175900</v>
      </c>
      <c r="E418" s="32">
        <f t="shared" ref="E418:P418" si="191">E416+E417</f>
        <v>5475900</v>
      </c>
      <c r="F418" s="32">
        <f t="shared" si="191"/>
        <v>340000</v>
      </c>
      <c r="G418" s="32">
        <f t="shared" si="191"/>
        <v>3000</v>
      </c>
      <c r="H418" s="32">
        <f t="shared" si="191"/>
        <v>337000</v>
      </c>
      <c r="I418" s="32">
        <f t="shared" si="191"/>
        <v>4100000</v>
      </c>
      <c r="J418" s="32">
        <f t="shared" si="191"/>
        <v>1035900</v>
      </c>
      <c r="K418" s="32">
        <f t="shared" si="191"/>
        <v>0</v>
      </c>
      <c r="L418" s="32">
        <f t="shared" si="191"/>
        <v>0</v>
      </c>
      <c r="M418" s="32">
        <f t="shared" si="191"/>
        <v>2700000</v>
      </c>
      <c r="N418" s="32">
        <f t="shared" si="191"/>
        <v>2700000</v>
      </c>
      <c r="O418" s="32">
        <f t="shared" si="191"/>
        <v>0</v>
      </c>
      <c r="P418" s="32">
        <f t="shared" si="191"/>
        <v>0</v>
      </c>
      <c r="Q418" s="58"/>
      <c r="R418" s="58"/>
      <c r="S418" s="35"/>
      <c r="T418" s="35"/>
      <c r="U418" s="35"/>
    </row>
    <row r="419" spans="1:21" s="12" customFormat="1" ht="4.1500000000000004" customHeight="1">
      <c r="A419" s="68"/>
      <c r="B419" s="50"/>
      <c r="C419" s="64"/>
      <c r="D419" s="31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18"/>
      <c r="R419" s="18"/>
      <c r="S419" s="18"/>
      <c r="T419" s="18"/>
      <c r="U419" s="18"/>
    </row>
    <row r="420" spans="1:21" s="17" customFormat="1" ht="15.75">
      <c r="A420" s="790"/>
      <c r="B420" s="791" t="s">
        <v>4</v>
      </c>
      <c r="C420" s="69" t="s">
        <v>5</v>
      </c>
      <c r="D420" s="41">
        <f t="shared" ref="D420:P422" si="192">D13</f>
        <v>1501040805</v>
      </c>
      <c r="E420" s="41">
        <f t="shared" si="192"/>
        <v>843725793</v>
      </c>
      <c r="F420" s="41">
        <f t="shared" si="192"/>
        <v>287283833</v>
      </c>
      <c r="G420" s="41">
        <f t="shared" si="192"/>
        <v>163902805</v>
      </c>
      <c r="H420" s="41">
        <f t="shared" si="192"/>
        <v>123381028</v>
      </c>
      <c r="I420" s="41">
        <f t="shared" si="192"/>
        <v>251959800</v>
      </c>
      <c r="J420" s="41">
        <f t="shared" si="192"/>
        <v>3411278</v>
      </c>
      <c r="K420" s="41">
        <f t="shared" si="192"/>
        <v>258453187</v>
      </c>
      <c r="L420" s="41">
        <f t="shared" si="192"/>
        <v>42617695</v>
      </c>
      <c r="M420" s="41">
        <f t="shared" si="192"/>
        <v>657315012</v>
      </c>
      <c r="N420" s="41">
        <f t="shared" si="192"/>
        <v>634155261</v>
      </c>
      <c r="O420" s="41">
        <f t="shared" si="192"/>
        <v>456189729</v>
      </c>
      <c r="P420" s="41">
        <f t="shared" si="192"/>
        <v>23159751</v>
      </c>
      <c r="Q420" s="23"/>
      <c r="R420" s="23"/>
      <c r="S420" s="23"/>
      <c r="T420" s="23"/>
      <c r="U420" s="23"/>
    </row>
    <row r="421" spans="1:21" s="17" customFormat="1" ht="15.75">
      <c r="A421" s="790"/>
      <c r="B421" s="791"/>
      <c r="C421" s="69" t="s">
        <v>6</v>
      </c>
      <c r="D421" s="41">
        <f t="shared" si="192"/>
        <v>24414110</v>
      </c>
      <c r="E421" s="41">
        <f t="shared" si="192"/>
        <v>-4593879</v>
      </c>
      <c r="F421" s="41">
        <f t="shared" si="192"/>
        <v>10051344</v>
      </c>
      <c r="G421" s="41">
        <f t="shared" si="192"/>
        <v>6000</v>
      </c>
      <c r="H421" s="41">
        <f t="shared" si="192"/>
        <v>10045344</v>
      </c>
      <c r="I421" s="41">
        <f t="shared" si="192"/>
        <v>1697229</v>
      </c>
      <c r="J421" s="41">
        <f t="shared" si="192"/>
        <v>0</v>
      </c>
      <c r="K421" s="41">
        <f t="shared" si="192"/>
        <v>-16342452</v>
      </c>
      <c r="L421" s="41">
        <f t="shared" si="192"/>
        <v>0</v>
      </c>
      <c r="M421" s="41">
        <f t="shared" si="192"/>
        <v>29007989</v>
      </c>
      <c r="N421" s="41">
        <f t="shared" si="192"/>
        <v>28407989</v>
      </c>
      <c r="O421" s="41">
        <f t="shared" si="192"/>
        <v>4785759</v>
      </c>
      <c r="P421" s="41">
        <f t="shared" si="192"/>
        <v>600000</v>
      </c>
      <c r="Q421" s="23"/>
      <c r="R421" s="23"/>
      <c r="S421" s="23"/>
      <c r="T421" s="23"/>
      <c r="U421" s="23"/>
    </row>
    <row r="422" spans="1:21" s="17" customFormat="1" ht="15.75">
      <c r="A422" s="790"/>
      <c r="B422" s="791"/>
      <c r="C422" s="69" t="s">
        <v>7</v>
      </c>
      <c r="D422" s="41">
        <f t="shared" si="192"/>
        <v>1525454915</v>
      </c>
      <c r="E422" s="41">
        <f t="shared" si="192"/>
        <v>839131914</v>
      </c>
      <c r="F422" s="41">
        <f t="shared" si="192"/>
        <v>297335177</v>
      </c>
      <c r="G422" s="41">
        <f t="shared" si="192"/>
        <v>163908805</v>
      </c>
      <c r="H422" s="41">
        <f t="shared" si="192"/>
        <v>133426372</v>
      </c>
      <c r="I422" s="41">
        <f t="shared" si="192"/>
        <v>253657029</v>
      </c>
      <c r="J422" s="41">
        <f t="shared" si="192"/>
        <v>3411278</v>
      </c>
      <c r="K422" s="41">
        <f t="shared" si="192"/>
        <v>242110735</v>
      </c>
      <c r="L422" s="41">
        <f t="shared" si="192"/>
        <v>42617695</v>
      </c>
      <c r="M422" s="41">
        <f t="shared" si="192"/>
        <v>686323001</v>
      </c>
      <c r="N422" s="41">
        <f t="shared" si="192"/>
        <v>662563250</v>
      </c>
      <c r="O422" s="41">
        <f t="shared" si="192"/>
        <v>460975488</v>
      </c>
      <c r="P422" s="41">
        <f t="shared" si="192"/>
        <v>23759751</v>
      </c>
      <c r="Q422" s="23"/>
      <c r="R422" s="23"/>
      <c r="S422" s="23"/>
      <c r="T422" s="23"/>
      <c r="U422" s="23"/>
    </row>
    <row r="423" spans="1:21">
      <c r="A423" s="70" t="s">
        <v>3</v>
      </c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1:21">
      <c r="A424" s="70" t="s">
        <v>33</v>
      </c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2"/>
    </row>
    <row r="425" spans="1:21">
      <c r="A425" s="70" t="s">
        <v>34</v>
      </c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1:21">
      <c r="A426" s="70" t="s">
        <v>35</v>
      </c>
      <c r="D426" s="45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21">
      <c r="D427" s="5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</row>
  </sheetData>
  <sheetProtection password="C25B" sheet="1" objects="1" scenarios="1"/>
  <mergeCells count="290">
    <mergeCell ref="A407:A409"/>
    <mergeCell ref="B407:B409"/>
    <mergeCell ref="A420:A422"/>
    <mergeCell ref="B420:B422"/>
    <mergeCell ref="A410:A412"/>
    <mergeCell ref="B410:B412"/>
    <mergeCell ref="A413:A415"/>
    <mergeCell ref="B413:B415"/>
    <mergeCell ref="A416:A418"/>
    <mergeCell ref="B416:B418"/>
    <mergeCell ref="A398:A400"/>
    <mergeCell ref="B398:B400"/>
    <mergeCell ref="A401:A403"/>
    <mergeCell ref="B401:B403"/>
    <mergeCell ref="A404:A406"/>
    <mergeCell ref="B404:B406"/>
    <mergeCell ref="A392:A394"/>
    <mergeCell ref="B392:B394"/>
    <mergeCell ref="A395:A397"/>
    <mergeCell ref="B395:B397"/>
    <mergeCell ref="A383:A385"/>
    <mergeCell ref="B383:B385"/>
    <mergeCell ref="A386:A388"/>
    <mergeCell ref="A389:A391"/>
    <mergeCell ref="B389:B391"/>
    <mergeCell ref="C7:C10"/>
    <mergeCell ref="J9:J10"/>
    <mergeCell ref="B386:B388"/>
    <mergeCell ref="K9:K10"/>
    <mergeCell ref="B26:B28"/>
    <mergeCell ref="A29:A31"/>
    <mergeCell ref="B29:B31"/>
    <mergeCell ref="B17:B19"/>
    <mergeCell ref="A20:A22"/>
    <mergeCell ref="B20:B22"/>
    <mergeCell ref="A7:A10"/>
    <mergeCell ref="A13:A15"/>
    <mergeCell ref="B13:B15"/>
    <mergeCell ref="A17:A19"/>
    <mergeCell ref="B7:B10"/>
    <mergeCell ref="A32:A34"/>
    <mergeCell ref="B32:B34"/>
    <mergeCell ref="A35:A37"/>
    <mergeCell ref="B35:B37"/>
    <mergeCell ref="L9:L10"/>
    <mergeCell ref="D7:D10"/>
    <mergeCell ref="E7:P7"/>
    <mergeCell ref="E8:E10"/>
    <mergeCell ref="F8:L8"/>
    <mergeCell ref="P9:P10"/>
    <mergeCell ref="G9:H9"/>
    <mergeCell ref="I9:I10"/>
    <mergeCell ref="N9:N10"/>
    <mergeCell ref="M8:M10"/>
    <mergeCell ref="N8:P8"/>
    <mergeCell ref="F9:F10"/>
    <mergeCell ref="A23:A25"/>
    <mergeCell ref="B23:B25"/>
    <mergeCell ref="A26:A28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61:A163"/>
    <mergeCell ref="B161:B163"/>
    <mergeCell ref="A164:A166"/>
    <mergeCell ref="B164:B166"/>
    <mergeCell ref="A167:A169"/>
    <mergeCell ref="B167:B169"/>
    <mergeCell ref="A170:A172"/>
    <mergeCell ref="B170:B172"/>
    <mergeCell ref="A173:A175"/>
    <mergeCell ref="B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48:A250"/>
    <mergeCell ref="B248:B250"/>
    <mergeCell ref="A251:A253"/>
    <mergeCell ref="B251:B253"/>
    <mergeCell ref="A254:A256"/>
    <mergeCell ref="B254:B256"/>
    <mergeCell ref="B278:B280"/>
    <mergeCell ref="A293:A295"/>
    <mergeCell ref="B293:B295"/>
    <mergeCell ref="A257:A259"/>
    <mergeCell ref="B257:B259"/>
    <mergeCell ref="A260:A262"/>
    <mergeCell ref="B260:B262"/>
    <mergeCell ref="A263:A265"/>
    <mergeCell ref="B263:B265"/>
    <mergeCell ref="A266:A268"/>
    <mergeCell ref="B266:B268"/>
    <mergeCell ref="A269:A271"/>
    <mergeCell ref="B269:B271"/>
    <mergeCell ref="A5:P5"/>
    <mergeCell ref="A311:A313"/>
    <mergeCell ref="B311:B313"/>
    <mergeCell ref="A314:A316"/>
    <mergeCell ref="B314:B316"/>
    <mergeCell ref="A290:A292"/>
    <mergeCell ref="B290:B292"/>
    <mergeCell ref="B305:B307"/>
    <mergeCell ref="A308:A310"/>
    <mergeCell ref="A296:A298"/>
    <mergeCell ref="B296:B298"/>
    <mergeCell ref="A299:A301"/>
    <mergeCell ref="A281:A283"/>
    <mergeCell ref="B281:B283"/>
    <mergeCell ref="A284:A286"/>
    <mergeCell ref="B284:B286"/>
    <mergeCell ref="A287:A289"/>
    <mergeCell ref="B299:B301"/>
    <mergeCell ref="B287:B289"/>
    <mergeCell ref="A272:A274"/>
    <mergeCell ref="B272:B274"/>
    <mergeCell ref="A275:A277"/>
    <mergeCell ref="B275:B277"/>
    <mergeCell ref="A278:A280"/>
    <mergeCell ref="A317:A319"/>
    <mergeCell ref="B317:B319"/>
    <mergeCell ref="A302:A304"/>
    <mergeCell ref="B302:B304"/>
    <mergeCell ref="A305:A307"/>
    <mergeCell ref="A320:A322"/>
    <mergeCell ref="B320:B322"/>
    <mergeCell ref="B308:B310"/>
    <mergeCell ref="A323:A325"/>
    <mergeCell ref="B323:B325"/>
    <mergeCell ref="A326:A328"/>
    <mergeCell ref="B326:B328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343"/>
    <mergeCell ref="B341:B343"/>
    <mergeCell ref="A344:A346"/>
    <mergeCell ref="B344:B346"/>
    <mergeCell ref="A347:A349"/>
    <mergeCell ref="B347:B349"/>
    <mergeCell ref="A350:A352"/>
    <mergeCell ref="B350:B352"/>
    <mergeCell ref="A353:A355"/>
    <mergeCell ref="B353:B355"/>
    <mergeCell ref="A380:A382"/>
    <mergeCell ref="B380:B382"/>
    <mergeCell ref="A368:A370"/>
    <mergeCell ref="B368:B370"/>
    <mergeCell ref="A371:A373"/>
    <mergeCell ref="B371:B373"/>
    <mergeCell ref="A374:A376"/>
    <mergeCell ref="B374:B376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77:A379"/>
    <mergeCell ref="B377:B379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7"/>
  <sheetViews>
    <sheetView view="pageBreakPreview" zoomScaleNormal="100" zoomScaleSheetLayoutView="100" workbookViewId="0">
      <selection activeCell="C192" sqref="C192"/>
    </sheetView>
  </sheetViews>
  <sheetFormatPr defaultRowHeight="12.75"/>
  <cols>
    <col min="1" max="1" width="7.25" style="307" customWidth="1"/>
    <col min="2" max="2" width="7.125" style="307" customWidth="1"/>
    <col min="3" max="3" width="42.25" style="307" customWidth="1"/>
    <col min="4" max="4" width="13.875" style="307" customWidth="1"/>
    <col min="5" max="5" width="14.125" style="307" customWidth="1"/>
    <col min="6" max="6" width="11.75" style="307" customWidth="1"/>
    <col min="7" max="7" width="14.125" style="307" customWidth="1"/>
    <col min="8" max="8" width="9.625" style="307" bestFit="1" customWidth="1"/>
    <col min="9" max="10" width="9" style="307"/>
    <col min="11" max="11" width="9.625" style="307" bestFit="1" customWidth="1"/>
    <col min="12" max="16384" width="9" style="307"/>
  </cols>
  <sheetData>
    <row r="1" spans="1:11" s="9" customFormat="1">
      <c r="A1" s="278"/>
      <c r="B1" s="279"/>
      <c r="D1" s="6"/>
      <c r="E1" s="6" t="s">
        <v>477</v>
      </c>
      <c r="F1" s="6"/>
      <c r="G1" s="6"/>
    </row>
    <row r="2" spans="1:11" s="9" customFormat="1" ht="13.15" customHeight="1">
      <c r="A2" s="278"/>
      <c r="B2" s="279"/>
      <c r="D2" s="6"/>
      <c r="E2" s="4" t="s">
        <v>515</v>
      </c>
      <c r="F2" s="6"/>
      <c r="G2" s="6"/>
    </row>
    <row r="3" spans="1:11" s="9" customFormat="1">
      <c r="A3" s="278"/>
      <c r="B3" s="279"/>
      <c r="D3" s="6"/>
      <c r="E3" s="4" t="s">
        <v>375</v>
      </c>
      <c r="F3" s="6"/>
      <c r="G3" s="6"/>
    </row>
    <row r="4" spans="1:11" s="9" customFormat="1" ht="6" customHeight="1">
      <c r="A4" s="278"/>
      <c r="B4" s="279"/>
    </row>
    <row r="5" spans="1:11" s="9" customFormat="1" ht="47.45" customHeight="1">
      <c r="A5" s="761" t="s">
        <v>478</v>
      </c>
      <c r="B5" s="761"/>
      <c r="C5" s="761"/>
      <c r="D5" s="761"/>
      <c r="E5" s="761"/>
      <c r="F5" s="761"/>
      <c r="G5" s="761"/>
    </row>
    <row r="6" spans="1:11" s="9" customFormat="1">
      <c r="A6" s="280"/>
      <c r="B6" s="280"/>
      <c r="C6" s="117"/>
      <c r="D6" s="117"/>
      <c r="E6" s="117"/>
      <c r="F6" s="117"/>
      <c r="G6" s="117" t="s">
        <v>0</v>
      </c>
    </row>
    <row r="7" spans="1:11" s="284" customFormat="1">
      <c r="A7" s="281" t="s">
        <v>1</v>
      </c>
      <c r="B7" s="792" t="s">
        <v>444</v>
      </c>
      <c r="C7" s="793" t="s">
        <v>445</v>
      </c>
      <c r="D7" s="282" t="s">
        <v>479</v>
      </c>
      <c r="E7" s="795" t="s">
        <v>480</v>
      </c>
      <c r="F7" s="797" t="s">
        <v>448</v>
      </c>
      <c r="G7" s="283" t="s">
        <v>481</v>
      </c>
    </row>
    <row r="8" spans="1:11" s="284" customFormat="1" ht="14.25" customHeight="1">
      <c r="A8" s="285" t="s">
        <v>2</v>
      </c>
      <c r="B8" s="792"/>
      <c r="C8" s="794"/>
      <c r="D8" s="286" t="s">
        <v>482</v>
      </c>
      <c r="E8" s="796"/>
      <c r="F8" s="798"/>
      <c r="G8" s="287" t="s">
        <v>483</v>
      </c>
    </row>
    <row r="9" spans="1:11" s="291" customFormat="1">
      <c r="A9" s="288">
        <v>1</v>
      </c>
      <c r="B9" s="289">
        <v>2</v>
      </c>
      <c r="C9" s="288">
        <v>3</v>
      </c>
      <c r="D9" s="289">
        <v>4</v>
      </c>
      <c r="E9" s="288">
        <v>5</v>
      </c>
      <c r="F9" s="290">
        <v>6</v>
      </c>
      <c r="G9" s="288">
        <v>7</v>
      </c>
    </row>
    <row r="10" spans="1:11" s="295" customFormat="1" ht="16.5" customHeight="1">
      <c r="A10" s="292"/>
      <c r="B10" s="292"/>
      <c r="C10" s="293" t="s">
        <v>484</v>
      </c>
      <c r="D10" s="294">
        <v>1501040805</v>
      </c>
      <c r="E10" s="294">
        <f>E11+E23+E53+E56+E59+E62+E84+E110+E134+E146+E175+E180+E184+E203+E210</f>
        <v>60485205</v>
      </c>
      <c r="F10" s="294">
        <f>F11+F23+F53+F56+F59+F62+F84+F110+F134+F146+F175+F180+F184+F203+F210</f>
        <v>36071095</v>
      </c>
      <c r="G10" s="294">
        <f>D10+E10-F10</f>
        <v>1525454915</v>
      </c>
    </row>
    <row r="11" spans="1:11" s="299" customFormat="1" ht="16.5" customHeight="1">
      <c r="A11" s="296">
        <v>150</v>
      </c>
      <c r="B11" s="296" t="s">
        <v>458</v>
      </c>
      <c r="C11" s="297" t="s">
        <v>90</v>
      </c>
      <c r="D11" s="298">
        <v>29181945</v>
      </c>
      <c r="E11" s="298">
        <f>E12+E14</f>
        <v>512785</v>
      </c>
      <c r="F11" s="298">
        <f>F12+F14</f>
        <v>12370841</v>
      </c>
      <c r="G11" s="298">
        <f>D11+E11-F11</f>
        <v>17323889</v>
      </c>
    </row>
    <row r="12" spans="1:11" s="299" customFormat="1" ht="16.5" customHeight="1">
      <c r="A12" s="300">
        <v>15011</v>
      </c>
      <c r="B12" s="300" t="s">
        <v>458</v>
      </c>
      <c r="C12" s="301" t="s">
        <v>485</v>
      </c>
      <c r="D12" s="302">
        <v>5921501</v>
      </c>
      <c r="E12" s="302">
        <f>E13</f>
        <v>500000</v>
      </c>
      <c r="F12" s="302">
        <f>F13</f>
        <v>0</v>
      </c>
      <c r="G12" s="302">
        <f t="shared" ref="G12:G75" si="0">D12+E12-F12</f>
        <v>6421501</v>
      </c>
      <c r="H12" s="303"/>
      <c r="I12" s="303"/>
      <c r="J12" s="303"/>
      <c r="K12" s="303"/>
    </row>
    <row r="13" spans="1:11" ht="16.5" customHeight="1">
      <c r="A13" s="304" t="s">
        <v>458</v>
      </c>
      <c r="B13" s="304">
        <v>6010</v>
      </c>
      <c r="C13" s="305" t="s">
        <v>486</v>
      </c>
      <c r="D13" s="306">
        <v>0</v>
      </c>
      <c r="E13" s="306">
        <v>500000</v>
      </c>
      <c r="F13" s="306">
        <v>0</v>
      </c>
      <c r="G13" s="306">
        <f t="shared" si="0"/>
        <v>500000</v>
      </c>
    </row>
    <row r="14" spans="1:11" s="299" customFormat="1" ht="16.5" customHeight="1">
      <c r="A14" s="300">
        <v>15013</v>
      </c>
      <c r="B14" s="300" t="s">
        <v>458</v>
      </c>
      <c r="C14" s="301" t="s">
        <v>92</v>
      </c>
      <c r="D14" s="302">
        <v>22912444</v>
      </c>
      <c r="E14" s="302">
        <f>SUM(E15:E22)</f>
        <v>12785</v>
      </c>
      <c r="F14" s="302">
        <f>SUM(F15:F22)</f>
        <v>12370841</v>
      </c>
      <c r="G14" s="302">
        <f t="shared" si="0"/>
        <v>10554388</v>
      </c>
    </row>
    <row r="15" spans="1:11" ht="66.75" customHeight="1">
      <c r="A15" s="304" t="s">
        <v>458</v>
      </c>
      <c r="B15" s="304">
        <v>2007</v>
      </c>
      <c r="C15" s="305" t="s">
        <v>487</v>
      </c>
      <c r="D15" s="306">
        <v>18203100</v>
      </c>
      <c r="E15" s="306">
        <v>0</v>
      </c>
      <c r="F15" s="306">
        <v>11591988</v>
      </c>
      <c r="G15" s="306">
        <f t="shared" si="0"/>
        <v>6611112</v>
      </c>
    </row>
    <row r="16" spans="1:11" ht="66.75" customHeight="1">
      <c r="A16" s="304" t="s">
        <v>458</v>
      </c>
      <c r="B16" s="304">
        <v>2009</v>
      </c>
      <c r="C16" s="305" t="s">
        <v>487</v>
      </c>
      <c r="D16" s="306">
        <v>4127671</v>
      </c>
      <c r="E16" s="306">
        <v>0</v>
      </c>
      <c r="F16" s="306">
        <v>778782</v>
      </c>
      <c r="G16" s="306">
        <f t="shared" si="0"/>
        <v>3348889</v>
      </c>
    </row>
    <row r="17" spans="1:7" ht="15" customHeight="1">
      <c r="A17" s="304" t="s">
        <v>458</v>
      </c>
      <c r="B17" s="304">
        <v>4017</v>
      </c>
      <c r="C17" s="305" t="s">
        <v>488</v>
      </c>
      <c r="D17" s="306">
        <v>107226</v>
      </c>
      <c r="E17" s="306">
        <v>0</v>
      </c>
      <c r="F17" s="306">
        <v>71</v>
      </c>
      <c r="G17" s="306">
        <f t="shared" si="0"/>
        <v>107155</v>
      </c>
    </row>
    <row r="18" spans="1:7" ht="15" customHeight="1">
      <c r="A18" s="304" t="s">
        <v>458</v>
      </c>
      <c r="B18" s="304">
        <v>4019</v>
      </c>
      <c r="C18" s="305" t="s">
        <v>488</v>
      </c>
      <c r="D18" s="306">
        <v>66105</v>
      </c>
      <c r="E18" s="306">
        <v>10698</v>
      </c>
      <c r="F18" s="306">
        <v>0</v>
      </c>
      <c r="G18" s="306">
        <f t="shared" si="0"/>
        <v>76803</v>
      </c>
    </row>
    <row r="19" spans="1:7" ht="15" customHeight="1">
      <c r="A19" s="304" t="s">
        <v>458</v>
      </c>
      <c r="B19" s="304">
        <v>4119</v>
      </c>
      <c r="C19" s="305" t="s">
        <v>489</v>
      </c>
      <c r="D19" s="306">
        <v>11515</v>
      </c>
      <c r="E19" s="306">
        <v>1829</v>
      </c>
      <c r="F19" s="306">
        <v>0</v>
      </c>
      <c r="G19" s="306">
        <f t="shared" si="0"/>
        <v>13344</v>
      </c>
    </row>
    <row r="20" spans="1:7" ht="15" customHeight="1">
      <c r="A20" s="304" t="s">
        <v>458</v>
      </c>
      <c r="B20" s="304">
        <v>4129</v>
      </c>
      <c r="C20" s="305" t="s">
        <v>490</v>
      </c>
      <c r="D20" s="306">
        <v>1642</v>
      </c>
      <c r="E20" s="306">
        <v>183</v>
      </c>
      <c r="F20" s="306">
        <v>0</v>
      </c>
      <c r="G20" s="306">
        <f t="shared" si="0"/>
        <v>1825</v>
      </c>
    </row>
    <row r="21" spans="1:7" ht="15" customHeight="1">
      <c r="A21" s="304" t="s">
        <v>458</v>
      </c>
      <c r="B21" s="304">
        <v>4717</v>
      </c>
      <c r="C21" s="305" t="s">
        <v>491</v>
      </c>
      <c r="D21" s="306">
        <v>0</v>
      </c>
      <c r="E21" s="306">
        <v>71</v>
      </c>
      <c r="F21" s="306">
        <v>0</v>
      </c>
      <c r="G21" s="306">
        <f t="shared" si="0"/>
        <v>71</v>
      </c>
    </row>
    <row r="22" spans="1:7" ht="15" customHeight="1">
      <c r="A22" s="304" t="s">
        <v>458</v>
      </c>
      <c r="B22" s="304">
        <v>4719</v>
      </c>
      <c r="C22" s="305" t="s">
        <v>491</v>
      </c>
      <c r="D22" s="306">
        <v>0</v>
      </c>
      <c r="E22" s="306">
        <v>4</v>
      </c>
      <c r="F22" s="306">
        <v>0</v>
      </c>
      <c r="G22" s="306">
        <f t="shared" si="0"/>
        <v>4</v>
      </c>
    </row>
    <row r="23" spans="1:7" s="299" customFormat="1" ht="16.5" customHeight="1">
      <c r="A23" s="296">
        <v>600</v>
      </c>
      <c r="B23" s="296" t="s">
        <v>458</v>
      </c>
      <c r="C23" s="297" t="s">
        <v>12</v>
      </c>
      <c r="D23" s="298">
        <v>530360493</v>
      </c>
      <c r="E23" s="298">
        <f>E24+E28+E30</f>
        <v>29349851</v>
      </c>
      <c r="F23" s="298">
        <f>F24+F28+F30</f>
        <v>9181217</v>
      </c>
      <c r="G23" s="298">
        <f t="shared" si="0"/>
        <v>550529127</v>
      </c>
    </row>
    <row r="24" spans="1:7" s="299" customFormat="1" ht="16.5" customHeight="1">
      <c r="A24" s="300">
        <v>60001</v>
      </c>
      <c r="B24" s="300" t="s">
        <v>458</v>
      </c>
      <c r="C24" s="301" t="s">
        <v>99</v>
      </c>
      <c r="D24" s="302">
        <v>114560000</v>
      </c>
      <c r="E24" s="302">
        <f>SUM(E25:E27)</f>
        <v>687494</v>
      </c>
      <c r="F24" s="302">
        <f>SUM(F25:F27)</f>
        <v>4377494</v>
      </c>
      <c r="G24" s="302">
        <f t="shared" si="0"/>
        <v>110870000</v>
      </c>
    </row>
    <row r="25" spans="1:7" ht="40.5" customHeight="1">
      <c r="A25" s="304" t="s">
        <v>458</v>
      </c>
      <c r="B25" s="304">
        <v>2330</v>
      </c>
      <c r="C25" s="305" t="s">
        <v>492</v>
      </c>
      <c r="D25" s="306">
        <v>0</v>
      </c>
      <c r="E25" s="306">
        <v>687494</v>
      </c>
      <c r="F25" s="306">
        <v>0</v>
      </c>
      <c r="G25" s="306">
        <f t="shared" si="0"/>
        <v>687494</v>
      </c>
    </row>
    <row r="26" spans="1:7" ht="29.25" customHeight="1">
      <c r="A26" s="304" t="s">
        <v>458</v>
      </c>
      <c r="B26" s="304">
        <v>2630</v>
      </c>
      <c r="C26" s="305" t="s">
        <v>493</v>
      </c>
      <c r="D26" s="306">
        <v>96500000</v>
      </c>
      <c r="E26" s="306">
        <v>0</v>
      </c>
      <c r="F26" s="306">
        <v>687494</v>
      </c>
      <c r="G26" s="306">
        <f t="shared" si="0"/>
        <v>95812506</v>
      </c>
    </row>
    <row r="27" spans="1:7" ht="16.5" customHeight="1">
      <c r="A27" s="304" t="s">
        <v>458</v>
      </c>
      <c r="B27" s="304">
        <v>6060</v>
      </c>
      <c r="C27" s="305" t="s">
        <v>494</v>
      </c>
      <c r="D27" s="306">
        <v>11070000</v>
      </c>
      <c r="E27" s="306">
        <v>0</v>
      </c>
      <c r="F27" s="306">
        <v>3690000</v>
      </c>
      <c r="G27" s="306">
        <f t="shared" si="0"/>
        <v>7380000</v>
      </c>
    </row>
    <row r="28" spans="1:7" s="299" customFormat="1" ht="16.5" customHeight="1">
      <c r="A28" s="300">
        <v>60004</v>
      </c>
      <c r="B28" s="300" t="s">
        <v>458</v>
      </c>
      <c r="C28" s="301" t="s">
        <v>189</v>
      </c>
      <c r="D28" s="302">
        <v>14793298</v>
      </c>
      <c r="E28" s="302">
        <f>E29</f>
        <v>2202207</v>
      </c>
      <c r="F28" s="302">
        <v>0</v>
      </c>
      <c r="G28" s="302">
        <f t="shared" si="0"/>
        <v>16995505</v>
      </c>
    </row>
    <row r="29" spans="1:7" ht="42" customHeight="1">
      <c r="A29" s="304" t="s">
        <v>458</v>
      </c>
      <c r="B29" s="304">
        <v>2830</v>
      </c>
      <c r="C29" s="305" t="s">
        <v>495</v>
      </c>
      <c r="D29" s="306">
        <v>14793298</v>
      </c>
      <c r="E29" s="306">
        <v>2202207</v>
      </c>
      <c r="F29" s="306">
        <v>0</v>
      </c>
      <c r="G29" s="306">
        <f t="shared" si="0"/>
        <v>16995505</v>
      </c>
    </row>
    <row r="30" spans="1:7" s="299" customFormat="1" ht="15" customHeight="1">
      <c r="A30" s="300">
        <v>60013</v>
      </c>
      <c r="B30" s="300" t="s">
        <v>458</v>
      </c>
      <c r="C30" s="301" t="s">
        <v>102</v>
      </c>
      <c r="D30" s="302">
        <v>358639841</v>
      </c>
      <c r="E30" s="302">
        <f>SUM(E31:E52)</f>
        <v>26460150</v>
      </c>
      <c r="F30" s="302">
        <f>SUM(F31:F52)</f>
        <v>4803723</v>
      </c>
      <c r="G30" s="302">
        <f t="shared" si="0"/>
        <v>380296268</v>
      </c>
    </row>
    <row r="31" spans="1:7" ht="15" customHeight="1">
      <c r="A31" s="304" t="s">
        <v>458</v>
      </c>
      <c r="B31" s="304">
        <v>4017</v>
      </c>
      <c r="C31" s="305" t="s">
        <v>488</v>
      </c>
      <c r="D31" s="306">
        <v>672004</v>
      </c>
      <c r="E31" s="306">
        <v>8338</v>
      </c>
      <c r="F31" s="306">
        <v>0</v>
      </c>
      <c r="G31" s="306">
        <f t="shared" si="0"/>
        <v>680342</v>
      </c>
    </row>
    <row r="32" spans="1:7" ht="15" customHeight="1">
      <c r="A32" s="304" t="s">
        <v>458</v>
      </c>
      <c r="B32" s="304">
        <v>4019</v>
      </c>
      <c r="C32" s="305" t="s">
        <v>488</v>
      </c>
      <c r="D32" s="306">
        <v>215874</v>
      </c>
      <c r="E32" s="306">
        <v>977</v>
      </c>
      <c r="F32" s="306">
        <v>0</v>
      </c>
      <c r="G32" s="306">
        <f t="shared" si="0"/>
        <v>216851</v>
      </c>
    </row>
    <row r="33" spans="1:7" ht="15" customHeight="1">
      <c r="A33" s="304" t="s">
        <v>458</v>
      </c>
      <c r="B33" s="304">
        <v>4047</v>
      </c>
      <c r="C33" s="305" t="s">
        <v>496</v>
      </c>
      <c r="D33" s="306">
        <v>5930</v>
      </c>
      <c r="E33" s="306">
        <v>0</v>
      </c>
      <c r="F33" s="306">
        <v>550</v>
      </c>
      <c r="G33" s="306">
        <f t="shared" si="0"/>
        <v>5380</v>
      </c>
    </row>
    <row r="34" spans="1:7" ht="15" customHeight="1">
      <c r="A34" s="304" t="s">
        <v>458</v>
      </c>
      <c r="B34" s="304">
        <v>4049</v>
      </c>
      <c r="C34" s="305" t="s">
        <v>496</v>
      </c>
      <c r="D34" s="306">
        <v>1164</v>
      </c>
      <c r="E34" s="306">
        <v>0</v>
      </c>
      <c r="F34" s="306">
        <v>214</v>
      </c>
      <c r="G34" s="306">
        <f t="shared" si="0"/>
        <v>950</v>
      </c>
    </row>
    <row r="35" spans="1:7" ht="15" customHeight="1">
      <c r="A35" s="304" t="s">
        <v>458</v>
      </c>
      <c r="B35" s="304">
        <v>4117</v>
      </c>
      <c r="C35" s="305" t="s">
        <v>489</v>
      </c>
      <c r="D35" s="306">
        <v>119252</v>
      </c>
      <c r="E35" s="306">
        <v>1225</v>
      </c>
      <c r="F35" s="306">
        <v>0</v>
      </c>
      <c r="G35" s="306">
        <f t="shared" si="0"/>
        <v>120477</v>
      </c>
    </row>
    <row r="36" spans="1:7" ht="15" customHeight="1">
      <c r="A36" s="304" t="s">
        <v>458</v>
      </c>
      <c r="B36" s="304">
        <v>4119</v>
      </c>
      <c r="C36" s="305" t="s">
        <v>489</v>
      </c>
      <c r="D36" s="306">
        <v>38234</v>
      </c>
      <c r="E36" s="306">
        <v>110</v>
      </c>
      <c r="F36" s="306">
        <v>0</v>
      </c>
      <c r="G36" s="306">
        <f t="shared" si="0"/>
        <v>38344</v>
      </c>
    </row>
    <row r="37" spans="1:7" ht="15" customHeight="1">
      <c r="A37" s="304" t="s">
        <v>458</v>
      </c>
      <c r="B37" s="304">
        <v>4127</v>
      </c>
      <c r="C37" s="305" t="s">
        <v>490</v>
      </c>
      <c r="D37" s="306">
        <v>16533</v>
      </c>
      <c r="E37" s="306">
        <v>171</v>
      </c>
      <c r="F37" s="306">
        <v>0</v>
      </c>
      <c r="G37" s="306">
        <f t="shared" si="0"/>
        <v>16704</v>
      </c>
    </row>
    <row r="38" spans="1:7" ht="15" customHeight="1">
      <c r="A38" s="304" t="s">
        <v>458</v>
      </c>
      <c r="B38" s="304">
        <v>4129</v>
      </c>
      <c r="C38" s="305" t="s">
        <v>490</v>
      </c>
      <c r="D38" s="306">
        <v>5301</v>
      </c>
      <c r="E38" s="306">
        <v>14</v>
      </c>
      <c r="F38" s="306">
        <v>0</v>
      </c>
      <c r="G38" s="306">
        <f t="shared" si="0"/>
        <v>5315</v>
      </c>
    </row>
    <row r="39" spans="1:7" ht="15" customHeight="1">
      <c r="A39" s="304" t="s">
        <v>458</v>
      </c>
      <c r="B39" s="304">
        <v>4210</v>
      </c>
      <c r="C39" s="305" t="s">
        <v>497</v>
      </c>
      <c r="D39" s="306">
        <v>4771210</v>
      </c>
      <c r="E39" s="306">
        <v>130000</v>
      </c>
      <c r="F39" s="306">
        <v>0</v>
      </c>
      <c r="G39" s="306">
        <f t="shared" si="0"/>
        <v>4901210</v>
      </c>
    </row>
    <row r="40" spans="1:7" ht="15" customHeight="1">
      <c r="A40" s="304" t="s">
        <v>458</v>
      </c>
      <c r="B40" s="304">
        <v>4260</v>
      </c>
      <c r="C40" s="305" t="s">
        <v>498</v>
      </c>
      <c r="D40" s="306">
        <v>550000</v>
      </c>
      <c r="E40" s="306">
        <v>38000</v>
      </c>
      <c r="F40" s="306">
        <v>0</v>
      </c>
      <c r="G40" s="306">
        <f t="shared" si="0"/>
        <v>588000</v>
      </c>
    </row>
    <row r="41" spans="1:7" ht="15" customHeight="1">
      <c r="A41" s="304" t="s">
        <v>458</v>
      </c>
      <c r="B41" s="304">
        <v>4270</v>
      </c>
      <c r="C41" s="305" t="s">
        <v>499</v>
      </c>
      <c r="D41" s="306">
        <v>13631640</v>
      </c>
      <c r="E41" s="306">
        <v>2160000</v>
      </c>
      <c r="F41" s="306">
        <v>0</v>
      </c>
      <c r="G41" s="306">
        <f t="shared" si="0"/>
        <v>15791640</v>
      </c>
    </row>
    <row r="42" spans="1:7" ht="15" customHeight="1">
      <c r="A42" s="304" t="s">
        <v>458</v>
      </c>
      <c r="B42" s="304">
        <v>4300</v>
      </c>
      <c r="C42" s="305" t="s">
        <v>500</v>
      </c>
      <c r="D42" s="306">
        <v>15868408</v>
      </c>
      <c r="E42" s="306">
        <v>4905815</v>
      </c>
      <c r="F42" s="306">
        <v>0</v>
      </c>
      <c r="G42" s="306">
        <f t="shared" si="0"/>
        <v>20774223</v>
      </c>
    </row>
    <row r="43" spans="1:7" ht="15" customHeight="1">
      <c r="A43" s="304" t="s">
        <v>458</v>
      </c>
      <c r="B43" s="304">
        <v>4307</v>
      </c>
      <c r="C43" s="305" t="s">
        <v>500</v>
      </c>
      <c r="D43" s="306">
        <v>67596</v>
      </c>
      <c r="E43" s="306">
        <v>52442</v>
      </c>
      <c r="F43" s="306">
        <v>0</v>
      </c>
      <c r="G43" s="306">
        <f t="shared" si="0"/>
        <v>120038</v>
      </c>
    </row>
    <row r="44" spans="1:7" ht="15" customHeight="1">
      <c r="A44" s="304" t="s">
        <v>458</v>
      </c>
      <c r="B44" s="304">
        <v>4309</v>
      </c>
      <c r="C44" s="305" t="s">
        <v>500</v>
      </c>
      <c r="D44" s="306">
        <v>17938</v>
      </c>
      <c r="E44" s="306">
        <v>7242</v>
      </c>
      <c r="F44" s="306">
        <v>0</v>
      </c>
      <c r="G44" s="306">
        <f t="shared" si="0"/>
        <v>25180</v>
      </c>
    </row>
    <row r="45" spans="1:7" ht="15" customHeight="1">
      <c r="A45" s="304" t="s">
        <v>458</v>
      </c>
      <c r="B45" s="304">
        <v>4430</v>
      </c>
      <c r="C45" s="305" t="s">
        <v>501</v>
      </c>
      <c r="D45" s="306">
        <v>831670</v>
      </c>
      <c r="E45" s="306">
        <v>14768</v>
      </c>
      <c r="F45" s="306">
        <v>0</v>
      </c>
      <c r="G45" s="306">
        <f t="shared" si="0"/>
        <v>846438</v>
      </c>
    </row>
    <row r="46" spans="1:7" ht="15" customHeight="1">
      <c r="A46" s="304" t="s">
        <v>458</v>
      </c>
      <c r="B46" s="304">
        <v>4510</v>
      </c>
      <c r="C46" s="305" t="s">
        <v>502</v>
      </c>
      <c r="D46" s="306">
        <v>11972</v>
      </c>
      <c r="E46" s="306">
        <v>1344</v>
      </c>
      <c r="F46" s="306">
        <v>0</v>
      </c>
      <c r="G46" s="306">
        <f t="shared" si="0"/>
        <v>13316</v>
      </c>
    </row>
    <row r="47" spans="1:7" ht="15" customHeight="1">
      <c r="A47" s="304" t="s">
        <v>458</v>
      </c>
      <c r="B47" s="304">
        <v>4717</v>
      </c>
      <c r="C47" s="305" t="s">
        <v>491</v>
      </c>
      <c r="D47" s="306">
        <v>0</v>
      </c>
      <c r="E47" s="306">
        <v>1071</v>
      </c>
      <c r="F47" s="306">
        <v>0</v>
      </c>
      <c r="G47" s="306">
        <f t="shared" si="0"/>
        <v>1071</v>
      </c>
    </row>
    <row r="48" spans="1:7" ht="15" customHeight="1">
      <c r="A48" s="304" t="s">
        <v>458</v>
      </c>
      <c r="B48" s="304">
        <v>4719</v>
      </c>
      <c r="C48" s="305" t="s">
        <v>491</v>
      </c>
      <c r="D48" s="306">
        <v>0</v>
      </c>
      <c r="E48" s="306">
        <v>188</v>
      </c>
      <c r="F48" s="306">
        <v>0</v>
      </c>
      <c r="G48" s="306">
        <f t="shared" si="0"/>
        <v>188</v>
      </c>
    </row>
    <row r="49" spans="1:7" ht="15" customHeight="1">
      <c r="A49" s="304" t="s">
        <v>458</v>
      </c>
      <c r="B49" s="304">
        <v>6050</v>
      </c>
      <c r="C49" s="305" t="s">
        <v>503</v>
      </c>
      <c r="D49" s="306">
        <v>101920116</v>
      </c>
      <c r="E49" s="306">
        <v>19089923</v>
      </c>
      <c r="F49" s="306">
        <v>0</v>
      </c>
      <c r="G49" s="306">
        <f t="shared" si="0"/>
        <v>121010039</v>
      </c>
    </row>
    <row r="50" spans="1:7" ht="15" customHeight="1">
      <c r="A50" s="304" t="s">
        <v>458</v>
      </c>
      <c r="B50" s="304">
        <v>6057</v>
      </c>
      <c r="C50" s="305" t="s">
        <v>503</v>
      </c>
      <c r="D50" s="306">
        <v>160467208</v>
      </c>
      <c r="E50" s="306">
        <v>0</v>
      </c>
      <c r="F50" s="306">
        <v>4402959</v>
      </c>
      <c r="G50" s="306">
        <f t="shared" si="0"/>
        <v>156064249</v>
      </c>
    </row>
    <row r="51" spans="1:7" ht="15" customHeight="1">
      <c r="A51" s="304" t="s">
        <v>458</v>
      </c>
      <c r="B51" s="304">
        <v>6059</v>
      </c>
      <c r="C51" s="305" t="s">
        <v>503</v>
      </c>
      <c r="D51" s="306">
        <v>34114281</v>
      </c>
      <c r="E51" s="306">
        <v>48522</v>
      </c>
      <c r="F51" s="306">
        <v>0</v>
      </c>
      <c r="G51" s="306">
        <f t="shared" si="0"/>
        <v>34162803</v>
      </c>
    </row>
    <row r="52" spans="1:7" ht="15" customHeight="1">
      <c r="A52" s="304" t="s">
        <v>458</v>
      </c>
      <c r="B52" s="304">
        <v>6060</v>
      </c>
      <c r="C52" s="305" t="s">
        <v>494</v>
      </c>
      <c r="D52" s="306">
        <v>6100000</v>
      </c>
      <c r="E52" s="306">
        <v>0</v>
      </c>
      <c r="F52" s="306">
        <v>400000</v>
      </c>
      <c r="G52" s="306">
        <f t="shared" si="0"/>
        <v>5700000</v>
      </c>
    </row>
    <row r="53" spans="1:7" s="299" customFormat="1" ht="15" customHeight="1">
      <c r="A53" s="296">
        <v>700</v>
      </c>
      <c r="B53" s="296" t="s">
        <v>458</v>
      </c>
      <c r="C53" s="297" t="s">
        <v>15</v>
      </c>
      <c r="D53" s="298">
        <v>877895</v>
      </c>
      <c r="E53" s="298">
        <f>E54</f>
        <v>84993</v>
      </c>
      <c r="F53" s="298">
        <v>0</v>
      </c>
      <c r="G53" s="298">
        <f t="shared" si="0"/>
        <v>962888</v>
      </c>
    </row>
    <row r="54" spans="1:7" s="299" customFormat="1" ht="15" customHeight="1">
      <c r="A54" s="300">
        <v>70005</v>
      </c>
      <c r="B54" s="300" t="s">
        <v>458</v>
      </c>
      <c r="C54" s="301" t="s">
        <v>106</v>
      </c>
      <c r="D54" s="302">
        <v>877895</v>
      </c>
      <c r="E54" s="302">
        <f>E55</f>
        <v>84993</v>
      </c>
      <c r="F54" s="302">
        <v>0</v>
      </c>
      <c r="G54" s="302">
        <f t="shared" si="0"/>
        <v>962888</v>
      </c>
    </row>
    <row r="55" spans="1:7" ht="25.5" customHeight="1">
      <c r="A55" s="308" t="s">
        <v>458</v>
      </c>
      <c r="B55" s="308">
        <v>6050</v>
      </c>
      <c r="C55" s="309" t="s">
        <v>503</v>
      </c>
      <c r="D55" s="310">
        <v>105395</v>
      </c>
      <c r="E55" s="310">
        <v>84993</v>
      </c>
      <c r="F55" s="310">
        <v>0</v>
      </c>
      <c r="G55" s="310">
        <f t="shared" si="0"/>
        <v>190388</v>
      </c>
    </row>
    <row r="56" spans="1:7" s="299" customFormat="1" ht="15" customHeight="1">
      <c r="A56" s="296">
        <v>720</v>
      </c>
      <c r="B56" s="296" t="s">
        <v>458</v>
      </c>
      <c r="C56" s="297" t="s">
        <v>62</v>
      </c>
      <c r="D56" s="298">
        <v>108478893</v>
      </c>
      <c r="E56" s="298">
        <f>E57</f>
        <v>2417561</v>
      </c>
      <c r="F56" s="298">
        <v>0</v>
      </c>
      <c r="G56" s="298">
        <f t="shared" si="0"/>
        <v>110896454</v>
      </c>
    </row>
    <row r="57" spans="1:7" s="299" customFormat="1" ht="15" customHeight="1">
      <c r="A57" s="300">
        <v>72095</v>
      </c>
      <c r="B57" s="300" t="s">
        <v>458</v>
      </c>
      <c r="C57" s="301" t="s">
        <v>43</v>
      </c>
      <c r="D57" s="302">
        <v>108478893</v>
      </c>
      <c r="E57" s="302">
        <f>E58</f>
        <v>2417561</v>
      </c>
      <c r="F57" s="302">
        <v>0</v>
      </c>
      <c r="G57" s="302">
        <f t="shared" si="0"/>
        <v>110896454</v>
      </c>
    </row>
    <row r="58" spans="1:7" ht="15" customHeight="1">
      <c r="A58" s="304" t="s">
        <v>458</v>
      </c>
      <c r="B58" s="304">
        <v>4150</v>
      </c>
      <c r="C58" s="305" t="s">
        <v>504</v>
      </c>
      <c r="D58" s="306">
        <v>0</v>
      </c>
      <c r="E58" s="306">
        <v>2417561</v>
      </c>
      <c r="F58" s="306">
        <v>0</v>
      </c>
      <c r="G58" s="306">
        <f t="shared" si="0"/>
        <v>2417561</v>
      </c>
    </row>
    <row r="59" spans="1:7" s="299" customFormat="1" ht="15" customHeight="1">
      <c r="A59" s="296">
        <v>730</v>
      </c>
      <c r="B59" s="296" t="s">
        <v>458</v>
      </c>
      <c r="C59" s="297" t="s">
        <v>191</v>
      </c>
      <c r="D59" s="298">
        <v>3650000</v>
      </c>
      <c r="E59" s="298">
        <f>E60</f>
        <v>100000</v>
      </c>
      <c r="F59" s="298">
        <v>0</v>
      </c>
      <c r="G59" s="298">
        <f t="shared" si="0"/>
        <v>3750000</v>
      </c>
    </row>
    <row r="60" spans="1:7" s="299" customFormat="1" ht="15" customHeight="1">
      <c r="A60" s="300">
        <v>73095</v>
      </c>
      <c r="B60" s="300" t="s">
        <v>458</v>
      </c>
      <c r="C60" s="301" t="s">
        <v>43</v>
      </c>
      <c r="D60" s="302">
        <v>3450000</v>
      </c>
      <c r="E60" s="302">
        <f>E61</f>
        <v>100000</v>
      </c>
      <c r="F60" s="302">
        <v>0</v>
      </c>
      <c r="G60" s="302">
        <f t="shared" si="0"/>
        <v>3550000</v>
      </c>
    </row>
    <row r="61" spans="1:7" ht="15" customHeight="1">
      <c r="A61" s="308" t="s">
        <v>458</v>
      </c>
      <c r="B61" s="308">
        <v>6010</v>
      </c>
      <c r="C61" s="309" t="s">
        <v>486</v>
      </c>
      <c r="D61" s="310">
        <v>0</v>
      </c>
      <c r="E61" s="310">
        <v>100000</v>
      </c>
      <c r="F61" s="310">
        <v>0</v>
      </c>
      <c r="G61" s="310">
        <f t="shared" si="0"/>
        <v>100000</v>
      </c>
    </row>
    <row r="62" spans="1:7" s="299" customFormat="1" ht="15" customHeight="1">
      <c r="A62" s="296">
        <v>750</v>
      </c>
      <c r="B62" s="296" t="s">
        <v>458</v>
      </c>
      <c r="C62" s="297" t="s">
        <v>21</v>
      </c>
      <c r="D62" s="298">
        <v>146616037</v>
      </c>
      <c r="E62" s="298">
        <f>E63+E69+E72</f>
        <v>1230488</v>
      </c>
      <c r="F62" s="298">
        <f>F63+F69+F72</f>
        <v>8679186</v>
      </c>
      <c r="G62" s="298">
        <f t="shared" si="0"/>
        <v>139167339</v>
      </c>
    </row>
    <row r="63" spans="1:7" s="299" customFormat="1" ht="15" customHeight="1">
      <c r="A63" s="300">
        <v>75018</v>
      </c>
      <c r="B63" s="300" t="s">
        <v>458</v>
      </c>
      <c r="C63" s="301" t="s">
        <v>112</v>
      </c>
      <c r="D63" s="302">
        <v>112311489</v>
      </c>
      <c r="E63" s="302">
        <f>SUM(E64:E68)</f>
        <v>788240</v>
      </c>
      <c r="F63" s="302">
        <f>SUM(F64:F68)</f>
        <v>8342165</v>
      </c>
      <c r="G63" s="302">
        <f t="shared" si="0"/>
        <v>104757564</v>
      </c>
    </row>
    <row r="64" spans="1:7" ht="15" customHeight="1">
      <c r="A64" s="304" t="s">
        <v>458</v>
      </c>
      <c r="B64" s="304">
        <v>4278</v>
      </c>
      <c r="C64" s="305" t="s">
        <v>499</v>
      </c>
      <c r="D64" s="306">
        <v>116450</v>
      </c>
      <c r="E64" s="306">
        <v>500004</v>
      </c>
      <c r="F64" s="306">
        <v>0</v>
      </c>
      <c r="G64" s="306">
        <f t="shared" si="0"/>
        <v>616454</v>
      </c>
    </row>
    <row r="65" spans="1:7" ht="15" customHeight="1">
      <c r="A65" s="304" t="s">
        <v>458</v>
      </c>
      <c r="B65" s="304">
        <v>4279</v>
      </c>
      <c r="C65" s="305" t="s">
        <v>499</v>
      </c>
      <c r="D65" s="306">
        <v>20550</v>
      </c>
      <c r="E65" s="306">
        <v>88236</v>
      </c>
      <c r="F65" s="306">
        <v>0</v>
      </c>
      <c r="G65" s="306">
        <f t="shared" si="0"/>
        <v>108786</v>
      </c>
    </row>
    <row r="66" spans="1:7" ht="15" customHeight="1">
      <c r="A66" s="304" t="s">
        <v>458</v>
      </c>
      <c r="B66" s="304">
        <v>4308</v>
      </c>
      <c r="C66" s="305" t="s">
        <v>500</v>
      </c>
      <c r="D66" s="306">
        <v>11471879</v>
      </c>
      <c r="E66" s="306">
        <v>0</v>
      </c>
      <c r="F66" s="306">
        <v>7090840</v>
      </c>
      <c r="G66" s="306">
        <f t="shared" si="0"/>
        <v>4381039</v>
      </c>
    </row>
    <row r="67" spans="1:7" ht="15" customHeight="1">
      <c r="A67" s="304" t="s">
        <v>458</v>
      </c>
      <c r="B67" s="304">
        <v>4309</v>
      </c>
      <c r="C67" s="305" t="s">
        <v>500</v>
      </c>
      <c r="D67" s="306">
        <v>2024450</v>
      </c>
      <c r="E67" s="306">
        <v>0</v>
      </c>
      <c r="F67" s="306">
        <v>1251325</v>
      </c>
      <c r="G67" s="306">
        <f t="shared" si="0"/>
        <v>773125</v>
      </c>
    </row>
    <row r="68" spans="1:7" ht="15" customHeight="1">
      <c r="A68" s="304" t="s">
        <v>458</v>
      </c>
      <c r="B68" s="304">
        <v>6060</v>
      </c>
      <c r="C68" s="305" t="s">
        <v>494</v>
      </c>
      <c r="D68" s="306">
        <v>543050</v>
      </c>
      <c r="E68" s="306">
        <v>200000</v>
      </c>
      <c r="F68" s="306">
        <v>0</v>
      </c>
      <c r="G68" s="306">
        <f t="shared" si="0"/>
        <v>743050</v>
      </c>
    </row>
    <row r="69" spans="1:7" s="299" customFormat="1" ht="15" customHeight="1">
      <c r="A69" s="300">
        <v>75075</v>
      </c>
      <c r="B69" s="300" t="s">
        <v>458</v>
      </c>
      <c r="C69" s="301" t="s">
        <v>116</v>
      </c>
      <c r="D69" s="302">
        <v>28150480</v>
      </c>
      <c r="E69" s="302">
        <f>SUM(E70:E71)</f>
        <v>0</v>
      </c>
      <c r="F69" s="302">
        <f>SUM(F70:F71)</f>
        <v>337021</v>
      </c>
      <c r="G69" s="302">
        <f t="shared" si="0"/>
        <v>27813459</v>
      </c>
    </row>
    <row r="70" spans="1:7" ht="15" customHeight="1">
      <c r="A70" s="304" t="s">
        <v>458</v>
      </c>
      <c r="B70" s="304">
        <v>4307</v>
      </c>
      <c r="C70" s="305" t="s">
        <v>500</v>
      </c>
      <c r="D70" s="306">
        <v>15295979</v>
      </c>
      <c r="E70" s="306">
        <v>0</v>
      </c>
      <c r="F70" s="306">
        <v>237021</v>
      </c>
      <c r="G70" s="306">
        <f t="shared" si="0"/>
        <v>15058958</v>
      </c>
    </row>
    <row r="71" spans="1:7" ht="15" customHeight="1">
      <c r="A71" s="304" t="s">
        <v>458</v>
      </c>
      <c r="B71" s="304">
        <v>4309</v>
      </c>
      <c r="C71" s="305" t="s">
        <v>500</v>
      </c>
      <c r="D71" s="306">
        <v>3217153</v>
      </c>
      <c r="E71" s="306">
        <v>0</v>
      </c>
      <c r="F71" s="306">
        <v>100000</v>
      </c>
      <c r="G71" s="306">
        <f t="shared" si="0"/>
        <v>3117153</v>
      </c>
    </row>
    <row r="72" spans="1:7" s="299" customFormat="1" ht="15" customHeight="1">
      <c r="A72" s="300">
        <v>75095</v>
      </c>
      <c r="B72" s="300" t="s">
        <v>458</v>
      </c>
      <c r="C72" s="301" t="s">
        <v>43</v>
      </c>
      <c r="D72" s="302">
        <v>4008068</v>
      </c>
      <c r="E72" s="302">
        <f>SUM(E73:E83)</f>
        <v>442248</v>
      </c>
      <c r="F72" s="302">
        <f>SUM(F73:F83)</f>
        <v>0</v>
      </c>
      <c r="G72" s="302">
        <f t="shared" si="0"/>
        <v>4450316</v>
      </c>
    </row>
    <row r="73" spans="1:7" ht="15" customHeight="1">
      <c r="A73" s="304" t="s">
        <v>458</v>
      </c>
      <c r="B73" s="304">
        <v>4018</v>
      </c>
      <c r="C73" s="305" t="s">
        <v>488</v>
      </c>
      <c r="D73" s="306">
        <v>972915</v>
      </c>
      <c r="E73" s="306">
        <v>20742</v>
      </c>
      <c r="F73" s="306">
        <v>0</v>
      </c>
      <c r="G73" s="306">
        <f t="shared" si="0"/>
        <v>993657</v>
      </c>
    </row>
    <row r="74" spans="1:7" ht="15" customHeight="1">
      <c r="A74" s="304" t="s">
        <v>458</v>
      </c>
      <c r="B74" s="304">
        <v>4019</v>
      </c>
      <c r="C74" s="305" t="s">
        <v>488</v>
      </c>
      <c r="D74" s="306">
        <v>180988</v>
      </c>
      <c r="E74" s="306">
        <v>3660</v>
      </c>
      <c r="F74" s="306">
        <v>0</v>
      </c>
      <c r="G74" s="306">
        <f t="shared" si="0"/>
        <v>184648</v>
      </c>
    </row>
    <row r="75" spans="1:7" ht="15" customHeight="1">
      <c r="A75" s="304" t="s">
        <v>458</v>
      </c>
      <c r="B75" s="304">
        <v>4118</v>
      </c>
      <c r="C75" s="305" t="s">
        <v>489</v>
      </c>
      <c r="D75" s="306">
        <v>174971</v>
      </c>
      <c r="E75" s="306">
        <v>4437</v>
      </c>
      <c r="F75" s="306">
        <v>0</v>
      </c>
      <c r="G75" s="306">
        <f t="shared" si="0"/>
        <v>179408</v>
      </c>
    </row>
    <row r="76" spans="1:7" ht="15" customHeight="1">
      <c r="A76" s="304" t="s">
        <v>458</v>
      </c>
      <c r="B76" s="304">
        <v>4119</v>
      </c>
      <c r="C76" s="305" t="s">
        <v>489</v>
      </c>
      <c r="D76" s="306">
        <v>34380</v>
      </c>
      <c r="E76" s="306">
        <v>783</v>
      </c>
      <c r="F76" s="306">
        <v>0</v>
      </c>
      <c r="G76" s="306">
        <f t="shared" ref="G76:G139" si="1">D76+E76-F76</f>
        <v>35163</v>
      </c>
    </row>
    <row r="77" spans="1:7" ht="15" customHeight="1">
      <c r="A77" s="304" t="s">
        <v>458</v>
      </c>
      <c r="B77" s="304">
        <v>4128</v>
      </c>
      <c r="C77" s="305" t="s">
        <v>490</v>
      </c>
      <c r="D77" s="306">
        <v>18045</v>
      </c>
      <c r="E77" s="306">
        <v>632</v>
      </c>
      <c r="F77" s="306">
        <v>0</v>
      </c>
      <c r="G77" s="306">
        <f t="shared" si="1"/>
        <v>18677</v>
      </c>
    </row>
    <row r="78" spans="1:7" ht="15" customHeight="1">
      <c r="A78" s="304" t="s">
        <v>458</v>
      </c>
      <c r="B78" s="304">
        <v>4129</v>
      </c>
      <c r="C78" s="305" t="s">
        <v>490</v>
      </c>
      <c r="D78" s="306">
        <v>3441</v>
      </c>
      <c r="E78" s="306">
        <v>112</v>
      </c>
      <c r="F78" s="306">
        <v>0</v>
      </c>
      <c r="G78" s="306">
        <f t="shared" si="1"/>
        <v>3553</v>
      </c>
    </row>
    <row r="79" spans="1:7" ht="15" customHeight="1">
      <c r="A79" s="304" t="s">
        <v>458</v>
      </c>
      <c r="B79" s="304">
        <v>4217</v>
      </c>
      <c r="C79" s="305" t="s">
        <v>497</v>
      </c>
      <c r="D79" s="306">
        <v>0</v>
      </c>
      <c r="E79" s="306">
        <v>8317</v>
      </c>
      <c r="F79" s="306">
        <v>0</v>
      </c>
      <c r="G79" s="306">
        <f t="shared" si="1"/>
        <v>8317</v>
      </c>
    </row>
    <row r="80" spans="1:7" ht="15" customHeight="1">
      <c r="A80" s="304" t="s">
        <v>458</v>
      </c>
      <c r="B80" s="304">
        <v>4219</v>
      </c>
      <c r="C80" s="305" t="s">
        <v>497</v>
      </c>
      <c r="D80" s="306">
        <v>1540</v>
      </c>
      <c r="E80" s="306">
        <v>565</v>
      </c>
      <c r="F80" s="306">
        <v>0</v>
      </c>
      <c r="G80" s="306">
        <f t="shared" si="1"/>
        <v>2105</v>
      </c>
    </row>
    <row r="81" spans="1:7" ht="15" customHeight="1">
      <c r="A81" s="304" t="s">
        <v>458</v>
      </c>
      <c r="B81" s="304">
        <v>4300</v>
      </c>
      <c r="C81" s="305" t="s">
        <v>500</v>
      </c>
      <c r="D81" s="306">
        <v>1203180</v>
      </c>
      <c r="E81" s="306">
        <v>350000</v>
      </c>
      <c r="F81" s="306">
        <v>0</v>
      </c>
      <c r="G81" s="306">
        <f t="shared" si="1"/>
        <v>1553180</v>
      </c>
    </row>
    <row r="82" spans="1:7" ht="15" customHeight="1">
      <c r="A82" s="304" t="s">
        <v>458</v>
      </c>
      <c r="B82" s="304">
        <v>4307</v>
      </c>
      <c r="C82" s="305" t="s">
        <v>500</v>
      </c>
      <c r="D82" s="306">
        <v>0</v>
      </c>
      <c r="E82" s="306">
        <v>49633</v>
      </c>
      <c r="F82" s="306">
        <v>0</v>
      </c>
      <c r="G82" s="306">
        <f t="shared" si="1"/>
        <v>49633</v>
      </c>
    </row>
    <row r="83" spans="1:7" ht="15" customHeight="1">
      <c r="A83" s="304" t="s">
        <v>458</v>
      </c>
      <c r="B83" s="304">
        <v>4309</v>
      </c>
      <c r="C83" s="305" t="s">
        <v>500</v>
      </c>
      <c r="D83" s="306">
        <v>75593</v>
      </c>
      <c r="E83" s="306">
        <v>3367</v>
      </c>
      <c r="F83" s="306">
        <v>0</v>
      </c>
      <c r="G83" s="306">
        <f t="shared" si="1"/>
        <v>78960</v>
      </c>
    </row>
    <row r="84" spans="1:7" s="299" customFormat="1" ht="15" customHeight="1">
      <c r="A84" s="296">
        <v>801</v>
      </c>
      <c r="B84" s="296" t="s">
        <v>458</v>
      </c>
      <c r="C84" s="297" t="s">
        <v>24</v>
      </c>
      <c r="D84" s="298">
        <v>91373855</v>
      </c>
      <c r="E84" s="298">
        <f>E85+E94+E96</f>
        <v>1437060</v>
      </c>
      <c r="F84" s="298">
        <f>F85+F94+F96</f>
        <v>3609</v>
      </c>
      <c r="G84" s="298">
        <f t="shared" si="1"/>
        <v>92807306</v>
      </c>
    </row>
    <row r="85" spans="1:7" s="299" customFormat="1" ht="15" customHeight="1">
      <c r="A85" s="300">
        <v>80105</v>
      </c>
      <c r="B85" s="300" t="s">
        <v>458</v>
      </c>
      <c r="C85" s="301" t="s">
        <v>133</v>
      </c>
      <c r="D85" s="302">
        <v>1180116</v>
      </c>
      <c r="E85" s="302">
        <f>SUM(E86:E93)</f>
        <v>207681</v>
      </c>
      <c r="F85" s="302">
        <f>SUM(F86:F93)</f>
        <v>0</v>
      </c>
      <c r="G85" s="302">
        <f t="shared" si="1"/>
        <v>1387797</v>
      </c>
    </row>
    <row r="86" spans="1:7" ht="15" customHeight="1">
      <c r="A86" s="304" t="s">
        <v>458</v>
      </c>
      <c r="B86" s="304">
        <v>4017</v>
      </c>
      <c r="C86" s="305" t="s">
        <v>488</v>
      </c>
      <c r="D86" s="306">
        <v>477075</v>
      </c>
      <c r="E86" s="306">
        <v>146682</v>
      </c>
      <c r="F86" s="306">
        <v>0</v>
      </c>
      <c r="G86" s="306">
        <f t="shared" si="1"/>
        <v>623757</v>
      </c>
    </row>
    <row r="87" spans="1:7" ht="15" customHeight="1">
      <c r="A87" s="304" t="s">
        <v>458</v>
      </c>
      <c r="B87" s="304">
        <v>4019</v>
      </c>
      <c r="C87" s="305" t="s">
        <v>488</v>
      </c>
      <c r="D87" s="306">
        <v>84190</v>
      </c>
      <c r="E87" s="306">
        <v>25885</v>
      </c>
      <c r="F87" s="306">
        <v>0</v>
      </c>
      <c r="G87" s="306">
        <f t="shared" si="1"/>
        <v>110075</v>
      </c>
    </row>
    <row r="88" spans="1:7" ht="15" customHeight="1">
      <c r="A88" s="304" t="s">
        <v>458</v>
      </c>
      <c r="B88" s="304">
        <v>4117</v>
      </c>
      <c r="C88" s="305" t="s">
        <v>489</v>
      </c>
      <c r="D88" s="306">
        <v>78547</v>
      </c>
      <c r="E88" s="306">
        <v>25214</v>
      </c>
      <c r="F88" s="306">
        <v>0</v>
      </c>
      <c r="G88" s="306">
        <f t="shared" si="1"/>
        <v>103761</v>
      </c>
    </row>
    <row r="89" spans="1:7" ht="15" customHeight="1">
      <c r="A89" s="304" t="s">
        <v>458</v>
      </c>
      <c r="B89" s="304">
        <v>4119</v>
      </c>
      <c r="C89" s="305" t="s">
        <v>489</v>
      </c>
      <c r="D89" s="306">
        <v>13861</v>
      </c>
      <c r="E89" s="306">
        <v>4450</v>
      </c>
      <c r="F89" s="306">
        <v>0</v>
      </c>
      <c r="G89" s="306">
        <f t="shared" si="1"/>
        <v>18311</v>
      </c>
    </row>
    <row r="90" spans="1:7" ht="15" customHeight="1">
      <c r="A90" s="304" t="s">
        <v>458</v>
      </c>
      <c r="B90" s="304">
        <v>4127</v>
      </c>
      <c r="C90" s="305" t="s">
        <v>490</v>
      </c>
      <c r="D90" s="306">
        <v>11182</v>
      </c>
      <c r="E90" s="306">
        <v>3594</v>
      </c>
      <c r="F90" s="306">
        <v>0</v>
      </c>
      <c r="G90" s="306">
        <f t="shared" si="1"/>
        <v>14776</v>
      </c>
    </row>
    <row r="91" spans="1:7" ht="15" customHeight="1">
      <c r="A91" s="304" t="s">
        <v>458</v>
      </c>
      <c r="B91" s="304">
        <v>4129</v>
      </c>
      <c r="C91" s="305" t="s">
        <v>490</v>
      </c>
      <c r="D91" s="306">
        <v>1973</v>
      </c>
      <c r="E91" s="306">
        <v>634</v>
      </c>
      <c r="F91" s="306">
        <v>0</v>
      </c>
      <c r="G91" s="306">
        <f t="shared" si="1"/>
        <v>2607</v>
      </c>
    </row>
    <row r="92" spans="1:7" ht="15" customHeight="1">
      <c r="A92" s="304" t="s">
        <v>458</v>
      </c>
      <c r="B92" s="304">
        <v>4307</v>
      </c>
      <c r="C92" s="305" t="s">
        <v>500</v>
      </c>
      <c r="D92" s="306">
        <v>55202</v>
      </c>
      <c r="E92" s="306">
        <v>1039</v>
      </c>
      <c r="F92" s="306">
        <v>0</v>
      </c>
      <c r="G92" s="306">
        <f t="shared" si="1"/>
        <v>56241</v>
      </c>
    </row>
    <row r="93" spans="1:7" ht="15" customHeight="1">
      <c r="A93" s="304" t="s">
        <v>458</v>
      </c>
      <c r="B93" s="304">
        <v>4309</v>
      </c>
      <c r="C93" s="305" t="s">
        <v>500</v>
      </c>
      <c r="D93" s="306">
        <v>9742</v>
      </c>
      <c r="E93" s="306">
        <v>183</v>
      </c>
      <c r="F93" s="306">
        <v>0</v>
      </c>
      <c r="G93" s="306">
        <f t="shared" si="1"/>
        <v>9925</v>
      </c>
    </row>
    <row r="94" spans="1:7" s="299" customFormat="1" ht="27.75" customHeight="1">
      <c r="A94" s="300">
        <v>80140</v>
      </c>
      <c r="B94" s="300" t="s">
        <v>458</v>
      </c>
      <c r="C94" s="301" t="s">
        <v>196</v>
      </c>
      <c r="D94" s="302">
        <v>13523010</v>
      </c>
      <c r="E94" s="302">
        <f>E95</f>
        <v>1200000</v>
      </c>
      <c r="F94" s="302">
        <v>0</v>
      </c>
      <c r="G94" s="302">
        <f t="shared" si="1"/>
        <v>14723010</v>
      </c>
    </row>
    <row r="95" spans="1:7" ht="15" customHeight="1">
      <c r="A95" s="304" t="s">
        <v>458</v>
      </c>
      <c r="B95" s="304">
        <v>6050</v>
      </c>
      <c r="C95" s="305" t="s">
        <v>503</v>
      </c>
      <c r="D95" s="306">
        <v>2142546</v>
      </c>
      <c r="E95" s="306">
        <v>1200000</v>
      </c>
      <c r="F95" s="306">
        <v>0</v>
      </c>
      <c r="G95" s="306">
        <f t="shared" si="1"/>
        <v>3342546</v>
      </c>
    </row>
    <row r="96" spans="1:7" s="299" customFormat="1" ht="15" customHeight="1">
      <c r="A96" s="300">
        <v>80195</v>
      </c>
      <c r="B96" s="300" t="s">
        <v>458</v>
      </c>
      <c r="C96" s="301" t="s">
        <v>43</v>
      </c>
      <c r="D96" s="302">
        <v>7599780</v>
      </c>
      <c r="E96" s="302">
        <f>SUM(E97:E109)</f>
        <v>29379</v>
      </c>
      <c r="F96" s="302">
        <f>SUM(F97:F109)</f>
        <v>3609</v>
      </c>
      <c r="G96" s="302">
        <f t="shared" si="1"/>
        <v>7625550</v>
      </c>
    </row>
    <row r="97" spans="1:7" ht="15" customHeight="1">
      <c r="A97" s="304" t="s">
        <v>458</v>
      </c>
      <c r="B97" s="304">
        <v>4117</v>
      </c>
      <c r="C97" s="305" t="s">
        <v>489</v>
      </c>
      <c r="D97" s="306">
        <v>35809</v>
      </c>
      <c r="E97" s="306">
        <v>0</v>
      </c>
      <c r="F97" s="306">
        <v>2616</v>
      </c>
      <c r="G97" s="306">
        <f t="shared" si="1"/>
        <v>33193</v>
      </c>
    </row>
    <row r="98" spans="1:7" ht="15" customHeight="1">
      <c r="A98" s="304" t="s">
        <v>458</v>
      </c>
      <c r="B98" s="304">
        <v>4119</v>
      </c>
      <c r="C98" s="305" t="s">
        <v>489</v>
      </c>
      <c r="D98" s="306">
        <v>2855</v>
      </c>
      <c r="E98" s="306">
        <v>0</v>
      </c>
      <c r="F98" s="306">
        <v>488</v>
      </c>
      <c r="G98" s="306">
        <f t="shared" si="1"/>
        <v>2367</v>
      </c>
    </row>
    <row r="99" spans="1:7" ht="15" customHeight="1">
      <c r="A99" s="304" t="s">
        <v>458</v>
      </c>
      <c r="B99" s="304">
        <v>4127</v>
      </c>
      <c r="C99" s="305" t="s">
        <v>490</v>
      </c>
      <c r="D99" s="306">
        <v>4919</v>
      </c>
      <c r="E99" s="306">
        <v>0</v>
      </c>
      <c r="F99" s="306">
        <v>426</v>
      </c>
      <c r="G99" s="306">
        <f t="shared" si="1"/>
        <v>4493</v>
      </c>
    </row>
    <row r="100" spans="1:7" ht="15" customHeight="1">
      <c r="A100" s="304" t="s">
        <v>458</v>
      </c>
      <c r="B100" s="304">
        <v>4129</v>
      </c>
      <c r="C100" s="305" t="s">
        <v>490</v>
      </c>
      <c r="D100" s="306">
        <v>373</v>
      </c>
      <c r="E100" s="306">
        <v>0</v>
      </c>
      <c r="F100" s="306">
        <v>79</v>
      </c>
      <c r="G100" s="306">
        <f t="shared" si="1"/>
        <v>294</v>
      </c>
    </row>
    <row r="101" spans="1:7" ht="15" customHeight="1">
      <c r="A101" s="304" t="s">
        <v>458</v>
      </c>
      <c r="B101" s="304">
        <v>4177</v>
      </c>
      <c r="C101" s="305" t="s">
        <v>505</v>
      </c>
      <c r="D101" s="306">
        <v>45367</v>
      </c>
      <c r="E101" s="306">
        <v>18014</v>
      </c>
      <c r="F101" s="306">
        <v>0</v>
      </c>
      <c r="G101" s="306">
        <f t="shared" si="1"/>
        <v>63381</v>
      </c>
    </row>
    <row r="102" spans="1:7" ht="15" customHeight="1">
      <c r="A102" s="304" t="s">
        <v>458</v>
      </c>
      <c r="B102" s="304">
        <v>4179</v>
      </c>
      <c r="C102" s="305" t="s">
        <v>505</v>
      </c>
      <c r="D102" s="306">
        <v>8089</v>
      </c>
      <c r="E102" s="306">
        <v>3360</v>
      </c>
      <c r="F102" s="306">
        <v>0</v>
      </c>
      <c r="G102" s="306">
        <f t="shared" si="1"/>
        <v>11449</v>
      </c>
    </row>
    <row r="103" spans="1:7" ht="15" customHeight="1">
      <c r="A103" s="304" t="s">
        <v>458</v>
      </c>
      <c r="B103" s="304">
        <v>4227</v>
      </c>
      <c r="C103" s="305" t="s">
        <v>506</v>
      </c>
      <c r="D103" s="306">
        <v>6658</v>
      </c>
      <c r="E103" s="306">
        <v>886</v>
      </c>
      <c r="F103" s="306">
        <v>0</v>
      </c>
      <c r="G103" s="306">
        <f t="shared" si="1"/>
        <v>7544</v>
      </c>
    </row>
    <row r="104" spans="1:7" ht="15" customHeight="1">
      <c r="A104" s="304" t="s">
        <v>458</v>
      </c>
      <c r="B104" s="304">
        <v>4229</v>
      </c>
      <c r="C104" s="305" t="s">
        <v>506</v>
      </c>
      <c r="D104" s="306">
        <v>1242</v>
      </c>
      <c r="E104" s="306">
        <v>165</v>
      </c>
      <c r="F104" s="306">
        <v>0</v>
      </c>
      <c r="G104" s="306">
        <f t="shared" si="1"/>
        <v>1407</v>
      </c>
    </row>
    <row r="105" spans="1:7" ht="15" customHeight="1">
      <c r="A105" s="304" t="s">
        <v>458</v>
      </c>
      <c r="B105" s="304">
        <v>4247</v>
      </c>
      <c r="C105" s="305" t="s">
        <v>507</v>
      </c>
      <c r="D105" s="306">
        <v>15760</v>
      </c>
      <c r="E105" s="306">
        <v>1410</v>
      </c>
      <c r="F105" s="306">
        <v>0</v>
      </c>
      <c r="G105" s="306">
        <f t="shared" si="1"/>
        <v>17170</v>
      </c>
    </row>
    <row r="106" spans="1:7" ht="15" customHeight="1">
      <c r="A106" s="304" t="s">
        <v>458</v>
      </c>
      <c r="B106" s="304">
        <v>4249</v>
      </c>
      <c r="C106" s="305" t="s">
        <v>507</v>
      </c>
      <c r="D106" s="306">
        <v>2939</v>
      </c>
      <c r="E106" s="306">
        <v>263</v>
      </c>
      <c r="F106" s="306">
        <v>0</v>
      </c>
      <c r="G106" s="306">
        <f t="shared" si="1"/>
        <v>3202</v>
      </c>
    </row>
    <row r="107" spans="1:7" ht="15" customHeight="1">
      <c r="A107" s="304" t="s">
        <v>458</v>
      </c>
      <c r="B107" s="304">
        <v>4307</v>
      </c>
      <c r="C107" s="305" t="s">
        <v>500</v>
      </c>
      <c r="D107" s="306">
        <v>587870</v>
      </c>
      <c r="E107" s="306">
        <v>1080</v>
      </c>
      <c r="F107" s="306">
        <v>0</v>
      </c>
      <c r="G107" s="306">
        <f t="shared" si="1"/>
        <v>588950</v>
      </c>
    </row>
    <row r="108" spans="1:7" ht="15" customHeight="1">
      <c r="A108" s="304" t="s">
        <v>458</v>
      </c>
      <c r="B108" s="304">
        <v>4309</v>
      </c>
      <c r="C108" s="305" t="s">
        <v>500</v>
      </c>
      <c r="D108" s="306">
        <v>56933</v>
      </c>
      <c r="E108" s="306">
        <v>201</v>
      </c>
      <c r="F108" s="306">
        <v>0</v>
      </c>
      <c r="G108" s="306">
        <f t="shared" si="1"/>
        <v>57134</v>
      </c>
    </row>
    <row r="109" spans="1:7" ht="67.5" customHeight="1">
      <c r="A109" s="304" t="s">
        <v>458</v>
      </c>
      <c r="B109" s="304">
        <v>6209</v>
      </c>
      <c r="C109" s="305" t="s">
        <v>508</v>
      </c>
      <c r="D109" s="306">
        <v>37000</v>
      </c>
      <c r="E109" s="306">
        <v>4000</v>
      </c>
      <c r="F109" s="306">
        <v>0</v>
      </c>
      <c r="G109" s="306">
        <f t="shared" si="1"/>
        <v>41000</v>
      </c>
    </row>
    <row r="110" spans="1:7" s="299" customFormat="1" ht="15" customHeight="1">
      <c r="A110" s="296">
        <v>851</v>
      </c>
      <c r="B110" s="296" t="s">
        <v>458</v>
      </c>
      <c r="C110" s="297" t="s">
        <v>27</v>
      </c>
      <c r="D110" s="298">
        <v>201457631</v>
      </c>
      <c r="E110" s="298">
        <f>E111</f>
        <v>12820809</v>
      </c>
      <c r="F110" s="298">
        <f>F111</f>
        <v>2678065</v>
      </c>
      <c r="G110" s="298">
        <f t="shared" si="1"/>
        <v>211600375</v>
      </c>
    </row>
    <row r="111" spans="1:7" s="299" customFormat="1" ht="15" customHeight="1">
      <c r="A111" s="300">
        <v>85195</v>
      </c>
      <c r="B111" s="300" t="s">
        <v>458</v>
      </c>
      <c r="C111" s="301" t="s">
        <v>43</v>
      </c>
      <c r="D111" s="302">
        <v>149541257</v>
      </c>
      <c r="E111" s="302">
        <f>SUM(E112:E133)</f>
        <v>12820809</v>
      </c>
      <c r="F111" s="302">
        <f>SUM(F112:F133)</f>
        <v>2678065</v>
      </c>
      <c r="G111" s="302">
        <f t="shared" si="1"/>
        <v>159684001</v>
      </c>
    </row>
    <row r="112" spans="1:7" ht="67.5" customHeight="1">
      <c r="A112" s="308" t="s">
        <v>458</v>
      </c>
      <c r="B112" s="308">
        <v>2007</v>
      </c>
      <c r="C112" s="309" t="s">
        <v>487</v>
      </c>
      <c r="D112" s="310">
        <v>12038745</v>
      </c>
      <c r="E112" s="310">
        <v>0</v>
      </c>
      <c r="F112" s="310">
        <v>2221935</v>
      </c>
      <c r="G112" s="310">
        <f t="shared" si="1"/>
        <v>9816810</v>
      </c>
    </row>
    <row r="113" spans="1:7" ht="69.75" customHeight="1">
      <c r="A113" s="304" t="s">
        <v>458</v>
      </c>
      <c r="B113" s="304">
        <v>2009</v>
      </c>
      <c r="C113" s="305" t="s">
        <v>487</v>
      </c>
      <c r="D113" s="306">
        <v>1996291</v>
      </c>
      <c r="E113" s="306">
        <v>0</v>
      </c>
      <c r="F113" s="306">
        <v>246881</v>
      </c>
      <c r="G113" s="306">
        <f t="shared" si="1"/>
        <v>1749410</v>
      </c>
    </row>
    <row r="114" spans="1:7" ht="15.75" customHeight="1">
      <c r="A114" s="304" t="s">
        <v>458</v>
      </c>
      <c r="B114" s="304">
        <v>4017</v>
      </c>
      <c r="C114" s="305" t="s">
        <v>488</v>
      </c>
      <c r="D114" s="306">
        <v>1106147</v>
      </c>
      <c r="E114" s="306">
        <v>181050</v>
      </c>
      <c r="F114" s="306">
        <v>0</v>
      </c>
      <c r="G114" s="306">
        <f t="shared" si="1"/>
        <v>1287197</v>
      </c>
    </row>
    <row r="115" spans="1:7" ht="15.75" customHeight="1">
      <c r="A115" s="304" t="s">
        <v>458</v>
      </c>
      <c r="B115" s="304">
        <v>4019</v>
      </c>
      <c r="C115" s="305" t="s">
        <v>488</v>
      </c>
      <c r="D115" s="306">
        <v>148131</v>
      </c>
      <c r="E115" s="306">
        <v>20117</v>
      </c>
      <c r="F115" s="306">
        <v>0</v>
      </c>
      <c r="G115" s="306">
        <f t="shared" si="1"/>
        <v>168248</v>
      </c>
    </row>
    <row r="116" spans="1:7" ht="15.75" customHeight="1">
      <c r="A116" s="304" t="s">
        <v>458</v>
      </c>
      <c r="B116" s="304">
        <v>4117</v>
      </c>
      <c r="C116" s="305" t="s">
        <v>489</v>
      </c>
      <c r="D116" s="306">
        <v>224421</v>
      </c>
      <c r="E116" s="306">
        <v>34149</v>
      </c>
      <c r="F116" s="306">
        <v>0</v>
      </c>
      <c r="G116" s="306">
        <f t="shared" si="1"/>
        <v>258570</v>
      </c>
    </row>
    <row r="117" spans="1:7" ht="15.75" customHeight="1">
      <c r="A117" s="304" t="s">
        <v>458</v>
      </c>
      <c r="B117" s="304">
        <v>4119</v>
      </c>
      <c r="C117" s="305" t="s">
        <v>489</v>
      </c>
      <c r="D117" s="306">
        <v>29300</v>
      </c>
      <c r="E117" s="306">
        <v>3793</v>
      </c>
      <c r="F117" s="306">
        <v>0</v>
      </c>
      <c r="G117" s="306">
        <f t="shared" si="1"/>
        <v>33093</v>
      </c>
    </row>
    <row r="118" spans="1:7" ht="15.75" customHeight="1">
      <c r="A118" s="304" t="s">
        <v>458</v>
      </c>
      <c r="B118" s="304">
        <v>4127</v>
      </c>
      <c r="C118" s="305" t="s">
        <v>490</v>
      </c>
      <c r="D118" s="306">
        <v>38796</v>
      </c>
      <c r="E118" s="306">
        <v>4897</v>
      </c>
      <c r="F118" s="306">
        <v>0</v>
      </c>
      <c r="G118" s="306">
        <f t="shared" si="1"/>
        <v>43693</v>
      </c>
    </row>
    <row r="119" spans="1:7" ht="15.75" customHeight="1">
      <c r="A119" s="304" t="s">
        <v>458</v>
      </c>
      <c r="B119" s="304">
        <v>4129</v>
      </c>
      <c r="C119" s="305" t="s">
        <v>490</v>
      </c>
      <c r="D119" s="306">
        <v>4944</v>
      </c>
      <c r="E119" s="306">
        <v>544</v>
      </c>
      <c r="F119" s="306">
        <v>0</v>
      </c>
      <c r="G119" s="306">
        <f t="shared" si="1"/>
        <v>5488</v>
      </c>
    </row>
    <row r="120" spans="1:7" ht="15.75" customHeight="1">
      <c r="A120" s="304" t="s">
        <v>458</v>
      </c>
      <c r="B120" s="304">
        <v>4177</v>
      </c>
      <c r="C120" s="305" t="s">
        <v>505</v>
      </c>
      <c r="D120" s="306">
        <v>390816</v>
      </c>
      <c r="E120" s="306">
        <v>14859</v>
      </c>
      <c r="F120" s="306">
        <v>0</v>
      </c>
      <c r="G120" s="306">
        <f t="shared" si="1"/>
        <v>405675</v>
      </c>
    </row>
    <row r="121" spans="1:7" ht="15.75" customHeight="1">
      <c r="A121" s="304" t="s">
        <v>458</v>
      </c>
      <c r="B121" s="304">
        <v>4179</v>
      </c>
      <c r="C121" s="305" t="s">
        <v>505</v>
      </c>
      <c r="D121" s="306">
        <v>44956</v>
      </c>
      <c r="E121" s="306">
        <v>1651</v>
      </c>
      <c r="F121" s="306">
        <v>0</v>
      </c>
      <c r="G121" s="306">
        <f t="shared" si="1"/>
        <v>46607</v>
      </c>
    </row>
    <row r="122" spans="1:7" ht="15.75" customHeight="1">
      <c r="A122" s="304" t="s">
        <v>458</v>
      </c>
      <c r="B122" s="304">
        <v>4217</v>
      </c>
      <c r="C122" s="305" t="s">
        <v>497</v>
      </c>
      <c r="D122" s="306">
        <v>4210292</v>
      </c>
      <c r="E122" s="306">
        <v>0</v>
      </c>
      <c r="F122" s="306">
        <v>187429</v>
      </c>
      <c r="G122" s="306">
        <f t="shared" si="1"/>
        <v>4022863</v>
      </c>
    </row>
    <row r="123" spans="1:7" ht="15.75" customHeight="1">
      <c r="A123" s="304" t="s">
        <v>458</v>
      </c>
      <c r="B123" s="304">
        <v>4219</v>
      </c>
      <c r="C123" s="305" t="s">
        <v>497</v>
      </c>
      <c r="D123" s="306">
        <v>493584</v>
      </c>
      <c r="E123" s="306">
        <v>0</v>
      </c>
      <c r="F123" s="306">
        <v>21820</v>
      </c>
      <c r="G123" s="306">
        <f t="shared" si="1"/>
        <v>471764</v>
      </c>
    </row>
    <row r="124" spans="1:7" ht="15.75" customHeight="1">
      <c r="A124" s="304" t="s">
        <v>458</v>
      </c>
      <c r="B124" s="304">
        <v>4227</v>
      </c>
      <c r="C124" s="305" t="s">
        <v>506</v>
      </c>
      <c r="D124" s="306">
        <v>1350</v>
      </c>
      <c r="E124" s="306">
        <v>367</v>
      </c>
      <c r="F124" s="306">
        <v>0</v>
      </c>
      <c r="G124" s="306">
        <f t="shared" si="1"/>
        <v>1717</v>
      </c>
    </row>
    <row r="125" spans="1:7" ht="15.75" customHeight="1">
      <c r="A125" s="304" t="s">
        <v>458</v>
      </c>
      <c r="B125" s="304">
        <v>4229</v>
      </c>
      <c r="C125" s="305" t="s">
        <v>506</v>
      </c>
      <c r="D125" s="306">
        <v>150</v>
      </c>
      <c r="E125" s="306">
        <v>41</v>
      </c>
      <c r="F125" s="306">
        <v>0</v>
      </c>
      <c r="G125" s="306">
        <f t="shared" si="1"/>
        <v>191</v>
      </c>
    </row>
    <row r="126" spans="1:7" ht="15.75" customHeight="1">
      <c r="A126" s="304" t="s">
        <v>458</v>
      </c>
      <c r="B126" s="304">
        <v>4277</v>
      </c>
      <c r="C126" s="305" t="s">
        <v>499</v>
      </c>
      <c r="D126" s="306">
        <v>4050</v>
      </c>
      <c r="E126" s="306">
        <v>4500</v>
      </c>
      <c r="F126" s="306">
        <v>0</v>
      </c>
      <c r="G126" s="306">
        <f t="shared" si="1"/>
        <v>8550</v>
      </c>
    </row>
    <row r="127" spans="1:7" ht="15.75" customHeight="1">
      <c r="A127" s="304" t="s">
        <v>458</v>
      </c>
      <c r="B127" s="304">
        <v>4279</v>
      </c>
      <c r="C127" s="305" t="s">
        <v>499</v>
      </c>
      <c r="D127" s="306">
        <v>450</v>
      </c>
      <c r="E127" s="306">
        <v>500</v>
      </c>
      <c r="F127" s="306">
        <v>0</v>
      </c>
      <c r="G127" s="306">
        <f t="shared" si="1"/>
        <v>950</v>
      </c>
    </row>
    <row r="128" spans="1:7" ht="15.75" customHeight="1">
      <c r="A128" s="304" t="s">
        <v>458</v>
      </c>
      <c r="B128" s="304">
        <v>4307</v>
      </c>
      <c r="C128" s="305" t="s">
        <v>500</v>
      </c>
      <c r="D128" s="306">
        <v>20229346</v>
      </c>
      <c r="E128" s="306">
        <v>1498710</v>
      </c>
      <c r="F128" s="306">
        <v>0</v>
      </c>
      <c r="G128" s="306">
        <f t="shared" si="1"/>
        <v>21728056</v>
      </c>
    </row>
    <row r="129" spans="1:7" ht="15.75" customHeight="1">
      <c r="A129" s="304" t="s">
        <v>458</v>
      </c>
      <c r="B129" s="304">
        <v>4309</v>
      </c>
      <c r="C129" s="305" t="s">
        <v>500</v>
      </c>
      <c r="D129" s="306">
        <v>3047514</v>
      </c>
      <c r="E129" s="306">
        <v>176290</v>
      </c>
      <c r="F129" s="306">
        <v>0</v>
      </c>
      <c r="G129" s="306">
        <f t="shared" si="1"/>
        <v>3223804</v>
      </c>
    </row>
    <row r="130" spans="1:7" ht="15.75" customHeight="1">
      <c r="A130" s="304" t="s">
        <v>458</v>
      </c>
      <c r="B130" s="304">
        <v>4717</v>
      </c>
      <c r="C130" s="305" t="s">
        <v>491</v>
      </c>
      <c r="D130" s="306">
        <v>6888</v>
      </c>
      <c r="E130" s="306">
        <v>2005</v>
      </c>
      <c r="F130" s="306">
        <v>0</v>
      </c>
      <c r="G130" s="306">
        <f t="shared" si="1"/>
        <v>8893</v>
      </c>
    </row>
    <row r="131" spans="1:7" ht="15.75" customHeight="1">
      <c r="A131" s="304" t="s">
        <v>458</v>
      </c>
      <c r="B131" s="304">
        <v>4719</v>
      </c>
      <c r="C131" s="305" t="s">
        <v>491</v>
      </c>
      <c r="D131" s="306">
        <v>793</v>
      </c>
      <c r="E131" s="306">
        <v>223</v>
      </c>
      <c r="F131" s="306">
        <v>0</v>
      </c>
      <c r="G131" s="306">
        <f t="shared" si="1"/>
        <v>1016</v>
      </c>
    </row>
    <row r="132" spans="1:7" ht="69" customHeight="1">
      <c r="A132" s="304" t="s">
        <v>458</v>
      </c>
      <c r="B132" s="304">
        <v>6207</v>
      </c>
      <c r="C132" s="305" t="s">
        <v>508</v>
      </c>
      <c r="D132" s="306">
        <v>77838048</v>
      </c>
      <c r="E132" s="306">
        <v>9789402</v>
      </c>
      <c r="F132" s="306">
        <v>0</v>
      </c>
      <c r="G132" s="306">
        <f t="shared" si="1"/>
        <v>87627450</v>
      </c>
    </row>
    <row r="133" spans="1:7" ht="69" customHeight="1">
      <c r="A133" s="304" t="s">
        <v>458</v>
      </c>
      <c r="B133" s="304">
        <v>6209</v>
      </c>
      <c r="C133" s="305" t="s">
        <v>508</v>
      </c>
      <c r="D133" s="306">
        <v>8657722</v>
      </c>
      <c r="E133" s="306">
        <v>1087711</v>
      </c>
      <c r="F133" s="306">
        <v>0</v>
      </c>
      <c r="G133" s="306">
        <f t="shared" si="1"/>
        <v>9745433</v>
      </c>
    </row>
    <row r="134" spans="1:7" s="299" customFormat="1" ht="15" customHeight="1">
      <c r="A134" s="296">
        <v>852</v>
      </c>
      <c r="B134" s="296" t="s">
        <v>458</v>
      </c>
      <c r="C134" s="297" t="s">
        <v>28</v>
      </c>
      <c r="D134" s="298">
        <v>42013594</v>
      </c>
      <c r="E134" s="298">
        <f>E135</f>
        <v>96000</v>
      </c>
      <c r="F134" s="298">
        <f>F135</f>
        <v>4044</v>
      </c>
      <c r="G134" s="298">
        <f t="shared" si="1"/>
        <v>42105550</v>
      </c>
    </row>
    <row r="135" spans="1:7" s="299" customFormat="1" ht="15" customHeight="1">
      <c r="A135" s="300">
        <v>85295</v>
      </c>
      <c r="B135" s="300" t="s">
        <v>458</v>
      </c>
      <c r="C135" s="301" t="s">
        <v>43</v>
      </c>
      <c r="D135" s="302">
        <v>36460177</v>
      </c>
      <c r="E135" s="302">
        <f>SUM(E136:E145)</f>
        <v>96000</v>
      </c>
      <c r="F135" s="302">
        <f>SUM(F136:F145)</f>
        <v>4044</v>
      </c>
      <c r="G135" s="302">
        <f t="shared" si="1"/>
        <v>36552133</v>
      </c>
    </row>
    <row r="136" spans="1:7" ht="15" customHeight="1">
      <c r="A136" s="304" t="s">
        <v>458</v>
      </c>
      <c r="B136" s="304">
        <v>4047</v>
      </c>
      <c r="C136" s="305" t="s">
        <v>496</v>
      </c>
      <c r="D136" s="306">
        <v>154145</v>
      </c>
      <c r="E136" s="306">
        <v>0</v>
      </c>
      <c r="F136" s="306">
        <v>2827</v>
      </c>
      <c r="G136" s="306">
        <f t="shared" si="1"/>
        <v>151318</v>
      </c>
    </row>
    <row r="137" spans="1:7" ht="15" customHeight="1">
      <c r="A137" s="304" t="s">
        <v>458</v>
      </c>
      <c r="B137" s="304">
        <v>4049</v>
      </c>
      <c r="C137" s="305" t="s">
        <v>496</v>
      </c>
      <c r="D137" s="306">
        <v>14122</v>
      </c>
      <c r="E137" s="306">
        <v>0</v>
      </c>
      <c r="F137" s="306">
        <v>332</v>
      </c>
      <c r="G137" s="306">
        <f t="shared" si="1"/>
        <v>13790</v>
      </c>
    </row>
    <row r="138" spans="1:7" ht="15" customHeight="1">
      <c r="A138" s="304" t="s">
        <v>458</v>
      </c>
      <c r="B138" s="304">
        <v>4117</v>
      </c>
      <c r="C138" s="305" t="s">
        <v>489</v>
      </c>
      <c r="D138" s="306">
        <v>383855</v>
      </c>
      <c r="E138" s="306">
        <v>0</v>
      </c>
      <c r="F138" s="306">
        <v>484</v>
      </c>
      <c r="G138" s="306">
        <f t="shared" si="1"/>
        <v>383371</v>
      </c>
    </row>
    <row r="139" spans="1:7" ht="15" customHeight="1">
      <c r="A139" s="304" t="s">
        <v>458</v>
      </c>
      <c r="B139" s="304">
        <v>4119</v>
      </c>
      <c r="C139" s="305" t="s">
        <v>489</v>
      </c>
      <c r="D139" s="306">
        <v>30767</v>
      </c>
      <c r="E139" s="306">
        <v>0</v>
      </c>
      <c r="F139" s="306">
        <v>56</v>
      </c>
      <c r="G139" s="306">
        <f t="shared" si="1"/>
        <v>30711</v>
      </c>
    </row>
    <row r="140" spans="1:7" ht="15" customHeight="1">
      <c r="A140" s="304" t="s">
        <v>458</v>
      </c>
      <c r="B140" s="304">
        <v>4127</v>
      </c>
      <c r="C140" s="305" t="s">
        <v>490</v>
      </c>
      <c r="D140" s="306">
        <v>54730</v>
      </c>
      <c r="E140" s="306">
        <v>0</v>
      </c>
      <c r="F140" s="306">
        <v>74</v>
      </c>
      <c r="G140" s="306">
        <f t="shared" ref="G140:G203" si="2">D140+E140-F140</f>
        <v>54656</v>
      </c>
    </row>
    <row r="141" spans="1:7" ht="15" customHeight="1">
      <c r="A141" s="304" t="s">
        <v>458</v>
      </c>
      <c r="B141" s="304">
        <v>4129</v>
      </c>
      <c r="C141" s="305" t="s">
        <v>490</v>
      </c>
      <c r="D141" s="306">
        <v>4390</v>
      </c>
      <c r="E141" s="306">
        <v>0</v>
      </c>
      <c r="F141" s="306">
        <v>7</v>
      </c>
      <c r="G141" s="306">
        <f t="shared" si="2"/>
        <v>4383</v>
      </c>
    </row>
    <row r="142" spans="1:7" ht="15" customHeight="1">
      <c r="A142" s="304" t="s">
        <v>458</v>
      </c>
      <c r="B142" s="304">
        <v>4717</v>
      </c>
      <c r="C142" s="305" t="s">
        <v>491</v>
      </c>
      <c r="D142" s="306">
        <v>28183</v>
      </c>
      <c r="E142" s="306">
        <v>0</v>
      </c>
      <c r="F142" s="306">
        <v>236</v>
      </c>
      <c r="G142" s="306">
        <f t="shared" si="2"/>
        <v>27947</v>
      </c>
    </row>
    <row r="143" spans="1:7" ht="15" customHeight="1">
      <c r="A143" s="304" t="s">
        <v>458</v>
      </c>
      <c r="B143" s="304">
        <v>4719</v>
      </c>
      <c r="C143" s="305" t="s">
        <v>491</v>
      </c>
      <c r="D143" s="306">
        <v>2607</v>
      </c>
      <c r="E143" s="306">
        <v>0</v>
      </c>
      <c r="F143" s="306">
        <v>28</v>
      </c>
      <c r="G143" s="306">
        <f t="shared" si="2"/>
        <v>2579</v>
      </c>
    </row>
    <row r="144" spans="1:7" ht="66.75" customHeight="1">
      <c r="A144" s="304" t="s">
        <v>458</v>
      </c>
      <c r="B144" s="304">
        <v>6209</v>
      </c>
      <c r="C144" s="305" t="s">
        <v>508</v>
      </c>
      <c r="D144" s="306">
        <v>223466</v>
      </c>
      <c r="E144" s="306">
        <v>71000</v>
      </c>
      <c r="F144" s="306">
        <v>0</v>
      </c>
      <c r="G144" s="306">
        <f t="shared" si="2"/>
        <v>294466</v>
      </c>
    </row>
    <row r="145" spans="1:7" ht="66.75" customHeight="1">
      <c r="A145" s="304" t="s">
        <v>458</v>
      </c>
      <c r="B145" s="304">
        <v>6259</v>
      </c>
      <c r="C145" s="305" t="s">
        <v>463</v>
      </c>
      <c r="D145" s="306">
        <v>602899</v>
      </c>
      <c r="E145" s="306">
        <v>25000</v>
      </c>
      <c r="F145" s="306">
        <v>0</v>
      </c>
      <c r="G145" s="306">
        <f t="shared" si="2"/>
        <v>627899</v>
      </c>
    </row>
    <row r="146" spans="1:7" s="299" customFormat="1" ht="30" customHeight="1">
      <c r="A146" s="296">
        <v>853</v>
      </c>
      <c r="B146" s="296" t="s">
        <v>458</v>
      </c>
      <c r="C146" s="297" t="s">
        <v>29</v>
      </c>
      <c r="D146" s="298">
        <v>31389987</v>
      </c>
      <c r="E146" s="298">
        <f>E147+E160</f>
        <v>4475250</v>
      </c>
      <c r="F146" s="298">
        <f>F147+F160</f>
        <v>23000</v>
      </c>
      <c r="G146" s="298">
        <f t="shared" si="2"/>
        <v>35842237</v>
      </c>
    </row>
    <row r="147" spans="1:7" s="299" customFormat="1" ht="15" customHeight="1">
      <c r="A147" s="300">
        <v>85332</v>
      </c>
      <c r="B147" s="300" t="s">
        <v>458</v>
      </c>
      <c r="C147" s="301" t="s">
        <v>53</v>
      </c>
      <c r="D147" s="302">
        <v>18027285</v>
      </c>
      <c r="E147" s="302">
        <f>SUM(E148:E159)</f>
        <v>23000</v>
      </c>
      <c r="F147" s="302">
        <f>SUM(F148:F159)</f>
        <v>23000</v>
      </c>
      <c r="G147" s="302">
        <f t="shared" si="2"/>
        <v>18027285</v>
      </c>
    </row>
    <row r="148" spans="1:7" ht="15" customHeight="1">
      <c r="A148" s="304" t="s">
        <v>458</v>
      </c>
      <c r="B148" s="304">
        <v>4018</v>
      </c>
      <c r="C148" s="305" t="s">
        <v>488</v>
      </c>
      <c r="D148" s="306">
        <v>2978685</v>
      </c>
      <c r="E148" s="306">
        <v>16138</v>
      </c>
      <c r="F148" s="306">
        <v>0</v>
      </c>
      <c r="G148" s="306">
        <f t="shared" si="2"/>
        <v>2994823</v>
      </c>
    </row>
    <row r="149" spans="1:7" ht="15" customHeight="1">
      <c r="A149" s="304" t="s">
        <v>458</v>
      </c>
      <c r="B149" s="304">
        <v>4019</v>
      </c>
      <c r="C149" s="305" t="s">
        <v>488</v>
      </c>
      <c r="D149" s="306">
        <v>547498</v>
      </c>
      <c r="E149" s="306">
        <v>2848</v>
      </c>
      <c r="F149" s="306">
        <v>0</v>
      </c>
      <c r="G149" s="306">
        <f t="shared" si="2"/>
        <v>550346</v>
      </c>
    </row>
    <row r="150" spans="1:7" ht="15" customHeight="1">
      <c r="A150" s="304" t="s">
        <v>458</v>
      </c>
      <c r="B150" s="304">
        <v>4118</v>
      </c>
      <c r="C150" s="305" t="s">
        <v>489</v>
      </c>
      <c r="D150" s="306">
        <v>551223</v>
      </c>
      <c r="E150" s="306">
        <v>2775</v>
      </c>
      <c r="F150" s="306">
        <v>0</v>
      </c>
      <c r="G150" s="306">
        <f t="shared" si="2"/>
        <v>553998</v>
      </c>
    </row>
    <row r="151" spans="1:7" ht="15" customHeight="1">
      <c r="A151" s="304" t="s">
        <v>458</v>
      </c>
      <c r="B151" s="304">
        <v>4119</v>
      </c>
      <c r="C151" s="305" t="s">
        <v>489</v>
      </c>
      <c r="D151" s="306">
        <v>101364</v>
      </c>
      <c r="E151" s="306">
        <v>489</v>
      </c>
      <c r="F151" s="306">
        <v>0</v>
      </c>
      <c r="G151" s="306">
        <f t="shared" si="2"/>
        <v>101853</v>
      </c>
    </row>
    <row r="152" spans="1:7" ht="15" customHeight="1">
      <c r="A152" s="304" t="s">
        <v>458</v>
      </c>
      <c r="B152" s="304">
        <v>4128</v>
      </c>
      <c r="C152" s="305" t="s">
        <v>490</v>
      </c>
      <c r="D152" s="306">
        <v>78563</v>
      </c>
      <c r="E152" s="306">
        <v>395</v>
      </c>
      <c r="F152" s="306">
        <v>0</v>
      </c>
      <c r="G152" s="306">
        <f t="shared" si="2"/>
        <v>78958</v>
      </c>
    </row>
    <row r="153" spans="1:7" ht="15" customHeight="1">
      <c r="A153" s="304" t="s">
        <v>458</v>
      </c>
      <c r="B153" s="304">
        <v>4129</v>
      </c>
      <c r="C153" s="305" t="s">
        <v>490</v>
      </c>
      <c r="D153" s="306">
        <v>14447</v>
      </c>
      <c r="E153" s="306">
        <v>70</v>
      </c>
      <c r="F153" s="306">
        <v>0</v>
      </c>
      <c r="G153" s="306">
        <f t="shared" si="2"/>
        <v>14517</v>
      </c>
    </row>
    <row r="154" spans="1:7" ht="15" customHeight="1">
      <c r="A154" s="304" t="s">
        <v>458</v>
      </c>
      <c r="B154" s="304">
        <v>4228</v>
      </c>
      <c r="C154" s="305" t="s">
        <v>506</v>
      </c>
      <c r="D154" s="306">
        <v>5928</v>
      </c>
      <c r="E154" s="306">
        <v>0</v>
      </c>
      <c r="F154" s="306">
        <v>3400</v>
      </c>
      <c r="G154" s="306">
        <f t="shared" si="2"/>
        <v>2528</v>
      </c>
    </row>
    <row r="155" spans="1:7" ht="15" customHeight="1">
      <c r="A155" s="304" t="s">
        <v>458</v>
      </c>
      <c r="B155" s="304">
        <v>4229</v>
      </c>
      <c r="C155" s="305" t="s">
        <v>506</v>
      </c>
      <c r="D155" s="306">
        <v>1177</v>
      </c>
      <c r="E155" s="306">
        <v>0</v>
      </c>
      <c r="F155" s="306">
        <v>600</v>
      </c>
      <c r="G155" s="306">
        <f t="shared" si="2"/>
        <v>577</v>
      </c>
    </row>
    <row r="156" spans="1:7" ht="15" customHeight="1">
      <c r="A156" s="304" t="s">
        <v>458</v>
      </c>
      <c r="B156" s="304">
        <v>4308</v>
      </c>
      <c r="C156" s="305" t="s">
        <v>500</v>
      </c>
      <c r="D156" s="306">
        <v>271035</v>
      </c>
      <c r="E156" s="306">
        <v>0</v>
      </c>
      <c r="F156" s="306">
        <v>16150</v>
      </c>
      <c r="G156" s="306">
        <f t="shared" si="2"/>
        <v>254885</v>
      </c>
    </row>
    <row r="157" spans="1:7" ht="15" customHeight="1">
      <c r="A157" s="304" t="s">
        <v>458</v>
      </c>
      <c r="B157" s="304">
        <v>4309</v>
      </c>
      <c r="C157" s="305" t="s">
        <v>500</v>
      </c>
      <c r="D157" s="306">
        <v>64175</v>
      </c>
      <c r="E157" s="306">
        <v>0</v>
      </c>
      <c r="F157" s="306">
        <v>2850</v>
      </c>
      <c r="G157" s="306">
        <f t="shared" si="2"/>
        <v>61325</v>
      </c>
    </row>
    <row r="158" spans="1:7" ht="15" customHeight="1">
      <c r="A158" s="308" t="s">
        <v>458</v>
      </c>
      <c r="B158" s="308">
        <v>4718</v>
      </c>
      <c r="C158" s="309" t="s">
        <v>491</v>
      </c>
      <c r="D158" s="310">
        <v>48100</v>
      </c>
      <c r="E158" s="310">
        <v>242</v>
      </c>
      <c r="F158" s="310">
        <v>0</v>
      </c>
      <c r="G158" s="310">
        <f t="shared" si="2"/>
        <v>48342</v>
      </c>
    </row>
    <row r="159" spans="1:7" ht="15" customHeight="1">
      <c r="A159" s="311" t="s">
        <v>458</v>
      </c>
      <c r="B159" s="311">
        <v>4719</v>
      </c>
      <c r="C159" s="312" t="s">
        <v>491</v>
      </c>
      <c r="D159" s="313">
        <v>8790</v>
      </c>
      <c r="E159" s="313">
        <v>43</v>
      </c>
      <c r="F159" s="313">
        <v>0</v>
      </c>
      <c r="G159" s="313">
        <f t="shared" si="2"/>
        <v>8833</v>
      </c>
    </row>
    <row r="160" spans="1:7" s="299" customFormat="1" ht="15" customHeight="1">
      <c r="A160" s="300">
        <v>85395</v>
      </c>
      <c r="B160" s="300" t="s">
        <v>458</v>
      </c>
      <c r="C160" s="301" t="s">
        <v>43</v>
      </c>
      <c r="D160" s="302">
        <v>10312595</v>
      </c>
      <c r="E160" s="302">
        <f>SUM(E161:E174)</f>
        <v>4452250</v>
      </c>
      <c r="F160" s="302">
        <f>SUM(F161:F174)</f>
        <v>0</v>
      </c>
      <c r="G160" s="302">
        <f t="shared" si="2"/>
        <v>14764845</v>
      </c>
    </row>
    <row r="161" spans="1:7" ht="67.5" customHeight="1">
      <c r="A161" s="304" t="s">
        <v>458</v>
      </c>
      <c r="B161" s="304">
        <v>2007</v>
      </c>
      <c r="C161" s="305" t="s">
        <v>487</v>
      </c>
      <c r="D161" s="306">
        <v>2813302</v>
      </c>
      <c r="E161" s="306">
        <v>3670300</v>
      </c>
      <c r="F161" s="306">
        <v>0</v>
      </c>
      <c r="G161" s="306">
        <f t="shared" si="2"/>
        <v>6483602</v>
      </c>
    </row>
    <row r="162" spans="1:7" ht="67.5" customHeight="1">
      <c r="A162" s="304" t="s">
        <v>458</v>
      </c>
      <c r="B162" s="304">
        <v>2009</v>
      </c>
      <c r="C162" s="305" t="s">
        <v>487</v>
      </c>
      <c r="D162" s="306">
        <v>1625997</v>
      </c>
      <c r="E162" s="306">
        <v>647700</v>
      </c>
      <c r="F162" s="306">
        <v>0</v>
      </c>
      <c r="G162" s="306">
        <f t="shared" si="2"/>
        <v>2273697</v>
      </c>
    </row>
    <row r="163" spans="1:7" ht="15.75" customHeight="1">
      <c r="A163" s="304" t="s">
        <v>458</v>
      </c>
      <c r="B163" s="304">
        <v>4017</v>
      </c>
      <c r="C163" s="305" t="s">
        <v>488</v>
      </c>
      <c r="D163" s="306">
        <v>322106</v>
      </c>
      <c r="E163" s="306">
        <v>51076</v>
      </c>
      <c r="F163" s="306">
        <v>0</v>
      </c>
      <c r="G163" s="306">
        <f t="shared" si="2"/>
        <v>373182</v>
      </c>
    </row>
    <row r="164" spans="1:7" ht="15.75" customHeight="1">
      <c r="A164" s="304" t="s">
        <v>458</v>
      </c>
      <c r="B164" s="304">
        <v>4019</v>
      </c>
      <c r="C164" s="305" t="s">
        <v>488</v>
      </c>
      <c r="D164" s="306">
        <v>37895</v>
      </c>
      <c r="E164" s="306">
        <v>9014</v>
      </c>
      <c r="F164" s="306">
        <v>0</v>
      </c>
      <c r="G164" s="306">
        <f t="shared" si="2"/>
        <v>46909</v>
      </c>
    </row>
    <row r="165" spans="1:7" ht="15.75" customHeight="1">
      <c r="A165" s="304" t="s">
        <v>458</v>
      </c>
      <c r="B165" s="304">
        <v>4117</v>
      </c>
      <c r="C165" s="305" t="s">
        <v>489</v>
      </c>
      <c r="D165" s="306">
        <v>67948</v>
      </c>
      <c r="E165" s="306">
        <v>8823</v>
      </c>
      <c r="F165" s="306">
        <v>0</v>
      </c>
      <c r="G165" s="306">
        <f t="shared" si="2"/>
        <v>76771</v>
      </c>
    </row>
    <row r="166" spans="1:7" ht="15.75" customHeight="1">
      <c r="A166" s="304" t="s">
        <v>458</v>
      </c>
      <c r="B166" s="304">
        <v>4119</v>
      </c>
      <c r="C166" s="305" t="s">
        <v>489</v>
      </c>
      <c r="D166" s="306">
        <v>7993</v>
      </c>
      <c r="E166" s="306">
        <v>1557</v>
      </c>
      <c r="F166" s="306">
        <v>0</v>
      </c>
      <c r="G166" s="306">
        <f t="shared" si="2"/>
        <v>9550</v>
      </c>
    </row>
    <row r="167" spans="1:7" ht="15.75" customHeight="1">
      <c r="A167" s="304" t="s">
        <v>458</v>
      </c>
      <c r="B167" s="304">
        <v>4127</v>
      </c>
      <c r="C167" s="305" t="s">
        <v>490</v>
      </c>
      <c r="D167" s="306">
        <v>9348</v>
      </c>
      <c r="E167" s="306">
        <v>1258</v>
      </c>
      <c r="F167" s="306">
        <v>0</v>
      </c>
      <c r="G167" s="306">
        <f t="shared" si="2"/>
        <v>10606</v>
      </c>
    </row>
    <row r="168" spans="1:7" ht="15.75" customHeight="1">
      <c r="A168" s="304" t="s">
        <v>458</v>
      </c>
      <c r="B168" s="304">
        <v>4129</v>
      </c>
      <c r="C168" s="305" t="s">
        <v>490</v>
      </c>
      <c r="D168" s="306">
        <v>1101</v>
      </c>
      <c r="E168" s="306">
        <v>222</v>
      </c>
      <c r="F168" s="306">
        <v>0</v>
      </c>
      <c r="G168" s="306">
        <f t="shared" si="2"/>
        <v>1323</v>
      </c>
    </row>
    <row r="169" spans="1:7" ht="15.75" customHeight="1">
      <c r="A169" s="304" t="s">
        <v>458</v>
      </c>
      <c r="B169" s="304">
        <v>4217</v>
      </c>
      <c r="C169" s="305" t="s">
        <v>497</v>
      </c>
      <c r="D169" s="306">
        <v>98421</v>
      </c>
      <c r="E169" s="306">
        <v>10200</v>
      </c>
      <c r="F169" s="306">
        <v>0</v>
      </c>
      <c r="G169" s="306">
        <f t="shared" si="2"/>
        <v>108621</v>
      </c>
    </row>
    <row r="170" spans="1:7" ht="15.75" customHeight="1">
      <c r="A170" s="304" t="s">
        <v>458</v>
      </c>
      <c r="B170" s="304">
        <v>4219</v>
      </c>
      <c r="C170" s="305" t="s">
        <v>497</v>
      </c>
      <c r="D170" s="306">
        <v>11579</v>
      </c>
      <c r="E170" s="306">
        <v>1800</v>
      </c>
      <c r="F170" s="306">
        <v>0</v>
      </c>
      <c r="G170" s="306">
        <f t="shared" si="2"/>
        <v>13379</v>
      </c>
    </row>
    <row r="171" spans="1:7" ht="15.75" customHeight="1">
      <c r="A171" s="304" t="s">
        <v>458</v>
      </c>
      <c r="B171" s="304">
        <v>4307</v>
      </c>
      <c r="C171" s="305" t="s">
        <v>500</v>
      </c>
      <c r="D171" s="306">
        <v>535335</v>
      </c>
      <c r="E171" s="306">
        <v>42500</v>
      </c>
      <c r="F171" s="306">
        <v>0</v>
      </c>
      <c r="G171" s="306">
        <f t="shared" si="2"/>
        <v>577835</v>
      </c>
    </row>
    <row r="172" spans="1:7" ht="15.75" customHeight="1">
      <c r="A172" s="304" t="s">
        <v>458</v>
      </c>
      <c r="B172" s="304">
        <v>4309</v>
      </c>
      <c r="C172" s="305" t="s">
        <v>500</v>
      </c>
      <c r="D172" s="306">
        <v>62979</v>
      </c>
      <c r="E172" s="306">
        <v>7500</v>
      </c>
      <c r="F172" s="306">
        <v>0</v>
      </c>
      <c r="G172" s="306">
        <f t="shared" si="2"/>
        <v>70479</v>
      </c>
    </row>
    <row r="173" spans="1:7" ht="15.75" customHeight="1">
      <c r="A173" s="304" t="s">
        <v>458</v>
      </c>
      <c r="B173" s="304">
        <v>4717</v>
      </c>
      <c r="C173" s="305" t="s">
        <v>491</v>
      </c>
      <c r="D173" s="306">
        <v>5455</v>
      </c>
      <c r="E173" s="306">
        <v>255</v>
      </c>
      <c r="F173" s="306">
        <v>0</v>
      </c>
      <c r="G173" s="306">
        <f t="shared" si="2"/>
        <v>5710</v>
      </c>
    </row>
    <row r="174" spans="1:7" ht="15.75" customHeight="1">
      <c r="A174" s="304" t="s">
        <v>458</v>
      </c>
      <c r="B174" s="304">
        <v>4719</v>
      </c>
      <c r="C174" s="305" t="s">
        <v>491</v>
      </c>
      <c r="D174" s="306">
        <v>642</v>
      </c>
      <c r="E174" s="306">
        <v>45</v>
      </c>
      <c r="F174" s="306">
        <v>0</v>
      </c>
      <c r="G174" s="306">
        <f t="shared" si="2"/>
        <v>687</v>
      </c>
    </row>
    <row r="175" spans="1:7" s="299" customFormat="1" ht="16.5" customHeight="1">
      <c r="A175" s="296">
        <v>854</v>
      </c>
      <c r="B175" s="296" t="s">
        <v>458</v>
      </c>
      <c r="C175" s="297" t="s">
        <v>254</v>
      </c>
      <c r="D175" s="298">
        <v>48836590</v>
      </c>
      <c r="E175" s="298">
        <f>E176</f>
        <v>1449355</v>
      </c>
      <c r="F175" s="298">
        <f>F176</f>
        <v>1836917</v>
      </c>
      <c r="G175" s="298">
        <f t="shared" si="2"/>
        <v>48449028</v>
      </c>
    </row>
    <row r="176" spans="1:7" s="299" customFormat="1" ht="16.5" customHeight="1">
      <c r="A176" s="300">
        <v>85403</v>
      </c>
      <c r="B176" s="300" t="s">
        <v>458</v>
      </c>
      <c r="C176" s="301" t="s">
        <v>161</v>
      </c>
      <c r="D176" s="302">
        <v>36309408</v>
      </c>
      <c r="E176" s="302">
        <f>SUM(E177:E179)</f>
        <v>1449355</v>
      </c>
      <c r="F176" s="302">
        <f>SUM(F177:F179)</f>
        <v>1836917</v>
      </c>
      <c r="G176" s="302">
        <f t="shared" si="2"/>
        <v>35921846</v>
      </c>
    </row>
    <row r="177" spans="1:7" ht="16.5" customHeight="1">
      <c r="A177" s="304" t="s">
        <v>458</v>
      </c>
      <c r="B177" s="304">
        <v>6050</v>
      </c>
      <c r="C177" s="305" t="s">
        <v>503</v>
      </c>
      <c r="D177" s="306">
        <v>7182641</v>
      </c>
      <c r="E177" s="306">
        <v>1449355</v>
      </c>
      <c r="F177" s="306">
        <v>0</v>
      </c>
      <c r="G177" s="306">
        <f t="shared" si="2"/>
        <v>8631996</v>
      </c>
    </row>
    <row r="178" spans="1:7" ht="16.5" customHeight="1">
      <c r="A178" s="304" t="s">
        <v>458</v>
      </c>
      <c r="B178" s="304">
        <v>6057</v>
      </c>
      <c r="C178" s="305" t="s">
        <v>503</v>
      </c>
      <c r="D178" s="306">
        <v>6465994</v>
      </c>
      <c r="E178" s="306">
        <v>0</v>
      </c>
      <c r="F178" s="306">
        <v>1561380</v>
      </c>
      <c r="G178" s="306">
        <f t="shared" si="2"/>
        <v>4904614</v>
      </c>
    </row>
    <row r="179" spans="1:7" ht="16.5" customHeight="1">
      <c r="A179" s="304" t="s">
        <v>458</v>
      </c>
      <c r="B179" s="304">
        <v>6059</v>
      </c>
      <c r="C179" s="305" t="s">
        <v>503</v>
      </c>
      <c r="D179" s="306">
        <v>1781732</v>
      </c>
      <c r="E179" s="306">
        <v>0</v>
      </c>
      <c r="F179" s="306">
        <v>275537</v>
      </c>
      <c r="G179" s="306">
        <f t="shared" si="2"/>
        <v>1506195</v>
      </c>
    </row>
    <row r="180" spans="1:7" s="299" customFormat="1" ht="29.25" customHeight="1">
      <c r="A180" s="296">
        <v>900</v>
      </c>
      <c r="B180" s="296" t="s">
        <v>458</v>
      </c>
      <c r="C180" s="297" t="s">
        <v>30</v>
      </c>
      <c r="D180" s="298">
        <v>17257213</v>
      </c>
      <c r="E180" s="298">
        <f>E181</f>
        <v>700000</v>
      </c>
      <c r="F180" s="298">
        <f>F181</f>
        <v>80000</v>
      </c>
      <c r="G180" s="298">
        <f t="shared" si="2"/>
        <v>17877213</v>
      </c>
    </row>
    <row r="181" spans="1:7" s="299" customFormat="1" ht="16.5" customHeight="1">
      <c r="A181" s="300">
        <v>90095</v>
      </c>
      <c r="B181" s="300" t="s">
        <v>458</v>
      </c>
      <c r="C181" s="301" t="s">
        <v>43</v>
      </c>
      <c r="D181" s="302">
        <v>12402693</v>
      </c>
      <c r="E181" s="302">
        <f>E182+E183</f>
        <v>700000</v>
      </c>
      <c r="F181" s="302">
        <f>F182+F183</f>
        <v>80000</v>
      </c>
      <c r="G181" s="302">
        <f t="shared" si="2"/>
        <v>13022693</v>
      </c>
    </row>
    <row r="182" spans="1:7" ht="16.5" customHeight="1">
      <c r="A182" s="304" t="s">
        <v>458</v>
      </c>
      <c r="B182" s="304">
        <v>4300</v>
      </c>
      <c r="C182" s="305" t="s">
        <v>500</v>
      </c>
      <c r="D182" s="306">
        <v>490000</v>
      </c>
      <c r="E182" s="306">
        <v>0</v>
      </c>
      <c r="F182" s="306">
        <v>80000</v>
      </c>
      <c r="G182" s="306">
        <f t="shared" si="2"/>
        <v>410000</v>
      </c>
    </row>
    <row r="183" spans="1:7" ht="16.5" customHeight="1">
      <c r="A183" s="304" t="s">
        <v>458</v>
      </c>
      <c r="B183" s="304">
        <v>6060</v>
      </c>
      <c r="C183" s="305" t="s">
        <v>494</v>
      </c>
      <c r="D183" s="306">
        <v>0</v>
      </c>
      <c r="E183" s="306">
        <v>700000</v>
      </c>
      <c r="F183" s="306">
        <v>0</v>
      </c>
      <c r="G183" s="306">
        <f t="shared" si="2"/>
        <v>700000</v>
      </c>
    </row>
    <row r="184" spans="1:7" s="299" customFormat="1" ht="30.75" customHeight="1">
      <c r="A184" s="296">
        <v>921</v>
      </c>
      <c r="B184" s="296" t="s">
        <v>458</v>
      </c>
      <c r="C184" s="297" t="s">
        <v>31</v>
      </c>
      <c r="D184" s="298">
        <v>131685589</v>
      </c>
      <c r="E184" s="298">
        <f>E185+E187+E190+E193+E196+E200</f>
        <v>4729553</v>
      </c>
      <c r="F184" s="298">
        <f>F185+F187+F190+F193+F196+F200</f>
        <v>1214072</v>
      </c>
      <c r="G184" s="298">
        <f t="shared" si="2"/>
        <v>135201070</v>
      </c>
    </row>
    <row r="185" spans="1:7" s="299" customFormat="1" ht="16.5" customHeight="1">
      <c r="A185" s="300">
        <v>92105</v>
      </c>
      <c r="B185" s="300" t="s">
        <v>458</v>
      </c>
      <c r="C185" s="301" t="s">
        <v>182</v>
      </c>
      <c r="D185" s="302">
        <v>490000</v>
      </c>
      <c r="E185" s="302">
        <f>E186</f>
        <v>0</v>
      </c>
      <c r="F185" s="302">
        <f>F186</f>
        <v>240000</v>
      </c>
      <c r="G185" s="302">
        <f t="shared" si="2"/>
        <v>250000</v>
      </c>
    </row>
    <row r="186" spans="1:7" ht="25.5">
      <c r="A186" s="304" t="s">
        <v>458</v>
      </c>
      <c r="B186" s="304">
        <v>2800</v>
      </c>
      <c r="C186" s="305" t="s">
        <v>509</v>
      </c>
      <c r="D186" s="306">
        <v>470000</v>
      </c>
      <c r="E186" s="306">
        <v>0</v>
      </c>
      <c r="F186" s="306">
        <v>240000</v>
      </c>
      <c r="G186" s="306">
        <f t="shared" si="2"/>
        <v>230000</v>
      </c>
    </row>
    <row r="187" spans="1:7" s="299" customFormat="1">
      <c r="A187" s="300">
        <v>92106</v>
      </c>
      <c r="B187" s="300" t="s">
        <v>458</v>
      </c>
      <c r="C187" s="301" t="s">
        <v>475</v>
      </c>
      <c r="D187" s="302">
        <v>37203719</v>
      </c>
      <c r="E187" s="302">
        <f>SUM(E188:E189)</f>
        <v>3914988</v>
      </c>
      <c r="F187" s="302">
        <f>SUM(F188:F189)</f>
        <v>0</v>
      </c>
      <c r="G187" s="302">
        <f t="shared" si="2"/>
        <v>41118707</v>
      </c>
    </row>
    <row r="188" spans="1:7" ht="33" customHeight="1">
      <c r="A188" s="304" t="s">
        <v>458</v>
      </c>
      <c r="B188" s="304">
        <v>2800</v>
      </c>
      <c r="C188" s="305" t="s">
        <v>509</v>
      </c>
      <c r="D188" s="306">
        <v>209708</v>
      </c>
      <c r="E188" s="306">
        <v>205310</v>
      </c>
      <c r="F188" s="306">
        <v>0</v>
      </c>
      <c r="G188" s="306">
        <f t="shared" si="2"/>
        <v>415018</v>
      </c>
    </row>
    <row r="189" spans="1:7" ht="45" customHeight="1">
      <c r="A189" s="304" t="s">
        <v>458</v>
      </c>
      <c r="B189" s="304">
        <v>6220</v>
      </c>
      <c r="C189" s="305" t="s">
        <v>510</v>
      </c>
      <c r="D189" s="306">
        <v>7344011</v>
      </c>
      <c r="E189" s="306">
        <v>3709678</v>
      </c>
      <c r="F189" s="306">
        <v>0</v>
      </c>
      <c r="G189" s="306">
        <f t="shared" si="2"/>
        <v>11053689</v>
      </c>
    </row>
    <row r="190" spans="1:7" s="299" customFormat="1" ht="18" customHeight="1">
      <c r="A190" s="300">
        <v>92109</v>
      </c>
      <c r="B190" s="300" t="s">
        <v>458</v>
      </c>
      <c r="C190" s="301" t="s">
        <v>171</v>
      </c>
      <c r="D190" s="302">
        <v>8142894</v>
      </c>
      <c r="E190" s="302">
        <f>SUM(E191:E192)</f>
        <v>16000</v>
      </c>
      <c r="F190" s="302">
        <f>SUM(F191:F192)</f>
        <v>129275</v>
      </c>
      <c r="G190" s="302">
        <f t="shared" si="2"/>
        <v>8029619</v>
      </c>
    </row>
    <row r="191" spans="1:7" ht="29.25" customHeight="1">
      <c r="A191" s="304" t="s">
        <v>458</v>
      </c>
      <c r="B191" s="304">
        <v>2800</v>
      </c>
      <c r="C191" s="305" t="s">
        <v>509</v>
      </c>
      <c r="D191" s="306">
        <v>142000</v>
      </c>
      <c r="E191" s="306">
        <v>16000</v>
      </c>
      <c r="F191" s="306">
        <v>0</v>
      </c>
      <c r="G191" s="306">
        <f t="shared" si="2"/>
        <v>158000</v>
      </c>
    </row>
    <row r="192" spans="1:7" ht="43.5" customHeight="1">
      <c r="A192" s="304" t="s">
        <v>458</v>
      </c>
      <c r="B192" s="304">
        <v>6220</v>
      </c>
      <c r="C192" s="305" t="s">
        <v>510</v>
      </c>
      <c r="D192" s="306">
        <v>381342</v>
      </c>
      <c r="E192" s="306">
        <v>0</v>
      </c>
      <c r="F192" s="306">
        <v>129275</v>
      </c>
      <c r="G192" s="306">
        <f t="shared" si="2"/>
        <v>252067</v>
      </c>
    </row>
    <row r="193" spans="1:7" s="299" customFormat="1" ht="18.75" customHeight="1">
      <c r="A193" s="300">
        <v>92116</v>
      </c>
      <c r="B193" s="300" t="s">
        <v>458</v>
      </c>
      <c r="C193" s="301" t="s">
        <v>174</v>
      </c>
      <c r="D193" s="302">
        <v>22259720</v>
      </c>
      <c r="E193" s="302">
        <f>SUM(E194:E195)</f>
        <v>511404</v>
      </c>
      <c r="F193" s="302">
        <f>SUM(F194:F195)</f>
        <v>0</v>
      </c>
      <c r="G193" s="302">
        <f t="shared" si="2"/>
        <v>22771124</v>
      </c>
    </row>
    <row r="194" spans="1:7" ht="29.25" customHeight="1">
      <c r="A194" s="304" t="s">
        <v>458</v>
      </c>
      <c r="B194" s="304">
        <v>2800</v>
      </c>
      <c r="C194" s="305" t="s">
        <v>509</v>
      </c>
      <c r="D194" s="306">
        <v>143100</v>
      </c>
      <c r="E194" s="306">
        <v>332495</v>
      </c>
      <c r="F194" s="306">
        <v>0</v>
      </c>
      <c r="G194" s="306">
        <f t="shared" si="2"/>
        <v>475595</v>
      </c>
    </row>
    <row r="195" spans="1:7" ht="45.75" customHeight="1">
      <c r="A195" s="304" t="s">
        <v>458</v>
      </c>
      <c r="B195" s="304">
        <v>6220</v>
      </c>
      <c r="C195" s="305" t="s">
        <v>510</v>
      </c>
      <c r="D195" s="306">
        <v>205900</v>
      </c>
      <c r="E195" s="306">
        <v>178909</v>
      </c>
      <c r="F195" s="306">
        <v>0</v>
      </c>
      <c r="G195" s="306">
        <f t="shared" si="2"/>
        <v>384809</v>
      </c>
    </row>
    <row r="196" spans="1:7" s="299" customFormat="1" ht="18" customHeight="1">
      <c r="A196" s="300">
        <v>92118</v>
      </c>
      <c r="B196" s="300" t="s">
        <v>458</v>
      </c>
      <c r="C196" s="301" t="s">
        <v>175</v>
      </c>
      <c r="D196" s="302">
        <v>16182150</v>
      </c>
      <c r="E196" s="302">
        <f>SUM(E197:E199)</f>
        <v>237161</v>
      </c>
      <c r="F196" s="302">
        <f>SUM(F197:F199)</f>
        <v>95398</v>
      </c>
      <c r="G196" s="302">
        <f t="shared" si="2"/>
        <v>16323913</v>
      </c>
    </row>
    <row r="197" spans="1:7" ht="30" customHeight="1">
      <c r="A197" s="304" t="s">
        <v>458</v>
      </c>
      <c r="B197" s="304">
        <v>2480</v>
      </c>
      <c r="C197" s="305" t="s">
        <v>511</v>
      </c>
      <c r="D197" s="306">
        <v>15017422</v>
      </c>
      <c r="E197" s="306">
        <v>0</v>
      </c>
      <c r="F197" s="306">
        <v>95398</v>
      </c>
      <c r="G197" s="306">
        <f t="shared" si="2"/>
        <v>14922024</v>
      </c>
    </row>
    <row r="198" spans="1:7" ht="30" customHeight="1">
      <c r="A198" s="304" t="s">
        <v>458</v>
      </c>
      <c r="B198" s="304">
        <v>2800</v>
      </c>
      <c r="C198" s="305" t="s">
        <v>509</v>
      </c>
      <c r="D198" s="306">
        <v>143800</v>
      </c>
      <c r="E198" s="306">
        <v>26014</v>
      </c>
      <c r="F198" s="306">
        <v>0</v>
      </c>
      <c r="G198" s="306">
        <f t="shared" si="2"/>
        <v>169814</v>
      </c>
    </row>
    <row r="199" spans="1:7" ht="52.5" customHeight="1">
      <c r="A199" s="308" t="s">
        <v>458</v>
      </c>
      <c r="B199" s="308">
        <v>6220</v>
      </c>
      <c r="C199" s="309" t="s">
        <v>510</v>
      </c>
      <c r="D199" s="310">
        <v>946928</v>
      </c>
      <c r="E199" s="310">
        <v>211147</v>
      </c>
      <c r="F199" s="310">
        <v>0</v>
      </c>
      <c r="G199" s="310">
        <f t="shared" si="2"/>
        <v>1158075</v>
      </c>
    </row>
    <row r="200" spans="1:7" s="299" customFormat="1" ht="21" customHeight="1">
      <c r="A200" s="314">
        <v>92195</v>
      </c>
      <c r="B200" s="314" t="s">
        <v>458</v>
      </c>
      <c r="C200" s="315" t="s">
        <v>43</v>
      </c>
      <c r="D200" s="316">
        <v>29729109</v>
      </c>
      <c r="E200" s="316">
        <f>SUM(E201:E202)</f>
        <v>50000</v>
      </c>
      <c r="F200" s="316">
        <f>SUM(F201:F202)</f>
        <v>749399</v>
      </c>
      <c r="G200" s="316">
        <f t="shared" si="2"/>
        <v>29029710</v>
      </c>
    </row>
    <row r="201" spans="1:7" ht="34.5" customHeight="1">
      <c r="A201" s="304" t="s">
        <v>458</v>
      </c>
      <c r="B201" s="304">
        <v>2800</v>
      </c>
      <c r="C201" s="305" t="s">
        <v>509</v>
      </c>
      <c r="D201" s="306">
        <v>1870000</v>
      </c>
      <c r="E201" s="306">
        <v>0</v>
      </c>
      <c r="F201" s="306">
        <v>749399</v>
      </c>
      <c r="G201" s="306">
        <f t="shared" si="2"/>
        <v>1120601</v>
      </c>
    </row>
    <row r="202" spans="1:7" ht="47.25" customHeight="1">
      <c r="A202" s="304" t="s">
        <v>458</v>
      </c>
      <c r="B202" s="304">
        <v>6230</v>
      </c>
      <c r="C202" s="305" t="s">
        <v>512</v>
      </c>
      <c r="D202" s="306">
        <v>0</v>
      </c>
      <c r="E202" s="306">
        <v>50000</v>
      </c>
      <c r="F202" s="306">
        <v>0</v>
      </c>
      <c r="G202" s="306">
        <f t="shared" si="2"/>
        <v>50000</v>
      </c>
    </row>
    <row r="203" spans="1:7" s="299" customFormat="1" ht="43.5" customHeight="1">
      <c r="A203" s="296">
        <v>925</v>
      </c>
      <c r="B203" s="296" t="s">
        <v>458</v>
      </c>
      <c r="C203" s="297" t="s">
        <v>32</v>
      </c>
      <c r="D203" s="298">
        <v>10223547</v>
      </c>
      <c r="E203" s="298">
        <f>E204</f>
        <v>311500</v>
      </c>
      <c r="F203" s="298">
        <f>F204</f>
        <v>144</v>
      </c>
      <c r="G203" s="298">
        <f t="shared" si="2"/>
        <v>10534903</v>
      </c>
    </row>
    <row r="204" spans="1:7" s="299" customFormat="1" ht="16.5" customHeight="1">
      <c r="A204" s="300">
        <v>92502</v>
      </c>
      <c r="B204" s="300" t="s">
        <v>458</v>
      </c>
      <c r="C204" s="301" t="s">
        <v>177</v>
      </c>
      <c r="D204" s="302">
        <v>10223547</v>
      </c>
      <c r="E204" s="302">
        <f>SUM(E205:E209)</f>
        <v>311500</v>
      </c>
      <c r="F204" s="302">
        <f>SUM(F205:F209)</f>
        <v>144</v>
      </c>
      <c r="G204" s="302">
        <f t="shared" ref="G204:G214" si="3">D204+E204-F204</f>
        <v>10534903</v>
      </c>
    </row>
    <row r="205" spans="1:7" ht="16.5" customHeight="1">
      <c r="A205" s="304" t="s">
        <v>458</v>
      </c>
      <c r="B205" s="304">
        <v>4170</v>
      </c>
      <c r="C205" s="305" t="s">
        <v>505</v>
      </c>
      <c r="D205" s="306">
        <v>45768</v>
      </c>
      <c r="E205" s="306">
        <v>6000</v>
      </c>
      <c r="F205" s="306">
        <v>0</v>
      </c>
      <c r="G205" s="306">
        <f t="shared" si="3"/>
        <v>51768</v>
      </c>
    </row>
    <row r="206" spans="1:7" ht="16.5" customHeight="1">
      <c r="A206" s="304" t="s">
        <v>458</v>
      </c>
      <c r="B206" s="304">
        <v>4210</v>
      </c>
      <c r="C206" s="305" t="s">
        <v>497</v>
      </c>
      <c r="D206" s="306">
        <v>285706</v>
      </c>
      <c r="E206" s="306">
        <v>8000</v>
      </c>
      <c r="F206" s="306">
        <v>0</v>
      </c>
      <c r="G206" s="306">
        <f t="shared" si="3"/>
        <v>293706</v>
      </c>
    </row>
    <row r="207" spans="1:7" ht="16.5" customHeight="1">
      <c r="A207" s="304" t="s">
        <v>458</v>
      </c>
      <c r="B207" s="304">
        <v>4270</v>
      </c>
      <c r="C207" s="305" t="s">
        <v>499</v>
      </c>
      <c r="D207" s="306">
        <v>57356</v>
      </c>
      <c r="E207" s="306">
        <v>0</v>
      </c>
      <c r="F207" s="306">
        <v>144</v>
      </c>
      <c r="G207" s="306">
        <f t="shared" si="3"/>
        <v>57212</v>
      </c>
    </row>
    <row r="208" spans="1:7" ht="16.5" customHeight="1">
      <c r="A208" s="304" t="s">
        <v>458</v>
      </c>
      <c r="B208" s="304">
        <v>4300</v>
      </c>
      <c r="C208" s="305" t="s">
        <v>500</v>
      </c>
      <c r="D208" s="306">
        <v>278867</v>
      </c>
      <c r="E208" s="306">
        <v>30000</v>
      </c>
      <c r="F208" s="306">
        <v>0</v>
      </c>
      <c r="G208" s="306">
        <f t="shared" si="3"/>
        <v>308867</v>
      </c>
    </row>
    <row r="209" spans="1:7" ht="16.5" customHeight="1">
      <c r="A209" s="304" t="s">
        <v>458</v>
      </c>
      <c r="B209" s="304">
        <v>6050</v>
      </c>
      <c r="C209" s="305" t="s">
        <v>503</v>
      </c>
      <c r="D209" s="306">
        <v>15358</v>
      </c>
      <c r="E209" s="306">
        <v>267500</v>
      </c>
      <c r="F209" s="306">
        <v>0</v>
      </c>
      <c r="G209" s="306">
        <f t="shared" si="3"/>
        <v>282858</v>
      </c>
    </row>
    <row r="210" spans="1:7" s="299" customFormat="1" ht="16.5" customHeight="1">
      <c r="A210" s="296">
        <v>926</v>
      </c>
      <c r="B210" s="296" t="s">
        <v>458</v>
      </c>
      <c r="C210" s="297" t="s">
        <v>287</v>
      </c>
      <c r="D210" s="298">
        <v>7405900</v>
      </c>
      <c r="E210" s="298">
        <f>E211</f>
        <v>770000</v>
      </c>
      <c r="F210" s="298">
        <f>F211</f>
        <v>0</v>
      </c>
      <c r="G210" s="298">
        <f t="shared" si="3"/>
        <v>8175900</v>
      </c>
    </row>
    <row r="211" spans="1:7" s="299" customFormat="1" ht="16.5" customHeight="1">
      <c r="A211" s="300">
        <v>92605</v>
      </c>
      <c r="B211" s="300" t="s">
        <v>458</v>
      </c>
      <c r="C211" s="301" t="s">
        <v>179</v>
      </c>
      <c r="D211" s="302">
        <v>7405900</v>
      </c>
      <c r="E211" s="302">
        <f>SUM(E212:E214)</f>
        <v>770000</v>
      </c>
      <c r="F211" s="302">
        <f>SUM(F212:F214)</f>
        <v>0</v>
      </c>
      <c r="G211" s="302">
        <f t="shared" si="3"/>
        <v>8175900</v>
      </c>
    </row>
    <row r="212" spans="1:7" ht="16.5" customHeight="1">
      <c r="A212" s="304" t="s">
        <v>458</v>
      </c>
      <c r="B212" s="304">
        <v>4300</v>
      </c>
      <c r="C212" s="305" t="s">
        <v>500</v>
      </c>
      <c r="D212" s="306">
        <v>200000</v>
      </c>
      <c r="E212" s="306">
        <v>70000</v>
      </c>
      <c r="F212" s="306">
        <v>0</v>
      </c>
      <c r="G212" s="306">
        <f t="shared" si="3"/>
        <v>270000</v>
      </c>
    </row>
    <row r="213" spans="1:7" ht="43.5" customHeight="1">
      <c r="A213" s="304" t="s">
        <v>458</v>
      </c>
      <c r="B213" s="304">
        <v>6230</v>
      </c>
      <c r="C213" s="305" t="s">
        <v>512</v>
      </c>
      <c r="D213" s="306">
        <v>0</v>
      </c>
      <c r="E213" s="306">
        <v>50000</v>
      </c>
      <c r="F213" s="306">
        <v>0</v>
      </c>
      <c r="G213" s="306">
        <f t="shared" si="3"/>
        <v>50000</v>
      </c>
    </row>
    <row r="214" spans="1:7" ht="43.5" customHeight="1">
      <c r="A214" s="308" t="s">
        <v>458</v>
      </c>
      <c r="B214" s="308">
        <v>6300</v>
      </c>
      <c r="C214" s="309" t="s">
        <v>513</v>
      </c>
      <c r="D214" s="310">
        <v>2000000</v>
      </c>
      <c r="E214" s="310">
        <v>650000</v>
      </c>
      <c r="F214" s="310">
        <v>0</v>
      </c>
      <c r="G214" s="310">
        <f t="shared" si="3"/>
        <v>2650000</v>
      </c>
    </row>
    <row r="215" spans="1:7">
      <c r="D215" s="317"/>
      <c r="E215" s="317"/>
      <c r="F215" s="317"/>
      <c r="G215" s="317"/>
    </row>
    <row r="216" spans="1:7">
      <c r="D216" s="317"/>
      <c r="E216" s="317"/>
      <c r="F216" s="317"/>
      <c r="G216" s="317"/>
    </row>
    <row r="217" spans="1:7">
      <c r="D217" s="317"/>
      <c r="E217" s="317"/>
      <c r="F217" s="317"/>
      <c r="G217" s="317"/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3"/>
  <sheetViews>
    <sheetView view="pageBreakPreview" zoomScaleNormal="100" zoomScaleSheetLayoutView="100" workbookViewId="0">
      <selection activeCell="D18" sqref="D18"/>
    </sheetView>
  </sheetViews>
  <sheetFormatPr defaultRowHeight="14.25"/>
  <cols>
    <col min="1" max="1" width="6" style="320" customWidth="1"/>
    <col min="2" max="2" width="4.875" style="320" customWidth="1"/>
    <col min="3" max="3" width="57.5" style="320" customWidth="1"/>
    <col min="4" max="6" width="16.125" style="320" customWidth="1"/>
    <col min="7" max="256" width="9" style="320"/>
    <col min="257" max="257" width="6.625" style="320" customWidth="1"/>
    <col min="258" max="258" width="4.875" style="320" customWidth="1"/>
    <col min="259" max="259" width="32.625" style="320" customWidth="1"/>
    <col min="260" max="262" width="16.125" style="320" customWidth="1"/>
    <col min="263" max="512" width="9" style="320"/>
    <col min="513" max="513" width="6.625" style="320" customWidth="1"/>
    <col min="514" max="514" width="4.875" style="320" customWidth="1"/>
    <col min="515" max="515" width="32.625" style="320" customWidth="1"/>
    <col min="516" max="518" width="16.125" style="320" customWidth="1"/>
    <col min="519" max="768" width="9" style="320"/>
    <col min="769" max="769" width="6.625" style="320" customWidth="1"/>
    <col min="770" max="770" width="4.875" style="320" customWidth="1"/>
    <col min="771" max="771" width="32.625" style="320" customWidth="1"/>
    <col min="772" max="774" width="16.125" style="320" customWidth="1"/>
    <col min="775" max="1024" width="9" style="320"/>
    <col min="1025" max="1025" width="6.625" style="320" customWidth="1"/>
    <col min="1026" max="1026" width="4.875" style="320" customWidth="1"/>
    <col min="1027" max="1027" width="32.625" style="320" customWidth="1"/>
    <col min="1028" max="1030" width="16.125" style="320" customWidth="1"/>
    <col min="1031" max="1280" width="9" style="320"/>
    <col min="1281" max="1281" width="6.625" style="320" customWidth="1"/>
    <col min="1282" max="1282" width="4.875" style="320" customWidth="1"/>
    <col min="1283" max="1283" width="32.625" style="320" customWidth="1"/>
    <col min="1284" max="1286" width="16.125" style="320" customWidth="1"/>
    <col min="1287" max="1536" width="9" style="320"/>
    <col min="1537" max="1537" width="6.625" style="320" customWidth="1"/>
    <col min="1538" max="1538" width="4.875" style="320" customWidth="1"/>
    <col min="1539" max="1539" width="32.625" style="320" customWidth="1"/>
    <col min="1540" max="1542" width="16.125" style="320" customWidth="1"/>
    <col min="1543" max="1792" width="9" style="320"/>
    <col min="1793" max="1793" width="6.625" style="320" customWidth="1"/>
    <col min="1794" max="1794" width="4.875" style="320" customWidth="1"/>
    <col min="1795" max="1795" width="32.625" style="320" customWidth="1"/>
    <col min="1796" max="1798" width="16.125" style="320" customWidth="1"/>
    <col min="1799" max="2048" width="9" style="320"/>
    <col min="2049" max="2049" width="6.625" style="320" customWidth="1"/>
    <col min="2050" max="2050" width="4.875" style="320" customWidth="1"/>
    <col min="2051" max="2051" width="32.625" style="320" customWidth="1"/>
    <col min="2052" max="2054" width="16.125" style="320" customWidth="1"/>
    <col min="2055" max="2304" width="9" style="320"/>
    <col min="2305" max="2305" width="6.625" style="320" customWidth="1"/>
    <col min="2306" max="2306" width="4.875" style="320" customWidth="1"/>
    <col min="2307" max="2307" width="32.625" style="320" customWidth="1"/>
    <col min="2308" max="2310" width="16.125" style="320" customWidth="1"/>
    <col min="2311" max="2560" width="9" style="320"/>
    <col min="2561" max="2561" width="6.625" style="320" customWidth="1"/>
    <col min="2562" max="2562" width="4.875" style="320" customWidth="1"/>
    <col min="2563" max="2563" width="32.625" style="320" customWidth="1"/>
    <col min="2564" max="2566" width="16.125" style="320" customWidth="1"/>
    <col min="2567" max="2816" width="9" style="320"/>
    <col min="2817" max="2817" width="6.625" style="320" customWidth="1"/>
    <col min="2818" max="2818" width="4.875" style="320" customWidth="1"/>
    <col min="2819" max="2819" width="32.625" style="320" customWidth="1"/>
    <col min="2820" max="2822" width="16.125" style="320" customWidth="1"/>
    <col min="2823" max="3072" width="9" style="320"/>
    <col min="3073" max="3073" width="6.625" style="320" customWidth="1"/>
    <col min="3074" max="3074" width="4.875" style="320" customWidth="1"/>
    <col min="3075" max="3075" width="32.625" style="320" customWidth="1"/>
    <col min="3076" max="3078" width="16.125" style="320" customWidth="1"/>
    <col min="3079" max="3328" width="9" style="320"/>
    <col min="3329" max="3329" width="6.625" style="320" customWidth="1"/>
    <col min="3330" max="3330" width="4.875" style="320" customWidth="1"/>
    <col min="3331" max="3331" width="32.625" style="320" customWidth="1"/>
    <col min="3332" max="3334" width="16.125" style="320" customWidth="1"/>
    <col min="3335" max="3584" width="9" style="320"/>
    <col min="3585" max="3585" width="6.625" style="320" customWidth="1"/>
    <col min="3586" max="3586" width="4.875" style="320" customWidth="1"/>
    <col min="3587" max="3587" width="32.625" style="320" customWidth="1"/>
    <col min="3588" max="3590" width="16.125" style="320" customWidth="1"/>
    <col min="3591" max="3840" width="9" style="320"/>
    <col min="3841" max="3841" width="6.625" style="320" customWidth="1"/>
    <col min="3842" max="3842" width="4.875" style="320" customWidth="1"/>
    <col min="3843" max="3843" width="32.625" style="320" customWidth="1"/>
    <col min="3844" max="3846" width="16.125" style="320" customWidth="1"/>
    <col min="3847" max="4096" width="9" style="320"/>
    <col min="4097" max="4097" width="6.625" style="320" customWidth="1"/>
    <col min="4098" max="4098" width="4.875" style="320" customWidth="1"/>
    <col min="4099" max="4099" width="32.625" style="320" customWidth="1"/>
    <col min="4100" max="4102" width="16.125" style="320" customWidth="1"/>
    <col min="4103" max="4352" width="9" style="320"/>
    <col min="4353" max="4353" width="6.625" style="320" customWidth="1"/>
    <col min="4354" max="4354" width="4.875" style="320" customWidth="1"/>
    <col min="4355" max="4355" width="32.625" style="320" customWidth="1"/>
    <col min="4356" max="4358" width="16.125" style="320" customWidth="1"/>
    <col min="4359" max="4608" width="9" style="320"/>
    <col min="4609" max="4609" width="6.625" style="320" customWidth="1"/>
    <col min="4610" max="4610" width="4.875" style="320" customWidth="1"/>
    <col min="4611" max="4611" width="32.625" style="320" customWidth="1"/>
    <col min="4612" max="4614" width="16.125" style="320" customWidth="1"/>
    <col min="4615" max="4864" width="9" style="320"/>
    <col min="4865" max="4865" width="6.625" style="320" customWidth="1"/>
    <col min="4866" max="4866" width="4.875" style="320" customWidth="1"/>
    <col min="4867" max="4867" width="32.625" style="320" customWidth="1"/>
    <col min="4868" max="4870" width="16.125" style="320" customWidth="1"/>
    <col min="4871" max="5120" width="9" style="320"/>
    <col min="5121" max="5121" width="6.625" style="320" customWidth="1"/>
    <col min="5122" max="5122" width="4.875" style="320" customWidth="1"/>
    <col min="5123" max="5123" width="32.625" style="320" customWidth="1"/>
    <col min="5124" max="5126" width="16.125" style="320" customWidth="1"/>
    <col min="5127" max="5376" width="9" style="320"/>
    <col min="5377" max="5377" width="6.625" style="320" customWidth="1"/>
    <col min="5378" max="5378" width="4.875" style="320" customWidth="1"/>
    <col min="5379" max="5379" width="32.625" style="320" customWidth="1"/>
    <col min="5380" max="5382" width="16.125" style="320" customWidth="1"/>
    <col min="5383" max="5632" width="9" style="320"/>
    <col min="5633" max="5633" width="6.625" style="320" customWidth="1"/>
    <col min="5634" max="5634" width="4.875" style="320" customWidth="1"/>
    <col min="5635" max="5635" width="32.625" style="320" customWidth="1"/>
    <col min="5636" max="5638" width="16.125" style="320" customWidth="1"/>
    <col min="5639" max="5888" width="9" style="320"/>
    <col min="5889" max="5889" width="6.625" style="320" customWidth="1"/>
    <col min="5890" max="5890" width="4.875" style="320" customWidth="1"/>
    <col min="5891" max="5891" width="32.625" style="320" customWidth="1"/>
    <col min="5892" max="5894" width="16.125" style="320" customWidth="1"/>
    <col min="5895" max="6144" width="9" style="320"/>
    <col min="6145" max="6145" width="6.625" style="320" customWidth="1"/>
    <col min="6146" max="6146" width="4.875" style="320" customWidth="1"/>
    <col min="6147" max="6147" width="32.625" style="320" customWidth="1"/>
    <col min="6148" max="6150" width="16.125" style="320" customWidth="1"/>
    <col min="6151" max="6400" width="9" style="320"/>
    <col min="6401" max="6401" width="6.625" style="320" customWidth="1"/>
    <col min="6402" max="6402" width="4.875" style="320" customWidth="1"/>
    <col min="6403" max="6403" width="32.625" style="320" customWidth="1"/>
    <col min="6404" max="6406" width="16.125" style="320" customWidth="1"/>
    <col min="6407" max="6656" width="9" style="320"/>
    <col min="6657" max="6657" width="6.625" style="320" customWidth="1"/>
    <col min="6658" max="6658" width="4.875" style="320" customWidth="1"/>
    <col min="6659" max="6659" width="32.625" style="320" customWidth="1"/>
    <col min="6660" max="6662" width="16.125" style="320" customWidth="1"/>
    <col min="6663" max="6912" width="9" style="320"/>
    <col min="6913" max="6913" width="6.625" style="320" customWidth="1"/>
    <col min="6914" max="6914" width="4.875" style="320" customWidth="1"/>
    <col min="6915" max="6915" width="32.625" style="320" customWidth="1"/>
    <col min="6916" max="6918" width="16.125" style="320" customWidth="1"/>
    <col min="6919" max="7168" width="9" style="320"/>
    <col min="7169" max="7169" width="6.625" style="320" customWidth="1"/>
    <col min="7170" max="7170" width="4.875" style="320" customWidth="1"/>
    <col min="7171" max="7171" width="32.625" style="320" customWidth="1"/>
    <col min="7172" max="7174" width="16.125" style="320" customWidth="1"/>
    <col min="7175" max="7424" width="9" style="320"/>
    <col min="7425" max="7425" width="6.625" style="320" customWidth="1"/>
    <col min="7426" max="7426" width="4.875" style="320" customWidth="1"/>
    <col min="7427" max="7427" width="32.625" style="320" customWidth="1"/>
    <col min="7428" max="7430" width="16.125" style="320" customWidth="1"/>
    <col min="7431" max="7680" width="9" style="320"/>
    <col min="7681" max="7681" width="6.625" style="320" customWidth="1"/>
    <col min="7682" max="7682" width="4.875" style="320" customWidth="1"/>
    <col min="7683" max="7683" width="32.625" style="320" customWidth="1"/>
    <col min="7684" max="7686" width="16.125" style="320" customWidth="1"/>
    <col min="7687" max="7936" width="9" style="320"/>
    <col min="7937" max="7937" width="6.625" style="320" customWidth="1"/>
    <col min="7938" max="7938" width="4.875" style="320" customWidth="1"/>
    <col min="7939" max="7939" width="32.625" style="320" customWidth="1"/>
    <col min="7940" max="7942" width="16.125" style="320" customWidth="1"/>
    <col min="7943" max="8192" width="9" style="320"/>
    <col min="8193" max="8193" width="6.625" style="320" customWidth="1"/>
    <col min="8194" max="8194" width="4.875" style="320" customWidth="1"/>
    <col min="8195" max="8195" width="32.625" style="320" customWidth="1"/>
    <col min="8196" max="8198" width="16.125" style="320" customWidth="1"/>
    <col min="8199" max="8448" width="9" style="320"/>
    <col min="8449" max="8449" width="6.625" style="320" customWidth="1"/>
    <col min="8450" max="8450" width="4.875" style="320" customWidth="1"/>
    <col min="8451" max="8451" width="32.625" style="320" customWidth="1"/>
    <col min="8452" max="8454" width="16.125" style="320" customWidth="1"/>
    <col min="8455" max="8704" width="9" style="320"/>
    <col min="8705" max="8705" width="6.625" style="320" customWidth="1"/>
    <col min="8706" max="8706" width="4.875" style="320" customWidth="1"/>
    <col min="8707" max="8707" width="32.625" style="320" customWidth="1"/>
    <col min="8708" max="8710" width="16.125" style="320" customWidth="1"/>
    <col min="8711" max="8960" width="9" style="320"/>
    <col min="8961" max="8961" width="6.625" style="320" customWidth="1"/>
    <col min="8962" max="8962" width="4.875" style="320" customWidth="1"/>
    <col min="8963" max="8963" width="32.625" style="320" customWidth="1"/>
    <col min="8964" max="8966" width="16.125" style="320" customWidth="1"/>
    <col min="8967" max="9216" width="9" style="320"/>
    <col min="9217" max="9217" width="6.625" style="320" customWidth="1"/>
    <col min="9218" max="9218" width="4.875" style="320" customWidth="1"/>
    <col min="9219" max="9219" width="32.625" style="320" customWidth="1"/>
    <col min="9220" max="9222" width="16.125" style="320" customWidth="1"/>
    <col min="9223" max="9472" width="9" style="320"/>
    <col min="9473" max="9473" width="6.625" style="320" customWidth="1"/>
    <col min="9474" max="9474" width="4.875" style="320" customWidth="1"/>
    <col min="9475" max="9475" width="32.625" style="320" customWidth="1"/>
    <col min="9476" max="9478" width="16.125" style="320" customWidth="1"/>
    <col min="9479" max="9728" width="9" style="320"/>
    <col min="9729" max="9729" width="6.625" style="320" customWidth="1"/>
    <col min="9730" max="9730" width="4.875" style="320" customWidth="1"/>
    <col min="9731" max="9731" width="32.625" style="320" customWidth="1"/>
    <col min="9732" max="9734" width="16.125" style="320" customWidth="1"/>
    <col min="9735" max="9984" width="9" style="320"/>
    <col min="9985" max="9985" width="6.625" style="320" customWidth="1"/>
    <col min="9986" max="9986" width="4.875" style="320" customWidth="1"/>
    <col min="9987" max="9987" width="32.625" style="320" customWidth="1"/>
    <col min="9988" max="9990" width="16.125" style="320" customWidth="1"/>
    <col min="9991" max="10240" width="9" style="320"/>
    <col min="10241" max="10241" width="6.625" style="320" customWidth="1"/>
    <col min="10242" max="10242" width="4.875" style="320" customWidth="1"/>
    <col min="10243" max="10243" width="32.625" style="320" customWidth="1"/>
    <col min="10244" max="10246" width="16.125" style="320" customWidth="1"/>
    <col min="10247" max="10496" width="9" style="320"/>
    <col min="10497" max="10497" width="6.625" style="320" customWidth="1"/>
    <col min="10498" max="10498" width="4.875" style="320" customWidth="1"/>
    <col min="10499" max="10499" width="32.625" style="320" customWidth="1"/>
    <col min="10500" max="10502" width="16.125" style="320" customWidth="1"/>
    <col min="10503" max="10752" width="9" style="320"/>
    <col min="10753" max="10753" width="6.625" style="320" customWidth="1"/>
    <col min="10754" max="10754" width="4.875" style="320" customWidth="1"/>
    <col min="10755" max="10755" width="32.625" style="320" customWidth="1"/>
    <col min="10756" max="10758" width="16.125" style="320" customWidth="1"/>
    <col min="10759" max="11008" width="9" style="320"/>
    <col min="11009" max="11009" width="6.625" style="320" customWidth="1"/>
    <col min="11010" max="11010" width="4.875" style="320" customWidth="1"/>
    <col min="11011" max="11011" width="32.625" style="320" customWidth="1"/>
    <col min="11012" max="11014" width="16.125" style="320" customWidth="1"/>
    <col min="11015" max="11264" width="9" style="320"/>
    <col min="11265" max="11265" width="6.625" style="320" customWidth="1"/>
    <col min="11266" max="11266" width="4.875" style="320" customWidth="1"/>
    <col min="11267" max="11267" width="32.625" style="320" customWidth="1"/>
    <col min="11268" max="11270" width="16.125" style="320" customWidth="1"/>
    <col min="11271" max="11520" width="9" style="320"/>
    <col min="11521" max="11521" width="6.625" style="320" customWidth="1"/>
    <col min="11522" max="11522" width="4.875" style="320" customWidth="1"/>
    <col min="11523" max="11523" width="32.625" style="320" customWidth="1"/>
    <col min="11524" max="11526" width="16.125" style="320" customWidth="1"/>
    <col min="11527" max="11776" width="9" style="320"/>
    <col min="11777" max="11777" width="6.625" style="320" customWidth="1"/>
    <col min="11778" max="11778" width="4.875" style="320" customWidth="1"/>
    <col min="11779" max="11779" width="32.625" style="320" customWidth="1"/>
    <col min="11780" max="11782" width="16.125" style="320" customWidth="1"/>
    <col min="11783" max="12032" width="9" style="320"/>
    <col min="12033" max="12033" width="6.625" style="320" customWidth="1"/>
    <col min="12034" max="12034" width="4.875" style="320" customWidth="1"/>
    <col min="12035" max="12035" width="32.625" style="320" customWidth="1"/>
    <col min="12036" max="12038" width="16.125" style="320" customWidth="1"/>
    <col min="12039" max="12288" width="9" style="320"/>
    <col min="12289" max="12289" width="6.625" style="320" customWidth="1"/>
    <col min="12290" max="12290" width="4.875" style="320" customWidth="1"/>
    <col min="12291" max="12291" width="32.625" style="320" customWidth="1"/>
    <col min="12292" max="12294" width="16.125" style="320" customWidth="1"/>
    <col min="12295" max="12544" width="9" style="320"/>
    <col min="12545" max="12545" width="6.625" style="320" customWidth="1"/>
    <col min="12546" max="12546" width="4.875" style="320" customWidth="1"/>
    <col min="12547" max="12547" width="32.625" style="320" customWidth="1"/>
    <col min="12548" max="12550" width="16.125" style="320" customWidth="1"/>
    <col min="12551" max="12800" width="9" style="320"/>
    <col min="12801" max="12801" width="6.625" style="320" customWidth="1"/>
    <col min="12802" max="12802" width="4.875" style="320" customWidth="1"/>
    <col min="12803" max="12803" width="32.625" style="320" customWidth="1"/>
    <col min="12804" max="12806" width="16.125" style="320" customWidth="1"/>
    <col min="12807" max="13056" width="9" style="320"/>
    <col min="13057" max="13057" width="6.625" style="320" customWidth="1"/>
    <col min="13058" max="13058" width="4.875" style="320" customWidth="1"/>
    <col min="13059" max="13059" width="32.625" style="320" customWidth="1"/>
    <col min="13060" max="13062" width="16.125" style="320" customWidth="1"/>
    <col min="13063" max="13312" width="9" style="320"/>
    <col min="13313" max="13313" width="6.625" style="320" customWidth="1"/>
    <col min="13314" max="13314" width="4.875" style="320" customWidth="1"/>
    <col min="13315" max="13315" width="32.625" style="320" customWidth="1"/>
    <col min="13316" max="13318" width="16.125" style="320" customWidth="1"/>
    <col min="13319" max="13568" width="9" style="320"/>
    <col min="13569" max="13569" width="6.625" style="320" customWidth="1"/>
    <col min="13570" max="13570" width="4.875" style="320" customWidth="1"/>
    <col min="13571" max="13571" width="32.625" style="320" customWidth="1"/>
    <col min="13572" max="13574" width="16.125" style="320" customWidth="1"/>
    <col min="13575" max="13824" width="9" style="320"/>
    <col min="13825" max="13825" width="6.625" style="320" customWidth="1"/>
    <col min="13826" max="13826" width="4.875" style="320" customWidth="1"/>
    <col min="13827" max="13827" width="32.625" style="320" customWidth="1"/>
    <col min="13828" max="13830" width="16.125" style="320" customWidth="1"/>
    <col min="13831" max="14080" width="9" style="320"/>
    <col min="14081" max="14081" width="6.625" style="320" customWidth="1"/>
    <col min="14082" max="14082" width="4.875" style="320" customWidth="1"/>
    <col min="14083" max="14083" width="32.625" style="320" customWidth="1"/>
    <col min="14084" max="14086" width="16.125" style="320" customWidth="1"/>
    <col min="14087" max="14336" width="9" style="320"/>
    <col min="14337" max="14337" width="6.625" style="320" customWidth="1"/>
    <col min="14338" max="14338" width="4.875" style="320" customWidth="1"/>
    <col min="14339" max="14339" width="32.625" style="320" customWidth="1"/>
    <col min="14340" max="14342" width="16.125" style="320" customWidth="1"/>
    <col min="14343" max="14592" width="9" style="320"/>
    <col min="14593" max="14593" width="6.625" style="320" customWidth="1"/>
    <col min="14594" max="14594" width="4.875" style="320" customWidth="1"/>
    <col min="14595" max="14595" width="32.625" style="320" customWidth="1"/>
    <col min="14596" max="14598" width="16.125" style="320" customWidth="1"/>
    <col min="14599" max="14848" width="9" style="320"/>
    <col min="14849" max="14849" width="6.625" style="320" customWidth="1"/>
    <col min="14850" max="14850" width="4.875" style="320" customWidth="1"/>
    <col min="14851" max="14851" width="32.625" style="320" customWidth="1"/>
    <col min="14852" max="14854" width="16.125" style="320" customWidth="1"/>
    <col min="14855" max="15104" width="9" style="320"/>
    <col min="15105" max="15105" width="6.625" style="320" customWidth="1"/>
    <col min="15106" max="15106" width="4.875" style="320" customWidth="1"/>
    <col min="15107" max="15107" width="32.625" style="320" customWidth="1"/>
    <col min="15108" max="15110" width="16.125" style="320" customWidth="1"/>
    <col min="15111" max="15360" width="9" style="320"/>
    <col min="15361" max="15361" width="6.625" style="320" customWidth="1"/>
    <col min="15362" max="15362" width="4.875" style="320" customWidth="1"/>
    <col min="15363" max="15363" width="32.625" style="320" customWidth="1"/>
    <col min="15364" max="15366" width="16.125" style="320" customWidth="1"/>
    <col min="15367" max="15616" width="9" style="320"/>
    <col min="15617" max="15617" width="6.625" style="320" customWidth="1"/>
    <col min="15618" max="15618" width="4.875" style="320" customWidth="1"/>
    <col min="15619" max="15619" width="32.625" style="320" customWidth="1"/>
    <col min="15620" max="15622" width="16.125" style="320" customWidth="1"/>
    <col min="15623" max="15872" width="9" style="320"/>
    <col min="15873" max="15873" width="6.625" style="320" customWidth="1"/>
    <col min="15874" max="15874" width="4.875" style="320" customWidth="1"/>
    <col min="15875" max="15875" width="32.625" style="320" customWidth="1"/>
    <col min="15876" max="15878" width="16.125" style="320" customWidth="1"/>
    <col min="15879" max="16128" width="9" style="320"/>
    <col min="16129" max="16129" width="6.625" style="320" customWidth="1"/>
    <col min="16130" max="16130" width="4.875" style="320" customWidth="1"/>
    <col min="16131" max="16131" width="32.625" style="320" customWidth="1"/>
    <col min="16132" max="16134" width="16.125" style="320" customWidth="1"/>
    <col min="16135" max="16384" width="9" style="320"/>
  </cols>
  <sheetData>
    <row r="1" spans="1:6">
      <c r="A1" s="318"/>
      <c r="B1" s="318"/>
      <c r="C1" s="318"/>
      <c r="D1" s="319"/>
      <c r="E1" s="129" t="s">
        <v>516</v>
      </c>
      <c r="F1" s="319"/>
    </row>
    <row r="2" spans="1:6">
      <c r="A2" s="318"/>
      <c r="B2" s="318"/>
      <c r="C2" s="318"/>
      <c r="D2" s="321"/>
      <c r="E2" s="129" t="s">
        <v>517</v>
      </c>
      <c r="F2" s="321"/>
    </row>
    <row r="3" spans="1:6" ht="16.5" customHeight="1">
      <c r="A3" s="322"/>
      <c r="B3" s="322"/>
      <c r="C3" s="322"/>
      <c r="D3" s="321"/>
      <c r="E3" s="323" t="s">
        <v>518</v>
      </c>
      <c r="F3" s="321"/>
    </row>
    <row r="4" spans="1:6" ht="11.25" customHeight="1">
      <c r="A4" s="322"/>
      <c r="B4" s="322"/>
      <c r="C4" s="322"/>
      <c r="D4" s="321"/>
      <c r="E4" s="321"/>
      <c r="F4" s="321"/>
    </row>
    <row r="5" spans="1:6" ht="26.25" customHeight="1">
      <c r="A5" s="802" t="s">
        <v>519</v>
      </c>
      <c r="B5" s="802"/>
      <c r="C5" s="802"/>
      <c r="D5" s="802"/>
      <c r="E5" s="802"/>
      <c r="F5" s="802"/>
    </row>
    <row r="6" spans="1:6">
      <c r="A6" s="803"/>
      <c r="B6" s="803"/>
      <c r="C6" s="803"/>
      <c r="D6" s="324"/>
      <c r="E6" s="324"/>
      <c r="F6" s="324" t="s">
        <v>0</v>
      </c>
    </row>
    <row r="7" spans="1:6">
      <c r="A7" s="804" t="s">
        <v>520</v>
      </c>
      <c r="B7" s="804" t="s">
        <v>444</v>
      </c>
      <c r="C7" s="805" t="s">
        <v>521</v>
      </c>
      <c r="D7" s="804" t="s">
        <v>446</v>
      </c>
      <c r="E7" s="806" t="s">
        <v>522</v>
      </c>
      <c r="F7" s="807" t="s">
        <v>449</v>
      </c>
    </row>
    <row r="8" spans="1:6">
      <c r="A8" s="804"/>
      <c r="B8" s="804"/>
      <c r="C8" s="805"/>
      <c r="D8" s="804"/>
      <c r="E8" s="806"/>
      <c r="F8" s="807"/>
    </row>
    <row r="9" spans="1:6">
      <c r="A9" s="325">
        <v>1</v>
      </c>
      <c r="B9" s="325">
        <v>2</v>
      </c>
      <c r="C9" s="326">
        <v>3</v>
      </c>
      <c r="D9" s="325">
        <v>4</v>
      </c>
      <c r="E9" s="327">
        <v>5</v>
      </c>
      <c r="F9" s="328">
        <v>6</v>
      </c>
    </row>
    <row r="10" spans="1:6">
      <c r="A10" s="329"/>
      <c r="B10" s="330"/>
      <c r="C10" s="330"/>
      <c r="D10" s="331"/>
      <c r="E10" s="331"/>
      <c r="F10" s="331"/>
    </row>
    <row r="11" spans="1:6" ht="21" customHeight="1">
      <c r="A11" s="332">
        <v>1</v>
      </c>
      <c r="B11" s="332"/>
      <c r="C11" s="333" t="s">
        <v>523</v>
      </c>
      <c r="D11" s="334">
        <f>D13+D12</f>
        <v>1365740805</v>
      </c>
      <c r="E11" s="334">
        <f>E13+E12</f>
        <v>24224180</v>
      </c>
      <c r="F11" s="334">
        <f>F13+F12</f>
        <v>1389964985</v>
      </c>
    </row>
    <row r="12" spans="1:6" ht="21" customHeight="1">
      <c r="A12" s="335" t="s">
        <v>524</v>
      </c>
      <c r="B12" s="335"/>
      <c r="C12" s="336" t="s">
        <v>525</v>
      </c>
      <c r="D12" s="337">
        <v>930373559</v>
      </c>
      <c r="E12" s="337">
        <v>727724</v>
      </c>
      <c r="F12" s="337">
        <f>D12+E12</f>
        <v>931101283</v>
      </c>
    </row>
    <row r="13" spans="1:6" ht="21" customHeight="1">
      <c r="A13" s="335" t="s">
        <v>526</v>
      </c>
      <c r="B13" s="335"/>
      <c r="C13" s="336" t="s">
        <v>527</v>
      </c>
      <c r="D13" s="337">
        <v>435367246</v>
      </c>
      <c r="E13" s="337">
        <v>23496456</v>
      </c>
      <c r="F13" s="337">
        <f>D13+E13</f>
        <v>458863702</v>
      </c>
    </row>
    <row r="14" spans="1:6" ht="21" customHeight="1">
      <c r="A14" s="332">
        <v>2</v>
      </c>
      <c r="B14" s="332"/>
      <c r="C14" s="333" t="s">
        <v>528</v>
      </c>
      <c r="D14" s="334">
        <f>D15+D18+D21</f>
        <v>162743953</v>
      </c>
      <c r="E14" s="334">
        <f>E15+E18+E21</f>
        <v>189930</v>
      </c>
      <c r="F14" s="334">
        <f>F15+F18+F21</f>
        <v>162933883</v>
      </c>
    </row>
    <row r="15" spans="1:6" ht="30.75" customHeight="1">
      <c r="A15" s="338" t="s">
        <v>529</v>
      </c>
      <c r="B15" s="339"/>
      <c r="C15" s="340" t="s">
        <v>530</v>
      </c>
      <c r="D15" s="341">
        <f>D16+D17</f>
        <v>2000000</v>
      </c>
      <c r="E15" s="341">
        <f>E16+E17</f>
        <v>189930</v>
      </c>
      <c r="F15" s="341">
        <f>F16+F17</f>
        <v>2189930</v>
      </c>
    </row>
    <row r="16" spans="1:6" s="346" customFormat="1" ht="30" customHeight="1">
      <c r="A16" s="342" t="s">
        <v>531</v>
      </c>
      <c r="B16" s="343">
        <v>905</v>
      </c>
      <c r="C16" s="344" t="s">
        <v>532</v>
      </c>
      <c r="D16" s="345">
        <v>2000000</v>
      </c>
      <c r="E16" s="345">
        <v>0</v>
      </c>
      <c r="F16" s="345">
        <f>D16+E16</f>
        <v>2000000</v>
      </c>
    </row>
    <row r="17" spans="1:6" s="346" customFormat="1" ht="44.25" customHeight="1">
      <c r="A17" s="347" t="s">
        <v>533</v>
      </c>
      <c r="B17" s="343">
        <v>906</v>
      </c>
      <c r="C17" s="344" t="s">
        <v>534</v>
      </c>
      <c r="D17" s="345">
        <v>0</v>
      </c>
      <c r="E17" s="345">
        <v>189930</v>
      </c>
      <c r="F17" s="345">
        <f>D17+E17</f>
        <v>189930</v>
      </c>
    </row>
    <row r="18" spans="1:6" ht="21" customHeight="1">
      <c r="A18" s="348" t="s">
        <v>535</v>
      </c>
      <c r="B18" s="349">
        <v>952</v>
      </c>
      <c r="C18" s="350" t="s">
        <v>536</v>
      </c>
      <c r="D18" s="341">
        <f>D19+D20</f>
        <v>79938699</v>
      </c>
      <c r="E18" s="341">
        <f>E19+E20</f>
        <v>0</v>
      </c>
      <c r="F18" s="341">
        <f>F19+F20</f>
        <v>79938699</v>
      </c>
    </row>
    <row r="19" spans="1:6" ht="21" customHeight="1">
      <c r="A19" s="347" t="s">
        <v>537</v>
      </c>
      <c r="B19" s="325"/>
      <c r="C19" s="351" t="s">
        <v>538</v>
      </c>
      <c r="D19" s="345">
        <v>7638699</v>
      </c>
      <c r="E19" s="345">
        <v>0</v>
      </c>
      <c r="F19" s="345">
        <f>D19+E19</f>
        <v>7638699</v>
      </c>
    </row>
    <row r="20" spans="1:6" ht="21" customHeight="1">
      <c r="A20" s="347" t="s">
        <v>539</v>
      </c>
      <c r="B20" s="325"/>
      <c r="C20" s="351" t="s">
        <v>540</v>
      </c>
      <c r="D20" s="345">
        <v>72300000</v>
      </c>
      <c r="E20" s="345">
        <v>0</v>
      </c>
      <c r="F20" s="345">
        <f>D20+E20</f>
        <v>72300000</v>
      </c>
    </row>
    <row r="21" spans="1:6" ht="21" customHeight="1">
      <c r="A21" s="348" t="s">
        <v>541</v>
      </c>
      <c r="B21" s="349">
        <v>950</v>
      </c>
      <c r="C21" s="350" t="s">
        <v>542</v>
      </c>
      <c r="D21" s="341">
        <f>D22+D23</f>
        <v>80805254</v>
      </c>
      <c r="E21" s="341">
        <f>E22+E23</f>
        <v>0</v>
      </c>
      <c r="F21" s="341">
        <f>D21+E21</f>
        <v>80805254</v>
      </c>
    </row>
    <row r="22" spans="1:6" ht="21" customHeight="1">
      <c r="A22" s="347" t="s">
        <v>543</v>
      </c>
      <c r="B22" s="325"/>
      <c r="C22" s="351" t="s">
        <v>544</v>
      </c>
      <c r="D22" s="345">
        <v>19805254</v>
      </c>
      <c r="E22" s="345">
        <v>0</v>
      </c>
      <c r="F22" s="345">
        <f>D22+E22</f>
        <v>19805254</v>
      </c>
    </row>
    <row r="23" spans="1:6" ht="21" customHeight="1">
      <c r="A23" s="347" t="s">
        <v>545</v>
      </c>
      <c r="B23" s="325"/>
      <c r="C23" s="351" t="s">
        <v>546</v>
      </c>
      <c r="D23" s="345">
        <v>61000000</v>
      </c>
      <c r="E23" s="345">
        <v>0</v>
      </c>
      <c r="F23" s="345">
        <f>D23+E23</f>
        <v>61000000</v>
      </c>
    </row>
    <row r="24" spans="1:6" ht="21" customHeight="1">
      <c r="A24" s="352">
        <v>3</v>
      </c>
      <c r="B24" s="352"/>
      <c r="C24" s="353" t="s">
        <v>547</v>
      </c>
      <c r="D24" s="354">
        <f>D11+D14</f>
        <v>1528484758</v>
      </c>
      <c r="E24" s="354">
        <f>E11+E14</f>
        <v>24414110</v>
      </c>
      <c r="F24" s="354">
        <f>F11+F14</f>
        <v>1552898868</v>
      </c>
    </row>
    <row r="25" spans="1:6" ht="9.75" customHeight="1">
      <c r="A25" s="355"/>
      <c r="B25" s="356"/>
      <c r="C25" s="357"/>
      <c r="D25" s="358"/>
      <c r="E25" s="358"/>
      <c r="F25" s="358"/>
    </row>
    <row r="26" spans="1:6" ht="21" customHeight="1">
      <c r="A26" s="359">
        <v>4</v>
      </c>
      <c r="B26" s="359"/>
      <c r="C26" s="360" t="s">
        <v>548</v>
      </c>
      <c r="D26" s="334">
        <f>D27+D30</f>
        <v>1501040805</v>
      </c>
      <c r="E26" s="334">
        <f>E27+E30</f>
        <v>24414110</v>
      </c>
      <c r="F26" s="334">
        <f>F27+F30</f>
        <v>1525454915</v>
      </c>
    </row>
    <row r="27" spans="1:6" ht="21" customHeight="1">
      <c r="A27" s="335" t="s">
        <v>549</v>
      </c>
      <c r="B27" s="335"/>
      <c r="C27" s="336" t="s">
        <v>550</v>
      </c>
      <c r="D27" s="337">
        <f>D28+D29</f>
        <v>843725793</v>
      </c>
      <c r="E27" s="337">
        <f>E28+E29</f>
        <v>-4593879</v>
      </c>
      <c r="F27" s="337">
        <f>F28+F29</f>
        <v>839131914</v>
      </c>
    </row>
    <row r="28" spans="1:6" ht="21" customHeight="1">
      <c r="A28" s="361" t="s">
        <v>551</v>
      </c>
      <c r="B28" s="361"/>
      <c r="C28" s="362" t="s">
        <v>552</v>
      </c>
      <c r="D28" s="363">
        <v>801108098</v>
      </c>
      <c r="E28" s="363">
        <v>-4593879</v>
      </c>
      <c r="F28" s="363">
        <f>D28+E28</f>
        <v>796514219</v>
      </c>
    </row>
    <row r="29" spans="1:6" ht="21" customHeight="1">
      <c r="A29" s="361" t="s">
        <v>553</v>
      </c>
      <c r="B29" s="361"/>
      <c r="C29" s="362" t="s">
        <v>554</v>
      </c>
      <c r="D29" s="363">
        <v>42617695</v>
      </c>
      <c r="E29" s="363">
        <v>0</v>
      </c>
      <c r="F29" s="363">
        <f>D29+E29</f>
        <v>42617695</v>
      </c>
    </row>
    <row r="30" spans="1:6" ht="21" customHeight="1">
      <c r="A30" s="335" t="s">
        <v>555</v>
      </c>
      <c r="B30" s="335"/>
      <c r="C30" s="336" t="s">
        <v>556</v>
      </c>
      <c r="D30" s="337">
        <v>657315012</v>
      </c>
      <c r="E30" s="337">
        <v>29007989</v>
      </c>
      <c r="F30" s="337">
        <f>D30+E30</f>
        <v>686323001</v>
      </c>
    </row>
    <row r="31" spans="1:6" ht="21" customHeight="1">
      <c r="A31" s="332">
        <v>5</v>
      </c>
      <c r="B31" s="332"/>
      <c r="C31" s="333" t="s">
        <v>557</v>
      </c>
      <c r="D31" s="334">
        <f>D32</f>
        <v>27443953</v>
      </c>
      <c r="E31" s="334">
        <f>E32</f>
        <v>0</v>
      </c>
      <c r="F31" s="334">
        <f>F32</f>
        <v>27443953</v>
      </c>
    </row>
    <row r="32" spans="1:6" ht="21" customHeight="1">
      <c r="A32" s="364" t="s">
        <v>558</v>
      </c>
      <c r="B32" s="364">
        <v>992</v>
      </c>
      <c r="C32" s="365" t="s">
        <v>559</v>
      </c>
      <c r="D32" s="341">
        <v>27443953</v>
      </c>
      <c r="E32" s="341">
        <v>0</v>
      </c>
      <c r="F32" s="341">
        <f>D32+E32</f>
        <v>27443953</v>
      </c>
    </row>
    <row r="33" spans="1:6" ht="21" customHeight="1">
      <c r="A33" s="352">
        <v>6</v>
      </c>
      <c r="B33" s="352"/>
      <c r="C33" s="353" t="s">
        <v>560</v>
      </c>
      <c r="D33" s="354">
        <f>D26+D31</f>
        <v>1528484758</v>
      </c>
      <c r="E33" s="354">
        <f>E26+E31</f>
        <v>24414110</v>
      </c>
      <c r="F33" s="354">
        <f>F26+F31</f>
        <v>1552898868</v>
      </c>
    </row>
    <row r="34" spans="1:6">
      <c r="A34" s="366"/>
      <c r="B34" s="367"/>
      <c r="C34" s="368"/>
      <c r="D34" s="369"/>
      <c r="E34" s="369"/>
      <c r="F34" s="369"/>
    </row>
    <row r="35" spans="1:6" ht="21" customHeight="1">
      <c r="A35" s="332">
        <v>7</v>
      </c>
      <c r="B35" s="332"/>
      <c r="C35" s="333" t="s">
        <v>561</v>
      </c>
      <c r="D35" s="354">
        <f>D24-D33</f>
        <v>0</v>
      </c>
      <c r="E35" s="354">
        <f>E24-E33</f>
        <v>0</v>
      </c>
      <c r="F35" s="354">
        <f>F24-F33</f>
        <v>0</v>
      </c>
    </row>
    <row r="36" spans="1:6" ht="11.25" customHeight="1">
      <c r="A36" s="370"/>
      <c r="B36" s="371"/>
      <c r="C36" s="372"/>
      <c r="D36" s="358"/>
      <c r="E36" s="358"/>
      <c r="F36" s="358"/>
    </row>
    <row r="37" spans="1:6" ht="21" customHeight="1">
      <c r="A37" s="332">
        <v>8</v>
      </c>
      <c r="B37" s="332"/>
      <c r="C37" s="333" t="s">
        <v>562</v>
      </c>
      <c r="D37" s="334">
        <f>D11-D26</f>
        <v>-135300000</v>
      </c>
      <c r="E37" s="334">
        <f>E11-E26</f>
        <v>-189930</v>
      </c>
      <c r="F37" s="334">
        <f>F11-F26</f>
        <v>-135489930</v>
      </c>
    </row>
    <row r="38" spans="1:6">
      <c r="A38" s="370"/>
      <c r="B38" s="371"/>
      <c r="C38" s="372"/>
      <c r="D38" s="358"/>
      <c r="E38" s="358"/>
      <c r="F38" s="358"/>
    </row>
    <row r="39" spans="1:6" ht="21" customHeight="1">
      <c r="A39" s="373">
        <v>9</v>
      </c>
      <c r="B39" s="373"/>
      <c r="C39" s="374" t="s">
        <v>563</v>
      </c>
      <c r="D39" s="375">
        <f>D40+D43+D44</f>
        <v>135300000</v>
      </c>
      <c r="E39" s="375">
        <f>E40+E43+E44</f>
        <v>189930</v>
      </c>
      <c r="F39" s="375">
        <f>F40+F43+F44</f>
        <v>135489930</v>
      </c>
    </row>
    <row r="40" spans="1:6" s="376" customFormat="1" ht="31.5" customHeight="1">
      <c r="A40" s="348" t="s">
        <v>564</v>
      </c>
      <c r="B40" s="349"/>
      <c r="C40" s="340" t="s">
        <v>530</v>
      </c>
      <c r="D40" s="341">
        <f>D41+D42</f>
        <v>2000000</v>
      </c>
      <c r="E40" s="341">
        <f>E41+E42</f>
        <v>189930</v>
      </c>
      <c r="F40" s="341">
        <f>F41+F42</f>
        <v>2189930</v>
      </c>
    </row>
    <row r="41" spans="1:6" ht="33.75" customHeight="1">
      <c r="A41" s="347" t="s">
        <v>565</v>
      </c>
      <c r="B41" s="325"/>
      <c r="C41" s="377" t="s">
        <v>532</v>
      </c>
      <c r="D41" s="345">
        <v>2000000</v>
      </c>
      <c r="E41" s="345">
        <v>0</v>
      </c>
      <c r="F41" s="345">
        <f>D41+E41</f>
        <v>2000000</v>
      </c>
    </row>
    <row r="42" spans="1:6" ht="40.5" customHeight="1">
      <c r="A42" s="347" t="s">
        <v>566</v>
      </c>
      <c r="B42" s="325"/>
      <c r="C42" s="378" t="s">
        <v>567</v>
      </c>
      <c r="D42" s="345">
        <v>0</v>
      </c>
      <c r="E42" s="345">
        <f>E17</f>
        <v>189930</v>
      </c>
      <c r="F42" s="345">
        <f>D42+E42</f>
        <v>189930</v>
      </c>
    </row>
    <row r="43" spans="1:6" s="376" customFormat="1" ht="21" customHeight="1">
      <c r="A43" s="379" t="s">
        <v>568</v>
      </c>
      <c r="B43" s="364"/>
      <c r="C43" s="365" t="s">
        <v>569</v>
      </c>
      <c r="D43" s="341">
        <f>D20</f>
        <v>72300000</v>
      </c>
      <c r="E43" s="341">
        <f>E20</f>
        <v>0</v>
      </c>
      <c r="F43" s="341">
        <f>D43+E43</f>
        <v>72300000</v>
      </c>
    </row>
    <row r="44" spans="1:6" s="376" customFormat="1" ht="21" customHeight="1">
      <c r="A44" s="380" t="s">
        <v>570</v>
      </c>
      <c r="B44" s="381"/>
      <c r="C44" s="350" t="s">
        <v>542</v>
      </c>
      <c r="D44" s="382">
        <f>D23</f>
        <v>61000000</v>
      </c>
      <c r="E44" s="382">
        <f>E23</f>
        <v>0</v>
      </c>
      <c r="F44" s="341">
        <f>D44+E44</f>
        <v>61000000</v>
      </c>
    </row>
    <row r="45" spans="1:6" ht="7.5" customHeight="1">
      <c r="A45" s="383"/>
      <c r="B45" s="384"/>
      <c r="C45" s="385"/>
      <c r="D45" s="386"/>
      <c r="E45" s="386"/>
      <c r="F45" s="386"/>
    </row>
    <row r="46" spans="1:6" ht="15">
      <c r="A46" s="808" t="s">
        <v>571</v>
      </c>
      <c r="B46" s="808"/>
      <c r="C46" s="808"/>
      <c r="D46" s="387"/>
      <c r="E46" s="387"/>
      <c r="F46" s="387"/>
    </row>
    <row r="47" spans="1:6" ht="15" customHeight="1">
      <c r="A47" s="799" t="s">
        <v>572</v>
      </c>
      <c r="B47" s="799"/>
      <c r="C47" s="799"/>
      <c r="D47" s="388">
        <f>D12</f>
        <v>930373559</v>
      </c>
      <c r="E47" s="388">
        <f>E12</f>
        <v>727724</v>
      </c>
      <c r="F47" s="388">
        <f>F12</f>
        <v>931101283</v>
      </c>
    </row>
    <row r="48" spans="1:6" ht="15" customHeight="1">
      <c r="A48" s="799" t="s">
        <v>573</v>
      </c>
      <c r="B48" s="799"/>
      <c r="C48" s="799"/>
      <c r="D48" s="388">
        <f>D27</f>
        <v>843725793</v>
      </c>
      <c r="E48" s="388">
        <f>E27</f>
        <v>-4593879</v>
      </c>
      <c r="F48" s="388">
        <f>F27</f>
        <v>839131914</v>
      </c>
    </row>
    <row r="49" spans="1:6" ht="15" customHeight="1">
      <c r="A49" s="809" t="s">
        <v>574</v>
      </c>
      <c r="B49" s="809"/>
      <c r="C49" s="809"/>
      <c r="D49" s="389">
        <f>D47-D48</f>
        <v>86647766</v>
      </c>
      <c r="E49" s="389">
        <f>E47-E48</f>
        <v>5321603</v>
      </c>
      <c r="F49" s="389">
        <f>F47-F48</f>
        <v>91969369</v>
      </c>
    </row>
    <row r="50" spans="1:6" ht="6.75" customHeight="1">
      <c r="A50" s="390"/>
      <c r="B50" s="391"/>
      <c r="C50" s="392"/>
      <c r="D50" s="389"/>
      <c r="E50" s="389"/>
      <c r="F50" s="389"/>
    </row>
    <row r="51" spans="1:6" ht="11.25" customHeight="1">
      <c r="A51" s="393"/>
      <c r="B51" s="394"/>
      <c r="C51" s="395"/>
      <c r="D51" s="396"/>
      <c r="E51" s="396"/>
      <c r="F51" s="396"/>
    </row>
    <row r="52" spans="1:6" ht="15" customHeight="1">
      <c r="A52" s="801" t="s">
        <v>575</v>
      </c>
      <c r="B52" s="801"/>
      <c r="C52" s="801"/>
      <c r="D52" s="397">
        <f>D11</f>
        <v>1365740805</v>
      </c>
      <c r="E52" s="397">
        <f>E11</f>
        <v>24224180</v>
      </c>
      <c r="F52" s="397">
        <f>F11</f>
        <v>1389964985</v>
      </c>
    </row>
    <row r="53" spans="1:6" ht="15" customHeight="1">
      <c r="A53" s="799" t="s">
        <v>576</v>
      </c>
      <c r="B53" s="799"/>
      <c r="C53" s="799"/>
      <c r="D53" s="388">
        <f>D28</f>
        <v>801108098</v>
      </c>
      <c r="E53" s="388">
        <f>E28</f>
        <v>-4593879</v>
      </c>
      <c r="F53" s="388">
        <f>F28</f>
        <v>796514219</v>
      </c>
    </row>
    <row r="54" spans="1:6" ht="15" customHeight="1">
      <c r="A54" s="799" t="s">
        <v>577</v>
      </c>
      <c r="B54" s="799"/>
      <c r="C54" s="799"/>
      <c r="D54" s="388">
        <f>D21+D15</f>
        <v>82805254</v>
      </c>
      <c r="E54" s="388">
        <f>E21+E15</f>
        <v>189930</v>
      </c>
      <c r="F54" s="388">
        <f>F21+F15</f>
        <v>82995184</v>
      </c>
    </row>
    <row r="55" spans="1:6" ht="15" customHeight="1">
      <c r="A55" s="801" t="s">
        <v>578</v>
      </c>
      <c r="B55" s="801"/>
      <c r="C55" s="801"/>
      <c r="D55" s="388">
        <f>D52-D53+D54</f>
        <v>647437961</v>
      </c>
      <c r="E55" s="388">
        <f>E52-E53+E54</f>
        <v>29007989</v>
      </c>
      <c r="F55" s="388">
        <f>F52-F53+F54</f>
        <v>676445950</v>
      </c>
    </row>
    <row r="56" spans="1:6" ht="29.25" customHeight="1">
      <c r="A56" s="799" t="s">
        <v>579</v>
      </c>
      <c r="B56" s="799"/>
      <c r="C56" s="799"/>
      <c r="D56" s="388">
        <f>D29+D32</f>
        <v>70061648</v>
      </c>
      <c r="E56" s="388">
        <f>E29+E32</f>
        <v>0</v>
      </c>
      <c r="F56" s="388">
        <f>F29+F32</f>
        <v>70061648</v>
      </c>
    </row>
    <row r="57" spans="1:6" ht="15" customHeight="1">
      <c r="A57" s="801" t="s">
        <v>580</v>
      </c>
      <c r="B57" s="801"/>
      <c r="C57" s="801"/>
      <c r="D57" s="388">
        <f>D55-D56</f>
        <v>577376313</v>
      </c>
      <c r="E57" s="388">
        <f>E55-E56</f>
        <v>29007989</v>
      </c>
      <c r="F57" s="388">
        <f>F55-F56</f>
        <v>606384302</v>
      </c>
    </row>
    <row r="58" spans="1:6" ht="15" customHeight="1">
      <c r="A58" s="799" t="s">
        <v>581</v>
      </c>
      <c r="B58" s="799"/>
      <c r="C58" s="799"/>
      <c r="D58" s="388">
        <f>D30</f>
        <v>657315012</v>
      </c>
      <c r="E58" s="388">
        <f>E30</f>
        <v>29007989</v>
      </c>
      <c r="F58" s="388">
        <f>F30</f>
        <v>686323001</v>
      </c>
    </row>
    <row r="59" spans="1:6" ht="15" customHeight="1">
      <c r="A59" s="801" t="s">
        <v>582</v>
      </c>
      <c r="B59" s="801"/>
      <c r="C59" s="801"/>
      <c r="D59" s="388">
        <f>D57-D58</f>
        <v>-79938699</v>
      </c>
      <c r="E59" s="388">
        <f>E57-E58</f>
        <v>0</v>
      </c>
      <c r="F59" s="388">
        <f>F57-F58</f>
        <v>-79938699</v>
      </c>
    </row>
    <row r="60" spans="1:6" ht="15" customHeight="1">
      <c r="A60" s="799" t="s">
        <v>583</v>
      </c>
      <c r="B60" s="799"/>
      <c r="C60" s="799"/>
      <c r="D60" s="388">
        <f>D18</f>
        <v>79938699</v>
      </c>
      <c r="E60" s="388">
        <f>E18</f>
        <v>0</v>
      </c>
      <c r="F60" s="388">
        <f>F18</f>
        <v>79938699</v>
      </c>
    </row>
    <row r="61" spans="1:6" ht="15" customHeight="1">
      <c r="A61" s="799" t="s">
        <v>584</v>
      </c>
      <c r="B61" s="799"/>
      <c r="C61" s="799"/>
      <c r="D61" s="388">
        <v>0</v>
      </c>
      <c r="E61" s="388">
        <v>0</v>
      </c>
      <c r="F61" s="388">
        <v>0</v>
      </c>
    </row>
    <row r="62" spans="1:6" ht="15" customHeight="1">
      <c r="A62" s="799" t="s">
        <v>585</v>
      </c>
      <c r="B62" s="799"/>
      <c r="C62" s="799"/>
      <c r="D62" s="388">
        <v>0</v>
      </c>
      <c r="E62" s="388">
        <v>0</v>
      </c>
      <c r="F62" s="388">
        <v>0</v>
      </c>
    </row>
    <row r="63" spans="1:6" ht="15" customHeight="1">
      <c r="A63" s="800" t="s">
        <v>586</v>
      </c>
      <c r="B63" s="800"/>
      <c r="C63" s="800"/>
      <c r="D63" s="398">
        <f>D59+D60-D61+D62</f>
        <v>0</v>
      </c>
      <c r="E63" s="398">
        <f>E59+E60-E61+E62</f>
        <v>0</v>
      </c>
      <c r="F63" s="398">
        <f>F59+F60-F61+F62</f>
        <v>0</v>
      </c>
    </row>
  </sheetData>
  <sheetProtection password="C25B" sheet="1" objects="1" scenarios="1"/>
  <mergeCells count="24"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6:C46"/>
    <mergeCell ref="A47:C47"/>
    <mergeCell ref="A48:C48"/>
    <mergeCell ref="A49:C49"/>
    <mergeCell ref="A52:C52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56"/>
  <sheetViews>
    <sheetView view="pageBreakPreview" topLeftCell="E1" zoomScaleSheetLayoutView="100" workbookViewId="0">
      <selection activeCell="F370" sqref="F370:F374"/>
    </sheetView>
  </sheetViews>
  <sheetFormatPr defaultColWidth="9" defaultRowHeight="15"/>
  <cols>
    <col min="1" max="1" width="5.375" style="423" customWidth="1"/>
    <col min="2" max="2" width="8.125" style="423" customWidth="1"/>
    <col min="3" max="3" width="9.375" style="423" customWidth="1"/>
    <col min="4" max="4" width="44.125" style="423" customWidth="1"/>
    <col min="5" max="5" width="11.25" style="423" customWidth="1"/>
    <col min="6" max="6" width="9.75" style="423" customWidth="1"/>
    <col min="7" max="7" width="11" style="423" customWidth="1"/>
    <col min="8" max="9" width="14.25" style="423" customWidth="1"/>
    <col min="10" max="10" width="2.75" style="423" customWidth="1"/>
    <col min="11" max="11" width="11.375" style="423" customWidth="1"/>
    <col min="12" max="12" width="11.25" style="423" customWidth="1"/>
    <col min="13" max="13" width="10.75" style="423" customWidth="1"/>
    <col min="14" max="14" width="10.875" style="423" customWidth="1"/>
    <col min="15" max="15" width="11.25" style="423" customWidth="1"/>
    <col min="16" max="16" width="11.375" style="423" customWidth="1"/>
    <col min="17" max="20" width="11.125" style="423" customWidth="1"/>
    <col min="21" max="21" width="10.75" style="423" customWidth="1"/>
    <col min="22" max="22" width="11" style="423" customWidth="1"/>
    <col min="23" max="23" width="10.75" style="423" customWidth="1"/>
    <col min="24" max="24" width="10.5" style="423" customWidth="1"/>
    <col min="25" max="16384" width="9" style="423"/>
  </cols>
  <sheetData>
    <row r="1" spans="1:25" s="400" customFormat="1" ht="15" customHeight="1">
      <c r="A1" s="399" t="s">
        <v>458</v>
      </c>
      <c r="U1" s="401" t="s">
        <v>587</v>
      </c>
      <c r="V1" s="401"/>
    </row>
    <row r="2" spans="1:25" s="400" customFormat="1" ht="15" customHeight="1">
      <c r="A2" s="399"/>
      <c r="U2" s="401" t="s">
        <v>877</v>
      </c>
      <c r="V2" s="401"/>
    </row>
    <row r="3" spans="1:25" s="400" customFormat="1" ht="15" customHeight="1">
      <c r="A3" s="399"/>
      <c r="U3" s="401" t="s">
        <v>375</v>
      </c>
      <c r="V3" s="401"/>
    </row>
    <row r="4" spans="1:25" s="400" customFormat="1" ht="3" customHeight="1">
      <c r="A4" s="399"/>
    </row>
    <row r="5" spans="1:25" s="400" customFormat="1" ht="42.75" customHeight="1">
      <c r="A5" s="886" t="s">
        <v>588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</row>
    <row r="6" spans="1:25" s="403" customFormat="1" ht="12.75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X6" s="404" t="s">
        <v>0</v>
      </c>
    </row>
    <row r="7" spans="1:25" s="403" customFormat="1" ht="19.5" customHeight="1">
      <c r="A7" s="887" t="s">
        <v>589</v>
      </c>
      <c r="B7" s="890" t="s">
        <v>590</v>
      </c>
      <c r="C7" s="890" t="s">
        <v>591</v>
      </c>
      <c r="D7" s="893" t="s">
        <v>592</v>
      </c>
      <c r="E7" s="893" t="s">
        <v>593</v>
      </c>
      <c r="F7" s="890" t="s">
        <v>594</v>
      </c>
      <c r="G7" s="893" t="s">
        <v>214</v>
      </c>
      <c r="H7" s="896" t="s">
        <v>595</v>
      </c>
      <c r="I7" s="897" t="s">
        <v>596</v>
      </c>
      <c r="J7" s="882" t="s">
        <v>3</v>
      </c>
      <c r="K7" s="815" t="s">
        <v>597</v>
      </c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</row>
    <row r="8" spans="1:25" s="405" customFormat="1" ht="18.75" customHeight="1">
      <c r="A8" s="888"/>
      <c r="B8" s="891"/>
      <c r="C8" s="891"/>
      <c r="D8" s="894"/>
      <c r="E8" s="894"/>
      <c r="F8" s="891"/>
      <c r="G8" s="894"/>
      <c r="H8" s="896"/>
      <c r="I8" s="897"/>
      <c r="J8" s="883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</row>
    <row r="9" spans="1:25" s="405" customFormat="1" ht="15.75" customHeight="1">
      <c r="A9" s="888"/>
      <c r="B9" s="891"/>
      <c r="C9" s="891"/>
      <c r="D9" s="894"/>
      <c r="E9" s="894"/>
      <c r="F9" s="891"/>
      <c r="G9" s="894"/>
      <c r="H9" s="406" t="s">
        <v>598</v>
      </c>
      <c r="I9" s="406" t="s">
        <v>598</v>
      </c>
      <c r="J9" s="883"/>
      <c r="K9" s="815" t="s">
        <v>599</v>
      </c>
      <c r="L9" s="885" t="s">
        <v>600</v>
      </c>
      <c r="M9" s="885"/>
      <c r="N9" s="885"/>
      <c r="O9" s="879" t="s">
        <v>601</v>
      </c>
      <c r="P9" s="885" t="s">
        <v>602</v>
      </c>
      <c r="Q9" s="885"/>
      <c r="R9" s="885"/>
      <c r="S9" s="885"/>
      <c r="T9" s="885"/>
      <c r="U9" s="885"/>
      <c r="V9" s="885"/>
      <c r="W9" s="885"/>
      <c r="X9" s="885"/>
    </row>
    <row r="10" spans="1:25" s="405" customFormat="1" ht="12.75" customHeight="1">
      <c r="A10" s="888"/>
      <c r="B10" s="891"/>
      <c r="C10" s="891"/>
      <c r="D10" s="894"/>
      <c r="E10" s="894"/>
      <c r="F10" s="891"/>
      <c r="G10" s="894"/>
      <c r="H10" s="406" t="s">
        <v>603</v>
      </c>
      <c r="I10" s="406" t="s">
        <v>603</v>
      </c>
      <c r="J10" s="883"/>
      <c r="K10" s="815"/>
      <c r="L10" s="885"/>
      <c r="M10" s="885"/>
      <c r="N10" s="885"/>
      <c r="O10" s="879"/>
      <c r="P10" s="877" t="s">
        <v>604</v>
      </c>
      <c r="Q10" s="877"/>
      <c r="R10" s="877"/>
      <c r="S10" s="877" t="s">
        <v>605</v>
      </c>
      <c r="T10" s="877"/>
      <c r="U10" s="877"/>
      <c r="V10" s="879" t="s">
        <v>606</v>
      </c>
      <c r="W10" s="879"/>
      <c r="X10" s="879"/>
    </row>
    <row r="11" spans="1:25" s="405" customFormat="1" ht="12.75">
      <c r="A11" s="888"/>
      <c r="B11" s="891"/>
      <c r="C11" s="891"/>
      <c r="D11" s="894"/>
      <c r="E11" s="894"/>
      <c r="F11" s="891"/>
      <c r="G11" s="894"/>
      <c r="H11" s="406" t="s">
        <v>607</v>
      </c>
      <c r="I11" s="406" t="s">
        <v>607</v>
      </c>
      <c r="J11" s="883"/>
      <c r="K11" s="815"/>
      <c r="L11" s="877" t="s">
        <v>71</v>
      </c>
      <c r="M11" s="877" t="s">
        <v>608</v>
      </c>
      <c r="N11" s="877" t="s">
        <v>609</v>
      </c>
      <c r="O11" s="879"/>
      <c r="P11" s="877" t="s">
        <v>71</v>
      </c>
      <c r="Q11" s="877" t="s">
        <v>610</v>
      </c>
      <c r="R11" s="881" t="s">
        <v>609</v>
      </c>
      <c r="S11" s="877" t="s">
        <v>71</v>
      </c>
      <c r="T11" s="877" t="s">
        <v>610</v>
      </c>
      <c r="U11" s="878" t="s">
        <v>609</v>
      </c>
      <c r="V11" s="879" t="s">
        <v>611</v>
      </c>
      <c r="W11" s="877" t="s">
        <v>610</v>
      </c>
      <c r="X11" s="878" t="s">
        <v>609</v>
      </c>
    </row>
    <row r="12" spans="1:25" s="405" customFormat="1" ht="12.75">
      <c r="A12" s="889"/>
      <c r="B12" s="892"/>
      <c r="C12" s="892"/>
      <c r="D12" s="895"/>
      <c r="E12" s="895"/>
      <c r="F12" s="892"/>
      <c r="G12" s="895"/>
      <c r="H12" s="406" t="s">
        <v>606</v>
      </c>
      <c r="I12" s="406" t="s">
        <v>606</v>
      </c>
      <c r="J12" s="884"/>
      <c r="K12" s="815"/>
      <c r="L12" s="877"/>
      <c r="M12" s="877"/>
      <c r="N12" s="877"/>
      <c r="O12" s="879"/>
      <c r="P12" s="877"/>
      <c r="Q12" s="877"/>
      <c r="R12" s="881"/>
      <c r="S12" s="877"/>
      <c r="T12" s="877"/>
      <c r="U12" s="878"/>
      <c r="V12" s="879"/>
      <c r="W12" s="877"/>
      <c r="X12" s="878"/>
    </row>
    <row r="13" spans="1:25" s="408" customFormat="1" ht="11.25">
      <c r="A13" s="407">
        <v>1</v>
      </c>
      <c r="B13" s="407">
        <v>2</v>
      </c>
      <c r="C13" s="407">
        <v>3</v>
      </c>
      <c r="D13" s="407">
        <v>4</v>
      </c>
      <c r="E13" s="407">
        <v>5</v>
      </c>
      <c r="F13" s="407">
        <v>6</v>
      </c>
      <c r="G13" s="407">
        <v>7</v>
      </c>
      <c r="H13" s="407">
        <v>8</v>
      </c>
      <c r="I13" s="407" t="s">
        <v>612</v>
      </c>
      <c r="J13" s="407" t="s">
        <v>613</v>
      </c>
      <c r="K13" s="407" t="s">
        <v>614</v>
      </c>
      <c r="L13" s="407" t="s">
        <v>615</v>
      </c>
      <c r="M13" s="407">
        <v>11</v>
      </c>
      <c r="N13" s="407">
        <v>12</v>
      </c>
      <c r="O13" s="407" t="s">
        <v>616</v>
      </c>
      <c r="P13" s="407" t="s">
        <v>617</v>
      </c>
      <c r="Q13" s="407">
        <v>15</v>
      </c>
      <c r="R13" s="407">
        <v>16</v>
      </c>
      <c r="S13" s="407" t="s">
        <v>618</v>
      </c>
      <c r="T13" s="407">
        <v>18</v>
      </c>
      <c r="U13" s="407">
        <v>19</v>
      </c>
      <c r="V13" s="407" t="s">
        <v>619</v>
      </c>
      <c r="W13" s="407">
        <v>21</v>
      </c>
      <c r="X13" s="407">
        <v>22</v>
      </c>
    </row>
    <row r="14" spans="1:25" s="408" customFormat="1" ht="6" customHeight="1">
      <c r="A14" s="880"/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</row>
    <row r="15" spans="1:25" s="408" customFormat="1" ht="21.75" customHeight="1">
      <c r="A15" s="898" t="s">
        <v>620</v>
      </c>
      <c r="B15" s="898"/>
      <c r="C15" s="898"/>
      <c r="D15" s="898"/>
      <c r="E15" s="898"/>
      <c r="F15" s="898"/>
      <c r="G15" s="898"/>
      <c r="H15" s="898"/>
      <c r="I15" s="898"/>
      <c r="J15" s="898"/>
      <c r="K15" s="898"/>
      <c r="L15" s="898"/>
      <c r="M15" s="898"/>
      <c r="N15" s="898"/>
      <c r="O15" s="898"/>
      <c r="P15" s="898"/>
      <c r="Q15" s="898"/>
      <c r="R15" s="898"/>
      <c r="S15" s="898"/>
      <c r="T15" s="898"/>
      <c r="U15" s="898"/>
      <c r="V15" s="898"/>
      <c r="W15" s="898"/>
      <c r="X15" s="898"/>
      <c r="Y15" s="409"/>
    </row>
    <row r="16" spans="1:25" s="408" customFormat="1" ht="3.75" customHeight="1">
      <c r="A16" s="899"/>
      <c r="B16" s="899"/>
      <c r="C16" s="899"/>
      <c r="D16" s="899"/>
      <c r="E16" s="899"/>
      <c r="F16" s="899"/>
      <c r="G16" s="899"/>
      <c r="H16" s="899"/>
      <c r="I16" s="899"/>
      <c r="J16" s="899"/>
      <c r="K16" s="899"/>
      <c r="L16" s="899"/>
      <c r="M16" s="899"/>
      <c r="N16" s="899"/>
      <c r="O16" s="899"/>
      <c r="P16" s="899"/>
      <c r="Q16" s="899"/>
      <c r="R16" s="899"/>
      <c r="S16" s="899"/>
      <c r="T16" s="899"/>
      <c r="U16" s="899"/>
      <c r="V16" s="899"/>
      <c r="W16" s="899"/>
      <c r="X16" s="899"/>
      <c r="Y16" s="410"/>
    </row>
    <row r="17" spans="1:24" s="412" customFormat="1" ht="15.2" hidden="1" customHeight="1">
      <c r="A17" s="863">
        <v>1</v>
      </c>
      <c r="B17" s="820" t="s">
        <v>621</v>
      </c>
      <c r="C17" s="822" t="s">
        <v>622</v>
      </c>
      <c r="D17" s="870" t="s">
        <v>623</v>
      </c>
      <c r="E17" s="819" t="s">
        <v>624</v>
      </c>
      <c r="F17" s="819" t="s">
        <v>625</v>
      </c>
      <c r="G17" s="820" t="s">
        <v>626</v>
      </c>
      <c r="H17" s="411">
        <f>H18+H19+H20+H21</f>
        <v>23433538</v>
      </c>
      <c r="I17" s="411">
        <f>I18+I19+I20+I21</f>
        <v>11376497</v>
      </c>
      <c r="J17" s="817" t="s">
        <v>5</v>
      </c>
      <c r="K17" s="816">
        <f>L17+O17</f>
        <v>5788981</v>
      </c>
      <c r="L17" s="816">
        <f>M17+N17</f>
        <v>4944034</v>
      </c>
      <c r="M17" s="814">
        <v>4944034</v>
      </c>
      <c r="N17" s="814">
        <v>0</v>
      </c>
      <c r="O17" s="816">
        <f>P17+S17+V17</f>
        <v>844947</v>
      </c>
      <c r="P17" s="816">
        <f>Q17+R17</f>
        <v>0</v>
      </c>
      <c r="Q17" s="814">
        <v>0</v>
      </c>
      <c r="R17" s="814">
        <v>0</v>
      </c>
      <c r="S17" s="816">
        <f>T17+U17</f>
        <v>395171</v>
      </c>
      <c r="T17" s="814">
        <v>395171</v>
      </c>
      <c r="U17" s="814">
        <v>0</v>
      </c>
      <c r="V17" s="816">
        <f>W17+X17</f>
        <v>449776</v>
      </c>
      <c r="W17" s="814">
        <v>449776</v>
      </c>
      <c r="X17" s="814">
        <v>0</v>
      </c>
    </row>
    <row r="18" spans="1:24" s="412" customFormat="1" ht="15.2" hidden="1" customHeight="1">
      <c r="A18" s="863"/>
      <c r="B18" s="820"/>
      <c r="C18" s="822"/>
      <c r="D18" s="870"/>
      <c r="E18" s="819"/>
      <c r="F18" s="819"/>
      <c r="G18" s="820"/>
      <c r="H18" s="411">
        <v>19913614</v>
      </c>
      <c r="I18" s="411">
        <v>9713576</v>
      </c>
      <c r="J18" s="818"/>
      <c r="K18" s="816"/>
      <c r="L18" s="816"/>
      <c r="M18" s="814"/>
      <c r="N18" s="814"/>
      <c r="O18" s="816"/>
      <c r="P18" s="816"/>
      <c r="Q18" s="814"/>
      <c r="R18" s="814"/>
      <c r="S18" s="816"/>
      <c r="T18" s="814"/>
      <c r="U18" s="814"/>
      <c r="V18" s="816"/>
      <c r="W18" s="814"/>
      <c r="X18" s="814"/>
    </row>
    <row r="19" spans="1:24" s="412" customFormat="1" ht="15.2" hidden="1" customHeight="1">
      <c r="A19" s="863"/>
      <c r="B19" s="820"/>
      <c r="C19" s="822"/>
      <c r="D19" s="870"/>
      <c r="E19" s="819"/>
      <c r="F19" s="819"/>
      <c r="G19" s="820"/>
      <c r="H19" s="411">
        <v>0</v>
      </c>
      <c r="I19" s="411">
        <v>0</v>
      </c>
      <c r="J19" s="411" t="s">
        <v>6</v>
      </c>
      <c r="K19" s="413">
        <f>L19+O19</f>
        <v>0</v>
      </c>
      <c r="L19" s="413">
        <f>M19+N19</f>
        <v>0</v>
      </c>
      <c r="M19" s="414">
        <v>0</v>
      </c>
      <c r="N19" s="414">
        <v>0</v>
      </c>
      <c r="O19" s="413">
        <f>P19+S19+V19</f>
        <v>0</v>
      </c>
      <c r="P19" s="413">
        <f>Q19+R19</f>
        <v>0</v>
      </c>
      <c r="Q19" s="414">
        <v>0</v>
      </c>
      <c r="R19" s="414">
        <v>0</v>
      </c>
      <c r="S19" s="413">
        <f>T19+U19</f>
        <v>0</v>
      </c>
      <c r="T19" s="414">
        <v>0</v>
      </c>
      <c r="U19" s="414">
        <v>0</v>
      </c>
      <c r="V19" s="413">
        <f>W19+X19</f>
        <v>0</v>
      </c>
      <c r="W19" s="414">
        <v>0</v>
      </c>
      <c r="X19" s="414">
        <v>0</v>
      </c>
    </row>
    <row r="20" spans="1:24" s="412" customFormat="1" ht="15.2" hidden="1" customHeight="1">
      <c r="A20" s="863"/>
      <c r="B20" s="820"/>
      <c r="C20" s="822"/>
      <c r="D20" s="870"/>
      <c r="E20" s="819"/>
      <c r="F20" s="819"/>
      <c r="G20" s="820"/>
      <c r="H20" s="411">
        <v>1953551</v>
      </c>
      <c r="I20" s="411">
        <v>1148594</v>
      </c>
      <c r="J20" s="817" t="s">
        <v>7</v>
      </c>
      <c r="K20" s="816">
        <f>K17+K19</f>
        <v>5788981</v>
      </c>
      <c r="L20" s="816">
        <f t="shared" ref="L20:X20" si="0">L17+L19</f>
        <v>4944034</v>
      </c>
      <c r="M20" s="814">
        <f t="shared" si="0"/>
        <v>4944034</v>
      </c>
      <c r="N20" s="814">
        <f t="shared" si="0"/>
        <v>0</v>
      </c>
      <c r="O20" s="816">
        <f t="shared" si="0"/>
        <v>844947</v>
      </c>
      <c r="P20" s="816">
        <f t="shared" si="0"/>
        <v>0</v>
      </c>
      <c r="Q20" s="814">
        <f t="shared" si="0"/>
        <v>0</v>
      </c>
      <c r="R20" s="814">
        <f t="shared" si="0"/>
        <v>0</v>
      </c>
      <c r="S20" s="816">
        <f t="shared" si="0"/>
        <v>395171</v>
      </c>
      <c r="T20" s="814">
        <f t="shared" si="0"/>
        <v>395171</v>
      </c>
      <c r="U20" s="814">
        <f t="shared" si="0"/>
        <v>0</v>
      </c>
      <c r="V20" s="816">
        <f t="shared" si="0"/>
        <v>449776</v>
      </c>
      <c r="W20" s="814">
        <f t="shared" si="0"/>
        <v>449776</v>
      </c>
      <c r="X20" s="814">
        <f t="shared" si="0"/>
        <v>0</v>
      </c>
    </row>
    <row r="21" spans="1:24" s="412" customFormat="1" ht="15.2" hidden="1" customHeight="1">
      <c r="A21" s="863"/>
      <c r="B21" s="820"/>
      <c r="C21" s="822"/>
      <c r="D21" s="870"/>
      <c r="E21" s="819"/>
      <c r="F21" s="819"/>
      <c r="G21" s="820"/>
      <c r="H21" s="411">
        <v>1566373</v>
      </c>
      <c r="I21" s="411">
        <v>514327</v>
      </c>
      <c r="J21" s="818"/>
      <c r="K21" s="816"/>
      <c r="L21" s="816"/>
      <c r="M21" s="814"/>
      <c r="N21" s="814"/>
      <c r="O21" s="816"/>
      <c r="P21" s="816"/>
      <c r="Q21" s="814"/>
      <c r="R21" s="814"/>
      <c r="S21" s="816"/>
      <c r="T21" s="814"/>
      <c r="U21" s="814"/>
      <c r="V21" s="816"/>
      <c r="W21" s="814"/>
      <c r="X21" s="814"/>
    </row>
    <row r="22" spans="1:24" s="412" customFormat="1" ht="15.2" hidden="1" customHeight="1">
      <c r="A22" s="863">
        <v>2</v>
      </c>
      <c r="B22" s="820" t="s">
        <v>621</v>
      </c>
      <c r="C22" s="822" t="s">
        <v>622</v>
      </c>
      <c r="D22" s="870" t="s">
        <v>627</v>
      </c>
      <c r="E22" s="819" t="s">
        <v>624</v>
      </c>
      <c r="F22" s="819" t="s">
        <v>625</v>
      </c>
      <c r="G22" s="820" t="s">
        <v>626</v>
      </c>
      <c r="H22" s="411">
        <f>H23+H24+H25+H26</f>
        <v>8544937</v>
      </c>
      <c r="I22" s="411">
        <f>I23+I24+I25+I26</f>
        <v>2067265</v>
      </c>
      <c r="J22" s="817" t="s">
        <v>5</v>
      </c>
      <c r="K22" s="816">
        <f>L22+O22</f>
        <v>4113793</v>
      </c>
      <c r="L22" s="816">
        <f>M22+N22</f>
        <v>3395149</v>
      </c>
      <c r="M22" s="814">
        <v>3395149</v>
      </c>
      <c r="N22" s="814">
        <v>0</v>
      </c>
      <c r="O22" s="816">
        <f>P22+S22+V22</f>
        <v>718644</v>
      </c>
      <c r="P22" s="816">
        <f>Q22+R22</f>
        <v>0</v>
      </c>
      <c r="Q22" s="814">
        <v>0</v>
      </c>
      <c r="R22" s="814">
        <v>0</v>
      </c>
      <c r="S22" s="816">
        <f>T22+U22</f>
        <v>74723</v>
      </c>
      <c r="T22" s="814">
        <v>74723</v>
      </c>
      <c r="U22" s="814">
        <v>0</v>
      </c>
      <c r="V22" s="816">
        <f>W22+X22</f>
        <v>643921</v>
      </c>
      <c r="W22" s="814">
        <v>643921</v>
      </c>
      <c r="X22" s="814">
        <v>0</v>
      </c>
    </row>
    <row r="23" spans="1:24" s="412" customFormat="1" ht="15.2" hidden="1" customHeight="1">
      <c r="A23" s="863"/>
      <c r="B23" s="820"/>
      <c r="C23" s="822"/>
      <c r="D23" s="870"/>
      <c r="E23" s="819"/>
      <c r="F23" s="819"/>
      <c r="G23" s="820"/>
      <c r="H23" s="411">
        <v>7231583</v>
      </c>
      <c r="I23" s="411">
        <v>1727548</v>
      </c>
      <c r="J23" s="818"/>
      <c r="K23" s="816"/>
      <c r="L23" s="816"/>
      <c r="M23" s="814"/>
      <c r="N23" s="814"/>
      <c r="O23" s="816"/>
      <c r="P23" s="816"/>
      <c r="Q23" s="814"/>
      <c r="R23" s="814"/>
      <c r="S23" s="816"/>
      <c r="T23" s="814"/>
      <c r="U23" s="814"/>
      <c r="V23" s="816"/>
      <c r="W23" s="814"/>
      <c r="X23" s="814"/>
    </row>
    <row r="24" spans="1:24" s="412" customFormat="1" ht="15.2" hidden="1" customHeight="1">
      <c r="A24" s="863"/>
      <c r="B24" s="820"/>
      <c r="C24" s="822"/>
      <c r="D24" s="870"/>
      <c r="E24" s="819"/>
      <c r="F24" s="819"/>
      <c r="G24" s="820"/>
      <c r="H24" s="411">
        <v>0</v>
      </c>
      <c r="I24" s="411">
        <v>0</v>
      </c>
      <c r="J24" s="411" t="s">
        <v>6</v>
      </c>
      <c r="K24" s="413">
        <f>L24+O24</f>
        <v>0</v>
      </c>
      <c r="L24" s="413">
        <f>M24+N24</f>
        <v>0</v>
      </c>
      <c r="M24" s="414">
        <v>0</v>
      </c>
      <c r="N24" s="414">
        <v>0</v>
      </c>
      <c r="O24" s="413">
        <f>P24+S24+V24</f>
        <v>0</v>
      </c>
      <c r="P24" s="413">
        <f>Q24+R24</f>
        <v>0</v>
      </c>
      <c r="Q24" s="414">
        <v>0</v>
      </c>
      <c r="R24" s="414">
        <v>0</v>
      </c>
      <c r="S24" s="413">
        <f>T24+U24</f>
        <v>0</v>
      </c>
      <c r="T24" s="414">
        <v>0</v>
      </c>
      <c r="U24" s="414">
        <v>0</v>
      </c>
      <c r="V24" s="413">
        <f>W24+X24</f>
        <v>0</v>
      </c>
      <c r="W24" s="414">
        <v>0</v>
      </c>
      <c r="X24" s="414">
        <v>0</v>
      </c>
    </row>
    <row r="25" spans="1:24" s="412" customFormat="1" ht="15.2" hidden="1" customHeight="1">
      <c r="A25" s="863"/>
      <c r="B25" s="820"/>
      <c r="C25" s="822"/>
      <c r="D25" s="870"/>
      <c r="E25" s="819"/>
      <c r="F25" s="819"/>
      <c r="G25" s="820"/>
      <c r="H25" s="411">
        <v>363602</v>
      </c>
      <c r="I25" s="411">
        <v>169030</v>
      </c>
      <c r="J25" s="817" t="s">
        <v>7</v>
      </c>
      <c r="K25" s="816">
        <f>K22+K24</f>
        <v>4113793</v>
      </c>
      <c r="L25" s="816">
        <f t="shared" ref="L25:X25" si="1">L22+L24</f>
        <v>3395149</v>
      </c>
      <c r="M25" s="814">
        <f t="shared" si="1"/>
        <v>3395149</v>
      </c>
      <c r="N25" s="814">
        <f t="shared" si="1"/>
        <v>0</v>
      </c>
      <c r="O25" s="816">
        <f t="shared" si="1"/>
        <v>718644</v>
      </c>
      <c r="P25" s="816">
        <f t="shared" si="1"/>
        <v>0</v>
      </c>
      <c r="Q25" s="814">
        <f t="shared" si="1"/>
        <v>0</v>
      </c>
      <c r="R25" s="814">
        <f t="shared" si="1"/>
        <v>0</v>
      </c>
      <c r="S25" s="816">
        <f t="shared" si="1"/>
        <v>74723</v>
      </c>
      <c r="T25" s="814">
        <f t="shared" si="1"/>
        <v>74723</v>
      </c>
      <c r="U25" s="814">
        <f t="shared" si="1"/>
        <v>0</v>
      </c>
      <c r="V25" s="816">
        <f t="shared" si="1"/>
        <v>643921</v>
      </c>
      <c r="W25" s="814">
        <f t="shared" si="1"/>
        <v>643921</v>
      </c>
      <c r="X25" s="814">
        <f t="shared" si="1"/>
        <v>0</v>
      </c>
    </row>
    <row r="26" spans="1:24" s="412" customFormat="1" ht="15.2" hidden="1" customHeight="1">
      <c r="A26" s="863"/>
      <c r="B26" s="820"/>
      <c r="C26" s="822"/>
      <c r="D26" s="870"/>
      <c r="E26" s="819"/>
      <c r="F26" s="819"/>
      <c r="G26" s="820"/>
      <c r="H26" s="411">
        <v>949752</v>
      </c>
      <c r="I26" s="411">
        <v>170687</v>
      </c>
      <c r="J26" s="818"/>
      <c r="K26" s="816"/>
      <c r="L26" s="816"/>
      <c r="M26" s="814"/>
      <c r="N26" s="814"/>
      <c r="O26" s="816"/>
      <c r="P26" s="816"/>
      <c r="Q26" s="814"/>
      <c r="R26" s="814"/>
      <c r="S26" s="816"/>
      <c r="T26" s="814"/>
      <c r="U26" s="814"/>
      <c r="V26" s="816"/>
      <c r="W26" s="814"/>
      <c r="X26" s="814"/>
    </row>
    <row r="27" spans="1:24" s="412" customFormat="1" ht="15.2" hidden="1" customHeight="1">
      <c r="A27" s="863">
        <v>3</v>
      </c>
      <c r="B27" s="820" t="s">
        <v>621</v>
      </c>
      <c r="C27" s="822" t="s">
        <v>622</v>
      </c>
      <c r="D27" s="870" t="s">
        <v>628</v>
      </c>
      <c r="E27" s="819" t="s">
        <v>624</v>
      </c>
      <c r="F27" s="819" t="s">
        <v>625</v>
      </c>
      <c r="G27" s="820" t="s">
        <v>629</v>
      </c>
      <c r="H27" s="411">
        <f>H28+H29+H30+H31</f>
        <v>21700000</v>
      </c>
      <c r="I27" s="411">
        <f>I28+I29+I30+I31</f>
        <v>0</v>
      </c>
      <c r="J27" s="817" t="s">
        <v>5</v>
      </c>
      <c r="K27" s="816">
        <f>L27+O27</f>
        <v>7233331</v>
      </c>
      <c r="L27" s="816">
        <f>M27+N27</f>
        <v>6148332</v>
      </c>
      <c r="M27" s="814">
        <v>6148332</v>
      </c>
      <c r="N27" s="814">
        <v>0</v>
      </c>
      <c r="O27" s="816">
        <f>P27+S27+V27</f>
        <v>1084999</v>
      </c>
      <c r="P27" s="816">
        <f>Q27+R27</f>
        <v>723333</v>
      </c>
      <c r="Q27" s="814">
        <v>723333</v>
      </c>
      <c r="R27" s="814">
        <v>0</v>
      </c>
      <c r="S27" s="816">
        <f>T27+U27</f>
        <v>361666</v>
      </c>
      <c r="T27" s="814">
        <v>361666</v>
      </c>
      <c r="U27" s="814">
        <v>0</v>
      </c>
      <c r="V27" s="816">
        <f>W27+X27</f>
        <v>0</v>
      </c>
      <c r="W27" s="814">
        <v>0</v>
      </c>
      <c r="X27" s="814">
        <v>0</v>
      </c>
    </row>
    <row r="28" spans="1:24" s="412" customFormat="1" ht="15.2" hidden="1" customHeight="1">
      <c r="A28" s="863"/>
      <c r="B28" s="820"/>
      <c r="C28" s="822"/>
      <c r="D28" s="870"/>
      <c r="E28" s="819"/>
      <c r="F28" s="819"/>
      <c r="G28" s="820"/>
      <c r="H28" s="411">
        <v>18445000</v>
      </c>
      <c r="I28" s="411">
        <v>0</v>
      </c>
      <c r="J28" s="818"/>
      <c r="K28" s="816"/>
      <c r="L28" s="816"/>
      <c r="M28" s="814"/>
      <c r="N28" s="814"/>
      <c r="O28" s="816"/>
      <c r="P28" s="816"/>
      <c r="Q28" s="814"/>
      <c r="R28" s="814"/>
      <c r="S28" s="816"/>
      <c r="T28" s="814"/>
      <c r="U28" s="814"/>
      <c r="V28" s="816"/>
      <c r="W28" s="814"/>
      <c r="X28" s="814"/>
    </row>
    <row r="29" spans="1:24" s="412" customFormat="1" ht="15.2" hidden="1" customHeight="1">
      <c r="A29" s="863"/>
      <c r="B29" s="820"/>
      <c r="C29" s="822"/>
      <c r="D29" s="870"/>
      <c r="E29" s="819"/>
      <c r="F29" s="819"/>
      <c r="G29" s="820"/>
      <c r="H29" s="411">
        <v>2170000</v>
      </c>
      <c r="I29" s="411">
        <v>0</v>
      </c>
      <c r="J29" s="411" t="s">
        <v>6</v>
      </c>
      <c r="K29" s="413">
        <f>L29+O29</f>
        <v>0</v>
      </c>
      <c r="L29" s="413">
        <f>M29+N29</f>
        <v>0</v>
      </c>
      <c r="M29" s="414">
        <v>0</v>
      </c>
      <c r="N29" s="414">
        <v>0</v>
      </c>
      <c r="O29" s="413">
        <f>P29+S29+V29</f>
        <v>0</v>
      </c>
      <c r="P29" s="413">
        <f>Q29+R29</f>
        <v>0</v>
      </c>
      <c r="Q29" s="414">
        <v>0</v>
      </c>
      <c r="R29" s="414">
        <v>0</v>
      </c>
      <c r="S29" s="413">
        <f>T29+U29</f>
        <v>0</v>
      </c>
      <c r="T29" s="414">
        <v>0</v>
      </c>
      <c r="U29" s="414">
        <v>0</v>
      </c>
      <c r="V29" s="413">
        <f>W29+X29</f>
        <v>0</v>
      </c>
      <c r="W29" s="414">
        <v>0</v>
      </c>
      <c r="X29" s="414">
        <v>0</v>
      </c>
    </row>
    <row r="30" spans="1:24" s="412" customFormat="1" ht="15.2" hidden="1" customHeight="1">
      <c r="A30" s="863"/>
      <c r="B30" s="820"/>
      <c r="C30" s="822"/>
      <c r="D30" s="870"/>
      <c r="E30" s="819"/>
      <c r="F30" s="819"/>
      <c r="G30" s="820"/>
      <c r="H30" s="411">
        <v>1085000</v>
      </c>
      <c r="I30" s="411">
        <v>0</v>
      </c>
      <c r="J30" s="817" t="s">
        <v>7</v>
      </c>
      <c r="K30" s="816">
        <f>K27+K29</f>
        <v>7233331</v>
      </c>
      <c r="L30" s="816">
        <f t="shared" ref="L30:X30" si="2">L27+L29</f>
        <v>6148332</v>
      </c>
      <c r="M30" s="814">
        <f t="shared" si="2"/>
        <v>6148332</v>
      </c>
      <c r="N30" s="814">
        <f t="shared" si="2"/>
        <v>0</v>
      </c>
      <c r="O30" s="816">
        <f t="shared" si="2"/>
        <v>1084999</v>
      </c>
      <c r="P30" s="816">
        <f t="shared" si="2"/>
        <v>723333</v>
      </c>
      <c r="Q30" s="814">
        <f t="shared" si="2"/>
        <v>723333</v>
      </c>
      <c r="R30" s="814">
        <f t="shared" si="2"/>
        <v>0</v>
      </c>
      <c r="S30" s="816">
        <f t="shared" si="2"/>
        <v>361666</v>
      </c>
      <c r="T30" s="814">
        <f t="shared" si="2"/>
        <v>361666</v>
      </c>
      <c r="U30" s="814">
        <f t="shared" si="2"/>
        <v>0</v>
      </c>
      <c r="V30" s="816">
        <f t="shared" si="2"/>
        <v>0</v>
      </c>
      <c r="W30" s="814">
        <f t="shared" si="2"/>
        <v>0</v>
      </c>
      <c r="X30" s="814">
        <f t="shared" si="2"/>
        <v>0</v>
      </c>
    </row>
    <row r="31" spans="1:24" s="412" customFormat="1" ht="15.2" hidden="1" customHeight="1">
      <c r="A31" s="863"/>
      <c r="B31" s="820"/>
      <c r="C31" s="822"/>
      <c r="D31" s="870"/>
      <c r="E31" s="819"/>
      <c r="F31" s="819"/>
      <c r="G31" s="820"/>
      <c r="H31" s="411">
        <v>0</v>
      </c>
      <c r="I31" s="411">
        <v>0</v>
      </c>
      <c r="J31" s="818"/>
      <c r="K31" s="816"/>
      <c r="L31" s="816"/>
      <c r="M31" s="814"/>
      <c r="N31" s="814"/>
      <c r="O31" s="816"/>
      <c r="P31" s="816"/>
      <c r="Q31" s="814"/>
      <c r="R31" s="814"/>
      <c r="S31" s="816"/>
      <c r="T31" s="814"/>
      <c r="U31" s="814"/>
      <c r="V31" s="816"/>
      <c r="W31" s="814"/>
      <c r="X31" s="814"/>
    </row>
    <row r="32" spans="1:24" s="412" customFormat="1" ht="15.2" customHeight="1">
      <c r="A32" s="859">
        <v>1</v>
      </c>
      <c r="B32" s="820" t="s">
        <v>621</v>
      </c>
      <c r="C32" s="822" t="s">
        <v>622</v>
      </c>
      <c r="D32" s="870" t="s">
        <v>630</v>
      </c>
      <c r="E32" s="819" t="s">
        <v>624</v>
      </c>
      <c r="F32" s="819" t="s">
        <v>625</v>
      </c>
      <c r="G32" s="820" t="s">
        <v>631</v>
      </c>
      <c r="H32" s="411">
        <f>H33+H34+H35+H36</f>
        <v>9743979</v>
      </c>
      <c r="I32" s="411">
        <f>I33+I34+I35+I36</f>
        <v>2581031</v>
      </c>
      <c r="J32" s="817" t="s">
        <v>5</v>
      </c>
      <c r="K32" s="816">
        <f>L32+O32</f>
        <v>4686875</v>
      </c>
      <c r="L32" s="816">
        <f>M32+N32</f>
        <v>3983843</v>
      </c>
      <c r="M32" s="814">
        <v>3983843</v>
      </c>
      <c r="N32" s="814">
        <v>0</v>
      </c>
      <c r="O32" s="816">
        <f>P32+S32+V32</f>
        <v>703032</v>
      </c>
      <c r="P32" s="816">
        <f>Q32+R32</f>
        <v>0</v>
      </c>
      <c r="Q32" s="814">
        <v>0</v>
      </c>
      <c r="R32" s="814">
        <v>0</v>
      </c>
      <c r="S32" s="816">
        <f>T32+U32</f>
        <v>703032</v>
      </c>
      <c r="T32" s="814">
        <v>703032</v>
      </c>
      <c r="U32" s="814">
        <v>0</v>
      </c>
      <c r="V32" s="816">
        <f>W32+X32</f>
        <v>0</v>
      </c>
      <c r="W32" s="814">
        <v>0</v>
      </c>
      <c r="X32" s="814">
        <v>0</v>
      </c>
    </row>
    <row r="33" spans="1:24" s="412" customFormat="1" ht="15.2" customHeight="1">
      <c r="A33" s="859"/>
      <c r="B33" s="820"/>
      <c r="C33" s="822"/>
      <c r="D33" s="870"/>
      <c r="E33" s="819"/>
      <c r="F33" s="819"/>
      <c r="G33" s="820"/>
      <c r="H33" s="411">
        <v>8267301</v>
      </c>
      <c r="I33" s="411">
        <v>1807385</v>
      </c>
      <c r="J33" s="818"/>
      <c r="K33" s="816"/>
      <c r="L33" s="816"/>
      <c r="M33" s="814"/>
      <c r="N33" s="814"/>
      <c r="O33" s="816"/>
      <c r="P33" s="816"/>
      <c r="Q33" s="814"/>
      <c r="R33" s="814"/>
      <c r="S33" s="816"/>
      <c r="T33" s="814"/>
      <c r="U33" s="814"/>
      <c r="V33" s="816"/>
      <c r="W33" s="814"/>
      <c r="X33" s="814"/>
    </row>
    <row r="34" spans="1:24" s="412" customFormat="1" ht="15.2" customHeight="1">
      <c r="A34" s="859"/>
      <c r="B34" s="820"/>
      <c r="C34" s="822"/>
      <c r="D34" s="870"/>
      <c r="E34" s="819"/>
      <c r="F34" s="819"/>
      <c r="G34" s="820"/>
      <c r="H34" s="411">
        <v>0</v>
      </c>
      <c r="I34" s="411">
        <v>0</v>
      </c>
      <c r="J34" s="411" t="s">
        <v>6</v>
      </c>
      <c r="K34" s="413">
        <f>L34+O34</f>
        <v>-337021</v>
      </c>
      <c r="L34" s="413">
        <f>M34+N34</f>
        <v>-237021</v>
      </c>
      <c r="M34" s="414">
        <v>-237021</v>
      </c>
      <c r="N34" s="414">
        <v>0</v>
      </c>
      <c r="O34" s="413">
        <f>P34+S34+V34</f>
        <v>-100000</v>
      </c>
      <c r="P34" s="413">
        <f>Q34+R34</f>
        <v>0</v>
      </c>
      <c r="Q34" s="414">
        <v>0</v>
      </c>
      <c r="R34" s="414">
        <v>0</v>
      </c>
      <c r="S34" s="413">
        <f>T34+U34</f>
        <v>-100000</v>
      </c>
      <c r="T34" s="414">
        <v>-100000</v>
      </c>
      <c r="U34" s="414">
        <v>0</v>
      </c>
      <c r="V34" s="413">
        <f>W34+X34</f>
        <v>0</v>
      </c>
      <c r="W34" s="414">
        <v>0</v>
      </c>
      <c r="X34" s="414">
        <v>0</v>
      </c>
    </row>
    <row r="35" spans="1:24" s="412" customFormat="1" ht="15.2" customHeight="1">
      <c r="A35" s="859"/>
      <c r="B35" s="820"/>
      <c r="C35" s="822"/>
      <c r="D35" s="870"/>
      <c r="E35" s="819"/>
      <c r="F35" s="819"/>
      <c r="G35" s="820"/>
      <c r="H35" s="411">
        <v>1476678</v>
      </c>
      <c r="I35" s="411">
        <v>773646</v>
      </c>
      <c r="J35" s="817" t="s">
        <v>7</v>
      </c>
      <c r="K35" s="816">
        <f>K32+K34</f>
        <v>4349854</v>
      </c>
      <c r="L35" s="816">
        <f t="shared" ref="L35:X35" si="3">L32+L34</f>
        <v>3746822</v>
      </c>
      <c r="M35" s="814">
        <f t="shared" si="3"/>
        <v>3746822</v>
      </c>
      <c r="N35" s="814">
        <f t="shared" si="3"/>
        <v>0</v>
      </c>
      <c r="O35" s="816">
        <f t="shared" si="3"/>
        <v>603032</v>
      </c>
      <c r="P35" s="816">
        <f t="shared" si="3"/>
        <v>0</v>
      </c>
      <c r="Q35" s="814">
        <f t="shared" si="3"/>
        <v>0</v>
      </c>
      <c r="R35" s="814">
        <f t="shared" si="3"/>
        <v>0</v>
      </c>
      <c r="S35" s="816">
        <f t="shared" si="3"/>
        <v>603032</v>
      </c>
      <c r="T35" s="814">
        <f t="shared" si="3"/>
        <v>603032</v>
      </c>
      <c r="U35" s="814">
        <f t="shared" si="3"/>
        <v>0</v>
      </c>
      <c r="V35" s="816">
        <f t="shared" si="3"/>
        <v>0</v>
      </c>
      <c r="W35" s="814">
        <f t="shared" si="3"/>
        <v>0</v>
      </c>
      <c r="X35" s="814">
        <f t="shared" si="3"/>
        <v>0</v>
      </c>
    </row>
    <row r="36" spans="1:24" s="412" customFormat="1" ht="15.2" customHeight="1">
      <c r="A36" s="859"/>
      <c r="B36" s="820"/>
      <c r="C36" s="822"/>
      <c r="D36" s="870"/>
      <c r="E36" s="819"/>
      <c r="F36" s="819"/>
      <c r="G36" s="820"/>
      <c r="H36" s="411">
        <v>0</v>
      </c>
      <c r="I36" s="411">
        <v>0</v>
      </c>
      <c r="J36" s="818"/>
      <c r="K36" s="816"/>
      <c r="L36" s="816"/>
      <c r="M36" s="814"/>
      <c r="N36" s="814"/>
      <c r="O36" s="816"/>
      <c r="P36" s="816"/>
      <c r="Q36" s="814"/>
      <c r="R36" s="814"/>
      <c r="S36" s="816"/>
      <c r="T36" s="814"/>
      <c r="U36" s="814"/>
      <c r="V36" s="816"/>
      <c r="W36" s="814"/>
      <c r="X36" s="814"/>
    </row>
    <row r="37" spans="1:24" s="412" customFormat="1" ht="15.2" hidden="1" customHeight="1">
      <c r="A37" s="863">
        <v>4</v>
      </c>
      <c r="B37" s="820" t="s">
        <v>621</v>
      </c>
      <c r="C37" s="822" t="s">
        <v>622</v>
      </c>
      <c r="D37" s="870" t="s">
        <v>632</v>
      </c>
      <c r="E37" s="819" t="s">
        <v>624</v>
      </c>
      <c r="F37" s="819" t="s">
        <v>633</v>
      </c>
      <c r="G37" s="820" t="s">
        <v>634</v>
      </c>
      <c r="H37" s="411">
        <f>H38+H39+H40+H41</f>
        <v>14097022</v>
      </c>
      <c r="I37" s="411">
        <f>I38+I39+I40+I41</f>
        <v>79600</v>
      </c>
      <c r="J37" s="817" t="s">
        <v>5</v>
      </c>
      <c r="K37" s="816">
        <f>L37+O37</f>
        <v>5796221</v>
      </c>
      <c r="L37" s="816">
        <f>M37+N37</f>
        <v>4712423</v>
      </c>
      <c r="M37" s="814">
        <v>4251978</v>
      </c>
      <c r="N37" s="814">
        <v>460445</v>
      </c>
      <c r="O37" s="816">
        <f>P37+S37+V37</f>
        <v>1083798</v>
      </c>
      <c r="P37" s="816">
        <f>Q37+R37</f>
        <v>554403</v>
      </c>
      <c r="Q37" s="814">
        <v>500233</v>
      </c>
      <c r="R37" s="814">
        <v>54170</v>
      </c>
      <c r="S37" s="816">
        <f>T37+U37</f>
        <v>529395</v>
      </c>
      <c r="T37" s="814">
        <v>250116</v>
      </c>
      <c r="U37" s="814">
        <v>279279</v>
      </c>
      <c r="V37" s="816">
        <f>W37+X37</f>
        <v>0</v>
      </c>
      <c r="W37" s="814">
        <v>0</v>
      </c>
      <c r="X37" s="814">
        <v>0</v>
      </c>
    </row>
    <row r="38" spans="1:24" s="412" customFormat="1" ht="15.2" hidden="1" customHeight="1">
      <c r="A38" s="863"/>
      <c r="B38" s="820"/>
      <c r="C38" s="822"/>
      <c r="D38" s="870"/>
      <c r="E38" s="819"/>
      <c r="F38" s="819"/>
      <c r="G38" s="820"/>
      <c r="H38" s="411">
        <v>11553739</v>
      </c>
      <c r="I38" s="411">
        <v>67660</v>
      </c>
      <c r="J38" s="818"/>
      <c r="K38" s="816"/>
      <c r="L38" s="816"/>
      <c r="M38" s="814"/>
      <c r="N38" s="814"/>
      <c r="O38" s="816"/>
      <c r="P38" s="816"/>
      <c r="Q38" s="814"/>
      <c r="R38" s="814"/>
      <c r="S38" s="816"/>
      <c r="T38" s="814"/>
      <c r="U38" s="814"/>
      <c r="V38" s="816"/>
      <c r="W38" s="814"/>
      <c r="X38" s="814"/>
    </row>
    <row r="39" spans="1:24" s="412" customFormat="1" ht="15.2" hidden="1" customHeight="1">
      <c r="A39" s="863"/>
      <c r="B39" s="820"/>
      <c r="C39" s="822"/>
      <c r="D39" s="870"/>
      <c r="E39" s="819"/>
      <c r="F39" s="819"/>
      <c r="G39" s="820"/>
      <c r="H39" s="411">
        <v>1359263</v>
      </c>
      <c r="I39" s="411">
        <v>7960</v>
      </c>
      <c r="J39" s="411" t="s">
        <v>6</v>
      </c>
      <c r="K39" s="413">
        <f>L39+O39</f>
        <v>0</v>
      </c>
      <c r="L39" s="413">
        <f>M39+N39</f>
        <v>0</v>
      </c>
      <c r="M39" s="414">
        <v>0</v>
      </c>
      <c r="N39" s="414">
        <v>0</v>
      </c>
      <c r="O39" s="413">
        <f>P39+S39+V39</f>
        <v>0</v>
      </c>
      <c r="P39" s="413">
        <f>Q39+R39</f>
        <v>0</v>
      </c>
      <c r="Q39" s="414">
        <v>0</v>
      </c>
      <c r="R39" s="414">
        <v>0</v>
      </c>
      <c r="S39" s="413">
        <f>T39+U39</f>
        <v>0</v>
      </c>
      <c r="T39" s="414">
        <v>0</v>
      </c>
      <c r="U39" s="414">
        <v>0</v>
      </c>
      <c r="V39" s="413">
        <f>W39+X39</f>
        <v>0</v>
      </c>
      <c r="W39" s="414">
        <v>0</v>
      </c>
      <c r="X39" s="414">
        <v>0</v>
      </c>
    </row>
    <row r="40" spans="1:24" s="412" customFormat="1" ht="15.2" hidden="1" customHeight="1">
      <c r="A40" s="863"/>
      <c r="B40" s="820"/>
      <c r="C40" s="822"/>
      <c r="D40" s="870"/>
      <c r="E40" s="819"/>
      <c r="F40" s="819"/>
      <c r="G40" s="820"/>
      <c r="H40" s="411">
        <v>1184020</v>
      </c>
      <c r="I40" s="411">
        <v>3980</v>
      </c>
      <c r="J40" s="817" t="s">
        <v>7</v>
      </c>
      <c r="K40" s="816">
        <f>K37+K39</f>
        <v>5796221</v>
      </c>
      <c r="L40" s="816">
        <f t="shared" ref="L40:X40" si="4">L37+L39</f>
        <v>4712423</v>
      </c>
      <c r="M40" s="814">
        <f t="shared" si="4"/>
        <v>4251978</v>
      </c>
      <c r="N40" s="814">
        <f t="shared" si="4"/>
        <v>460445</v>
      </c>
      <c r="O40" s="816">
        <f t="shared" si="4"/>
        <v>1083798</v>
      </c>
      <c r="P40" s="816">
        <f t="shared" si="4"/>
        <v>554403</v>
      </c>
      <c r="Q40" s="814">
        <f t="shared" si="4"/>
        <v>500233</v>
      </c>
      <c r="R40" s="814">
        <f t="shared" si="4"/>
        <v>54170</v>
      </c>
      <c r="S40" s="816">
        <f t="shared" si="4"/>
        <v>529395</v>
      </c>
      <c r="T40" s="814">
        <f t="shared" si="4"/>
        <v>250116</v>
      </c>
      <c r="U40" s="814">
        <f t="shared" si="4"/>
        <v>279279</v>
      </c>
      <c r="V40" s="816">
        <f t="shared" si="4"/>
        <v>0</v>
      </c>
      <c r="W40" s="814">
        <f t="shared" si="4"/>
        <v>0</v>
      </c>
      <c r="X40" s="814">
        <f t="shared" si="4"/>
        <v>0</v>
      </c>
    </row>
    <row r="41" spans="1:24" s="412" customFormat="1" ht="15.2" hidden="1" customHeight="1">
      <c r="A41" s="863"/>
      <c r="B41" s="820"/>
      <c r="C41" s="822"/>
      <c r="D41" s="870"/>
      <c r="E41" s="819"/>
      <c r="F41" s="819"/>
      <c r="G41" s="820"/>
      <c r="H41" s="411">
        <v>0</v>
      </c>
      <c r="I41" s="411">
        <v>0</v>
      </c>
      <c r="J41" s="818"/>
      <c r="K41" s="816"/>
      <c r="L41" s="816"/>
      <c r="M41" s="814"/>
      <c r="N41" s="814"/>
      <c r="O41" s="816"/>
      <c r="P41" s="816"/>
      <c r="Q41" s="814"/>
      <c r="R41" s="814"/>
      <c r="S41" s="816"/>
      <c r="T41" s="814"/>
      <c r="U41" s="814"/>
      <c r="V41" s="816"/>
      <c r="W41" s="814"/>
      <c r="X41" s="814"/>
    </row>
    <row r="42" spans="1:24" s="412" customFormat="1" ht="16.5" hidden="1" customHeight="1">
      <c r="A42" s="863">
        <v>5</v>
      </c>
      <c r="B42" s="841" t="s">
        <v>635</v>
      </c>
      <c r="C42" s="841" t="s">
        <v>636</v>
      </c>
      <c r="D42" s="872" t="s">
        <v>637</v>
      </c>
      <c r="E42" s="843" t="s">
        <v>624</v>
      </c>
      <c r="F42" s="843" t="s">
        <v>638</v>
      </c>
      <c r="G42" s="873" t="s">
        <v>639</v>
      </c>
      <c r="H42" s="411">
        <f>H43+H44+H45+H46</f>
        <v>4636320</v>
      </c>
      <c r="I42" s="411">
        <f>I43+I44+I45+I46</f>
        <v>2234760</v>
      </c>
      <c r="J42" s="875" t="s">
        <v>5</v>
      </c>
      <c r="K42" s="816">
        <f>L42+O42</f>
        <v>2401560</v>
      </c>
      <c r="L42" s="816">
        <f>M42+N42</f>
        <v>2401560</v>
      </c>
      <c r="M42" s="814">
        <v>2401560</v>
      </c>
      <c r="N42" s="814">
        <v>0</v>
      </c>
      <c r="O42" s="816">
        <f>P42+S42+V42</f>
        <v>0</v>
      </c>
      <c r="P42" s="816">
        <f>Q42+R42</f>
        <v>0</v>
      </c>
      <c r="Q42" s="814">
        <v>0</v>
      </c>
      <c r="R42" s="814">
        <v>0</v>
      </c>
      <c r="S42" s="816">
        <f>T42+U42</f>
        <v>0</v>
      </c>
      <c r="T42" s="814">
        <v>0</v>
      </c>
      <c r="U42" s="814">
        <v>0</v>
      </c>
      <c r="V42" s="816">
        <f>W42+X42</f>
        <v>0</v>
      </c>
      <c r="W42" s="814">
        <v>0</v>
      </c>
      <c r="X42" s="814">
        <v>0</v>
      </c>
    </row>
    <row r="43" spans="1:24" s="412" customFormat="1" ht="16.5" hidden="1" customHeight="1">
      <c r="A43" s="863"/>
      <c r="B43" s="841"/>
      <c r="C43" s="841"/>
      <c r="D43" s="872"/>
      <c r="E43" s="843"/>
      <c r="F43" s="843"/>
      <c r="G43" s="873"/>
      <c r="H43" s="411">
        <v>4636320</v>
      </c>
      <c r="I43" s="411">
        <v>2234760</v>
      </c>
      <c r="J43" s="876"/>
      <c r="K43" s="816"/>
      <c r="L43" s="816"/>
      <c r="M43" s="814"/>
      <c r="N43" s="814"/>
      <c r="O43" s="816"/>
      <c r="P43" s="816"/>
      <c r="Q43" s="814"/>
      <c r="R43" s="814"/>
      <c r="S43" s="816"/>
      <c r="T43" s="814"/>
      <c r="U43" s="814"/>
      <c r="V43" s="816"/>
      <c r="W43" s="814"/>
      <c r="X43" s="814"/>
    </row>
    <row r="44" spans="1:24" s="412" customFormat="1" ht="16.5" hidden="1" customHeight="1">
      <c r="A44" s="863"/>
      <c r="B44" s="841"/>
      <c r="C44" s="841"/>
      <c r="D44" s="872"/>
      <c r="E44" s="843"/>
      <c r="F44" s="843"/>
      <c r="G44" s="873"/>
      <c r="H44" s="411">
        <v>0</v>
      </c>
      <c r="I44" s="411">
        <v>0</v>
      </c>
      <c r="J44" s="415" t="s">
        <v>6</v>
      </c>
      <c r="K44" s="413">
        <f>L44+O44</f>
        <v>0</v>
      </c>
      <c r="L44" s="413">
        <f>M44+N44</f>
        <v>0</v>
      </c>
      <c r="M44" s="414">
        <v>0</v>
      </c>
      <c r="N44" s="414">
        <v>0</v>
      </c>
      <c r="O44" s="413">
        <f>P44+S44+V44</f>
        <v>0</v>
      </c>
      <c r="P44" s="413">
        <f>Q44+R44</f>
        <v>0</v>
      </c>
      <c r="Q44" s="414">
        <v>0</v>
      </c>
      <c r="R44" s="414">
        <v>0</v>
      </c>
      <c r="S44" s="413">
        <f>T44+U44</f>
        <v>0</v>
      </c>
      <c r="T44" s="414">
        <v>0</v>
      </c>
      <c r="U44" s="414">
        <v>0</v>
      </c>
      <c r="V44" s="413">
        <f>W44+X44</f>
        <v>0</v>
      </c>
      <c r="W44" s="414">
        <v>0</v>
      </c>
      <c r="X44" s="414">
        <v>0</v>
      </c>
    </row>
    <row r="45" spans="1:24" s="412" customFormat="1" ht="16.5" hidden="1" customHeight="1">
      <c r="A45" s="863"/>
      <c r="B45" s="841"/>
      <c r="C45" s="841"/>
      <c r="D45" s="872"/>
      <c r="E45" s="843"/>
      <c r="F45" s="843"/>
      <c r="G45" s="873"/>
      <c r="H45" s="411">
        <v>0</v>
      </c>
      <c r="I45" s="411">
        <v>0</v>
      </c>
      <c r="J45" s="875" t="s">
        <v>7</v>
      </c>
      <c r="K45" s="816">
        <f t="shared" ref="K45:X45" si="5">K42+K44</f>
        <v>2401560</v>
      </c>
      <c r="L45" s="816">
        <f t="shared" si="5"/>
        <v>2401560</v>
      </c>
      <c r="M45" s="814">
        <f t="shared" si="5"/>
        <v>2401560</v>
      </c>
      <c r="N45" s="814">
        <f t="shared" si="5"/>
        <v>0</v>
      </c>
      <c r="O45" s="816">
        <f t="shared" si="5"/>
        <v>0</v>
      </c>
      <c r="P45" s="816">
        <f t="shared" si="5"/>
        <v>0</v>
      </c>
      <c r="Q45" s="814">
        <f t="shared" si="5"/>
        <v>0</v>
      </c>
      <c r="R45" s="814">
        <f t="shared" si="5"/>
        <v>0</v>
      </c>
      <c r="S45" s="816">
        <f t="shared" si="5"/>
        <v>0</v>
      </c>
      <c r="T45" s="814">
        <f t="shared" si="5"/>
        <v>0</v>
      </c>
      <c r="U45" s="814">
        <f t="shared" si="5"/>
        <v>0</v>
      </c>
      <c r="V45" s="816">
        <f t="shared" si="5"/>
        <v>0</v>
      </c>
      <c r="W45" s="814">
        <f t="shared" si="5"/>
        <v>0</v>
      </c>
      <c r="X45" s="814">
        <f t="shared" si="5"/>
        <v>0</v>
      </c>
    </row>
    <row r="46" spans="1:24" s="412" customFormat="1" ht="16.5" hidden="1" customHeight="1">
      <c r="A46" s="863"/>
      <c r="B46" s="841"/>
      <c r="C46" s="841"/>
      <c r="D46" s="872"/>
      <c r="E46" s="843"/>
      <c r="F46" s="843"/>
      <c r="G46" s="873"/>
      <c r="H46" s="411">
        <v>0</v>
      </c>
      <c r="I46" s="411">
        <v>0</v>
      </c>
      <c r="J46" s="876"/>
      <c r="K46" s="816"/>
      <c r="L46" s="816"/>
      <c r="M46" s="814"/>
      <c r="N46" s="814"/>
      <c r="O46" s="816"/>
      <c r="P46" s="816"/>
      <c r="Q46" s="814"/>
      <c r="R46" s="814"/>
      <c r="S46" s="816"/>
      <c r="T46" s="814"/>
      <c r="U46" s="814"/>
      <c r="V46" s="816"/>
      <c r="W46" s="814"/>
      <c r="X46" s="814"/>
    </row>
    <row r="47" spans="1:24" s="412" customFormat="1" ht="15.2" hidden="1" customHeight="1">
      <c r="A47" s="863">
        <v>6</v>
      </c>
      <c r="B47" s="828" t="s">
        <v>529</v>
      </c>
      <c r="C47" s="834" t="s">
        <v>640</v>
      </c>
      <c r="D47" s="860" t="s">
        <v>641</v>
      </c>
      <c r="E47" s="819" t="s">
        <v>624</v>
      </c>
      <c r="F47" s="825" t="s">
        <v>642</v>
      </c>
      <c r="G47" s="828" t="s">
        <v>626</v>
      </c>
      <c r="H47" s="411">
        <f>H48+H49+H50+H51</f>
        <v>116874398</v>
      </c>
      <c r="I47" s="411">
        <f>I48+I49+I50+I51</f>
        <v>49966168</v>
      </c>
      <c r="J47" s="817" t="s">
        <v>5</v>
      </c>
      <c r="K47" s="816">
        <f t="shared" ref="K47" si="6">L47+O47</f>
        <v>49409736</v>
      </c>
      <c r="L47" s="816">
        <f t="shared" ref="L47" si="7">M47+N47</f>
        <v>47883011</v>
      </c>
      <c r="M47" s="814">
        <v>1550774</v>
      </c>
      <c r="N47" s="814">
        <v>46332237</v>
      </c>
      <c r="O47" s="816">
        <f t="shared" ref="O47" si="8">P47+S47+V47</f>
        <v>1526725</v>
      </c>
      <c r="P47" s="816">
        <f t="shared" ref="P47" si="9">Q47+R47</f>
        <v>0</v>
      </c>
      <c r="Q47" s="814">
        <v>0</v>
      </c>
      <c r="R47" s="814">
        <v>0</v>
      </c>
      <c r="S47" s="816">
        <f t="shared" ref="S47" si="10">T47+U47</f>
        <v>1468725</v>
      </c>
      <c r="T47" s="814">
        <v>215668</v>
      </c>
      <c r="U47" s="814">
        <v>1253057</v>
      </c>
      <c r="V47" s="816">
        <f t="shared" ref="V47" si="11">W47+X47</f>
        <v>58000</v>
      </c>
      <c r="W47" s="814">
        <v>58000</v>
      </c>
      <c r="X47" s="814">
        <v>0</v>
      </c>
    </row>
    <row r="48" spans="1:24" s="412" customFormat="1" ht="15.2" hidden="1" customHeight="1">
      <c r="A48" s="863"/>
      <c r="B48" s="829"/>
      <c r="C48" s="835"/>
      <c r="D48" s="861"/>
      <c r="E48" s="819"/>
      <c r="F48" s="826"/>
      <c r="G48" s="829"/>
      <c r="H48" s="411">
        <v>112289162</v>
      </c>
      <c r="I48" s="411">
        <v>48148365</v>
      </c>
      <c r="J48" s="818"/>
      <c r="K48" s="816"/>
      <c r="L48" s="816"/>
      <c r="M48" s="814"/>
      <c r="N48" s="814"/>
      <c r="O48" s="816"/>
      <c r="P48" s="816"/>
      <c r="Q48" s="814"/>
      <c r="R48" s="814"/>
      <c r="S48" s="816"/>
      <c r="T48" s="814"/>
      <c r="U48" s="814"/>
      <c r="V48" s="816"/>
      <c r="W48" s="814"/>
      <c r="X48" s="814"/>
    </row>
    <row r="49" spans="1:24" s="412" customFormat="1" ht="15.2" hidden="1" customHeight="1">
      <c r="A49" s="863"/>
      <c r="B49" s="829"/>
      <c r="C49" s="835"/>
      <c r="D49" s="861"/>
      <c r="E49" s="819"/>
      <c r="F49" s="826"/>
      <c r="G49" s="829"/>
      <c r="H49" s="411">
        <v>0</v>
      </c>
      <c r="I49" s="411">
        <v>0</v>
      </c>
      <c r="J49" s="411" t="s">
        <v>6</v>
      </c>
      <c r="K49" s="413">
        <f t="shared" ref="K49" si="12">L49+O49</f>
        <v>0</v>
      </c>
      <c r="L49" s="413">
        <f t="shared" ref="L49" si="13">M49+N49</f>
        <v>0</v>
      </c>
      <c r="M49" s="414">
        <v>0</v>
      </c>
      <c r="N49" s="414">
        <v>0</v>
      </c>
      <c r="O49" s="413">
        <f t="shared" ref="O49" si="14">P49+S49+V49</f>
        <v>0</v>
      </c>
      <c r="P49" s="413">
        <f t="shared" ref="P49" si="15">Q49+R49</f>
        <v>0</v>
      </c>
      <c r="Q49" s="414">
        <v>0</v>
      </c>
      <c r="R49" s="414">
        <v>0</v>
      </c>
      <c r="S49" s="413">
        <f t="shared" ref="S49" si="16">T49+U49</f>
        <v>0</v>
      </c>
      <c r="T49" s="414">
        <v>0</v>
      </c>
      <c r="U49" s="414">
        <v>0</v>
      </c>
      <c r="V49" s="413">
        <f t="shared" ref="V49" si="17">W49+X49</f>
        <v>0</v>
      </c>
      <c r="W49" s="414">
        <v>0</v>
      </c>
      <c r="X49" s="414">
        <v>0</v>
      </c>
    </row>
    <row r="50" spans="1:24" s="412" customFormat="1" ht="15.2" hidden="1" customHeight="1">
      <c r="A50" s="863"/>
      <c r="B50" s="829"/>
      <c r="C50" s="835"/>
      <c r="D50" s="861"/>
      <c r="E50" s="819"/>
      <c r="F50" s="826"/>
      <c r="G50" s="829"/>
      <c r="H50" s="411">
        <v>4300801</v>
      </c>
      <c r="I50" s="411">
        <v>1748350</v>
      </c>
      <c r="J50" s="817" t="s">
        <v>7</v>
      </c>
      <c r="K50" s="816">
        <f t="shared" ref="K50:X50" si="18">K47+K49</f>
        <v>49409736</v>
      </c>
      <c r="L50" s="816">
        <f t="shared" si="18"/>
        <v>47883011</v>
      </c>
      <c r="M50" s="814">
        <f t="shared" si="18"/>
        <v>1550774</v>
      </c>
      <c r="N50" s="814">
        <f t="shared" si="18"/>
        <v>46332237</v>
      </c>
      <c r="O50" s="816">
        <f t="shared" si="18"/>
        <v>1526725</v>
      </c>
      <c r="P50" s="816">
        <f t="shared" si="18"/>
        <v>0</v>
      </c>
      <c r="Q50" s="814">
        <f t="shared" si="18"/>
        <v>0</v>
      </c>
      <c r="R50" s="814">
        <f t="shared" si="18"/>
        <v>0</v>
      </c>
      <c r="S50" s="816">
        <f t="shared" si="18"/>
        <v>1468725</v>
      </c>
      <c r="T50" s="814">
        <f t="shared" si="18"/>
        <v>215668</v>
      </c>
      <c r="U50" s="814">
        <f t="shared" si="18"/>
        <v>1253057</v>
      </c>
      <c r="V50" s="816">
        <f t="shared" si="18"/>
        <v>58000</v>
      </c>
      <c r="W50" s="814">
        <f t="shared" si="18"/>
        <v>58000</v>
      </c>
      <c r="X50" s="814">
        <f t="shared" si="18"/>
        <v>0</v>
      </c>
    </row>
    <row r="51" spans="1:24" s="412" customFormat="1" ht="15.2" hidden="1" customHeight="1">
      <c r="A51" s="863"/>
      <c r="B51" s="830"/>
      <c r="C51" s="836"/>
      <c r="D51" s="862"/>
      <c r="E51" s="819"/>
      <c r="F51" s="827"/>
      <c r="G51" s="830"/>
      <c r="H51" s="411">
        <v>284435</v>
      </c>
      <c r="I51" s="411">
        <v>69453</v>
      </c>
      <c r="J51" s="818"/>
      <c r="K51" s="816"/>
      <c r="L51" s="816"/>
      <c r="M51" s="814"/>
      <c r="N51" s="814"/>
      <c r="O51" s="816"/>
      <c r="P51" s="816"/>
      <c r="Q51" s="814"/>
      <c r="R51" s="814"/>
      <c r="S51" s="816"/>
      <c r="T51" s="814"/>
      <c r="U51" s="814"/>
      <c r="V51" s="816"/>
      <c r="W51" s="814"/>
      <c r="X51" s="814"/>
    </row>
    <row r="52" spans="1:24" s="412" customFormat="1" ht="15.2" hidden="1" customHeight="1">
      <c r="A52" s="863">
        <v>7</v>
      </c>
      <c r="B52" s="828" t="s">
        <v>529</v>
      </c>
      <c r="C52" s="834" t="s">
        <v>640</v>
      </c>
      <c r="D52" s="860" t="s">
        <v>643</v>
      </c>
      <c r="E52" s="819" t="s">
        <v>624</v>
      </c>
      <c r="F52" s="825" t="s">
        <v>642</v>
      </c>
      <c r="G52" s="828" t="s">
        <v>626</v>
      </c>
      <c r="H52" s="411">
        <f>H53+H54+H55+H56</f>
        <v>92909874</v>
      </c>
      <c r="I52" s="411">
        <f>I53+I54+I55+I56</f>
        <v>33074687</v>
      </c>
      <c r="J52" s="817" t="s">
        <v>5</v>
      </c>
      <c r="K52" s="816">
        <f t="shared" ref="K52" si="19">L52+O52</f>
        <v>31196089</v>
      </c>
      <c r="L52" s="816">
        <f t="shared" ref="L52" si="20">M52+N52</f>
        <v>29474676</v>
      </c>
      <c r="M52" s="814">
        <v>1241926</v>
      </c>
      <c r="N52" s="814">
        <v>28232750</v>
      </c>
      <c r="O52" s="816">
        <f t="shared" ref="O52" si="21">P52+S52+V52</f>
        <v>1721413</v>
      </c>
      <c r="P52" s="816">
        <f t="shared" ref="P52" si="22">Q52+R52</f>
        <v>0</v>
      </c>
      <c r="Q52" s="814">
        <v>0</v>
      </c>
      <c r="R52" s="814">
        <v>0</v>
      </c>
      <c r="S52" s="816">
        <f t="shared" ref="S52" si="23">T52+U52</f>
        <v>1721413</v>
      </c>
      <c r="T52" s="814">
        <v>219163</v>
      </c>
      <c r="U52" s="814">
        <v>1502250</v>
      </c>
      <c r="V52" s="816">
        <f t="shared" ref="V52" si="24">W52+X52</f>
        <v>0</v>
      </c>
      <c r="W52" s="814">
        <v>0</v>
      </c>
      <c r="X52" s="814">
        <v>0</v>
      </c>
    </row>
    <row r="53" spans="1:24" s="412" customFormat="1" ht="15.2" hidden="1" customHeight="1">
      <c r="A53" s="863"/>
      <c r="B53" s="829"/>
      <c r="C53" s="835"/>
      <c r="D53" s="861"/>
      <c r="E53" s="819"/>
      <c r="F53" s="826"/>
      <c r="G53" s="829"/>
      <c r="H53" s="411">
        <v>87569378</v>
      </c>
      <c r="I53" s="411">
        <v>32605368</v>
      </c>
      <c r="J53" s="818"/>
      <c r="K53" s="816"/>
      <c r="L53" s="816"/>
      <c r="M53" s="814"/>
      <c r="N53" s="814"/>
      <c r="O53" s="816"/>
      <c r="P53" s="816"/>
      <c r="Q53" s="814"/>
      <c r="R53" s="814"/>
      <c r="S53" s="816"/>
      <c r="T53" s="814"/>
      <c r="U53" s="814"/>
      <c r="V53" s="816"/>
      <c r="W53" s="814"/>
      <c r="X53" s="814"/>
    </row>
    <row r="54" spans="1:24" s="412" customFormat="1" ht="15.2" hidden="1" customHeight="1">
      <c r="A54" s="863"/>
      <c r="B54" s="829"/>
      <c r="C54" s="835"/>
      <c r="D54" s="861"/>
      <c r="E54" s="819"/>
      <c r="F54" s="826"/>
      <c r="G54" s="829"/>
      <c r="H54" s="411">
        <v>0</v>
      </c>
      <c r="I54" s="411">
        <v>0</v>
      </c>
      <c r="J54" s="411" t="s">
        <v>6</v>
      </c>
      <c r="K54" s="413">
        <f t="shared" ref="K54" si="25">L54+O54</f>
        <v>0</v>
      </c>
      <c r="L54" s="413">
        <f t="shared" ref="L54" si="26">M54+N54</f>
        <v>0</v>
      </c>
      <c r="M54" s="414">
        <v>0</v>
      </c>
      <c r="N54" s="414">
        <v>0</v>
      </c>
      <c r="O54" s="413">
        <f t="shared" ref="O54" si="27">P54+S54+V54</f>
        <v>0</v>
      </c>
      <c r="P54" s="413">
        <f t="shared" ref="P54" si="28">Q54+R54</f>
        <v>0</v>
      </c>
      <c r="Q54" s="414">
        <v>0</v>
      </c>
      <c r="R54" s="414">
        <v>0</v>
      </c>
      <c r="S54" s="413">
        <f t="shared" ref="S54" si="29">T54+U54</f>
        <v>0</v>
      </c>
      <c r="T54" s="414">
        <v>0</v>
      </c>
      <c r="U54" s="414">
        <v>0</v>
      </c>
      <c r="V54" s="413">
        <f t="shared" ref="V54" si="30">W54+X54</f>
        <v>0</v>
      </c>
      <c r="W54" s="414">
        <v>0</v>
      </c>
      <c r="X54" s="414">
        <v>0</v>
      </c>
    </row>
    <row r="55" spans="1:24" s="412" customFormat="1" ht="15.2" hidden="1" customHeight="1">
      <c r="A55" s="863"/>
      <c r="B55" s="829"/>
      <c r="C55" s="835"/>
      <c r="D55" s="861"/>
      <c r="E55" s="819"/>
      <c r="F55" s="826"/>
      <c r="G55" s="829"/>
      <c r="H55" s="411">
        <v>5340496</v>
      </c>
      <c r="I55" s="411">
        <v>469319</v>
      </c>
      <c r="J55" s="817" t="s">
        <v>7</v>
      </c>
      <c r="K55" s="816">
        <f t="shared" ref="K55:X55" si="31">K52+K54</f>
        <v>31196089</v>
      </c>
      <c r="L55" s="816">
        <f t="shared" si="31"/>
        <v>29474676</v>
      </c>
      <c r="M55" s="814">
        <f t="shared" si="31"/>
        <v>1241926</v>
      </c>
      <c r="N55" s="814">
        <f t="shared" si="31"/>
        <v>28232750</v>
      </c>
      <c r="O55" s="816">
        <f t="shared" si="31"/>
        <v>1721413</v>
      </c>
      <c r="P55" s="816">
        <f t="shared" si="31"/>
        <v>0</v>
      </c>
      <c r="Q55" s="814">
        <f t="shared" si="31"/>
        <v>0</v>
      </c>
      <c r="R55" s="814">
        <f t="shared" si="31"/>
        <v>0</v>
      </c>
      <c r="S55" s="816">
        <f t="shared" si="31"/>
        <v>1721413</v>
      </c>
      <c r="T55" s="814">
        <f t="shared" si="31"/>
        <v>219163</v>
      </c>
      <c r="U55" s="814">
        <f t="shared" si="31"/>
        <v>1502250</v>
      </c>
      <c r="V55" s="816">
        <f t="shared" si="31"/>
        <v>0</v>
      </c>
      <c r="W55" s="814">
        <f t="shared" si="31"/>
        <v>0</v>
      </c>
      <c r="X55" s="814">
        <f t="shared" si="31"/>
        <v>0</v>
      </c>
    </row>
    <row r="56" spans="1:24" s="412" customFormat="1" ht="15.2" hidden="1" customHeight="1">
      <c r="A56" s="863"/>
      <c r="B56" s="830"/>
      <c r="C56" s="836"/>
      <c r="D56" s="862"/>
      <c r="E56" s="819"/>
      <c r="F56" s="827"/>
      <c r="G56" s="830"/>
      <c r="H56" s="411">
        <v>0</v>
      </c>
      <c r="I56" s="411">
        <v>0</v>
      </c>
      <c r="J56" s="818"/>
      <c r="K56" s="816"/>
      <c r="L56" s="816"/>
      <c r="M56" s="814"/>
      <c r="N56" s="814"/>
      <c r="O56" s="816"/>
      <c r="P56" s="816"/>
      <c r="Q56" s="814"/>
      <c r="R56" s="814"/>
      <c r="S56" s="816"/>
      <c r="T56" s="814"/>
      <c r="U56" s="814"/>
      <c r="V56" s="816"/>
      <c r="W56" s="814"/>
      <c r="X56" s="814"/>
    </row>
    <row r="57" spans="1:24" s="412" customFormat="1" ht="15.2" hidden="1" customHeight="1">
      <c r="A57" s="863">
        <v>8</v>
      </c>
      <c r="B57" s="828" t="s">
        <v>529</v>
      </c>
      <c r="C57" s="834" t="s">
        <v>640</v>
      </c>
      <c r="D57" s="860" t="s">
        <v>644</v>
      </c>
      <c r="E57" s="819" t="s">
        <v>624</v>
      </c>
      <c r="F57" s="825" t="s">
        <v>642</v>
      </c>
      <c r="G57" s="828" t="s">
        <v>631</v>
      </c>
      <c r="H57" s="411">
        <f>H58+H59+H60+H61</f>
        <v>21659380</v>
      </c>
      <c r="I57" s="411">
        <f>I58+I59+I60+I61</f>
        <v>0</v>
      </c>
      <c r="J57" s="817" t="s">
        <v>5</v>
      </c>
      <c r="K57" s="816">
        <f t="shared" ref="K57" si="32">L57+O57</f>
        <v>10566881</v>
      </c>
      <c r="L57" s="816">
        <f t="shared" ref="L57" si="33">M57+N57</f>
        <v>10481849</v>
      </c>
      <c r="M57" s="814">
        <v>481849</v>
      </c>
      <c r="N57" s="814">
        <v>10000000</v>
      </c>
      <c r="O57" s="816">
        <f t="shared" ref="O57" si="34">P57+S57+V57</f>
        <v>85032</v>
      </c>
      <c r="P57" s="816">
        <f t="shared" ref="P57" si="35">Q57+R57</f>
        <v>0</v>
      </c>
      <c r="Q57" s="814">
        <v>0</v>
      </c>
      <c r="R57" s="814">
        <v>0</v>
      </c>
      <c r="S57" s="816">
        <f t="shared" ref="S57" si="36">T57+U57</f>
        <v>85032</v>
      </c>
      <c r="T57" s="814">
        <v>85032</v>
      </c>
      <c r="U57" s="814">
        <v>0</v>
      </c>
      <c r="V57" s="816">
        <f t="shared" ref="V57" si="37">W57+X57</f>
        <v>0</v>
      </c>
      <c r="W57" s="814">
        <v>0</v>
      </c>
      <c r="X57" s="814">
        <v>0</v>
      </c>
    </row>
    <row r="58" spans="1:24" s="412" customFormat="1" ht="15.2" hidden="1" customHeight="1">
      <c r="A58" s="863"/>
      <c r="B58" s="829"/>
      <c r="C58" s="835"/>
      <c r="D58" s="861"/>
      <c r="E58" s="819"/>
      <c r="F58" s="826"/>
      <c r="G58" s="829"/>
      <c r="H58" s="411">
        <v>21457990</v>
      </c>
      <c r="I58" s="411">
        <v>0</v>
      </c>
      <c r="J58" s="818"/>
      <c r="K58" s="816"/>
      <c r="L58" s="816"/>
      <c r="M58" s="814"/>
      <c r="N58" s="814"/>
      <c r="O58" s="816"/>
      <c r="P58" s="816"/>
      <c r="Q58" s="814"/>
      <c r="R58" s="814"/>
      <c r="S58" s="816"/>
      <c r="T58" s="814"/>
      <c r="U58" s="814"/>
      <c r="V58" s="816"/>
      <c r="W58" s="814"/>
      <c r="X58" s="814"/>
    </row>
    <row r="59" spans="1:24" s="412" customFormat="1" ht="15.2" hidden="1" customHeight="1">
      <c r="A59" s="863"/>
      <c r="B59" s="829"/>
      <c r="C59" s="835"/>
      <c r="D59" s="861"/>
      <c r="E59" s="819"/>
      <c r="F59" s="826"/>
      <c r="G59" s="829"/>
      <c r="H59" s="411">
        <v>0</v>
      </c>
      <c r="I59" s="411">
        <v>0</v>
      </c>
      <c r="J59" s="411" t="s">
        <v>6</v>
      </c>
      <c r="K59" s="413">
        <f t="shared" ref="K59" si="38">L59+O59</f>
        <v>0</v>
      </c>
      <c r="L59" s="413">
        <f t="shared" ref="L59" si="39">M59+N59</f>
        <v>0</v>
      </c>
      <c r="M59" s="414">
        <v>0</v>
      </c>
      <c r="N59" s="414">
        <v>0</v>
      </c>
      <c r="O59" s="413">
        <f t="shared" ref="O59" si="40">P59+S59+V59</f>
        <v>0</v>
      </c>
      <c r="P59" s="413">
        <f t="shared" ref="P59" si="41">Q59+R59</f>
        <v>0</v>
      </c>
      <c r="Q59" s="414">
        <v>0</v>
      </c>
      <c r="R59" s="414">
        <v>0</v>
      </c>
      <c r="S59" s="413">
        <f t="shared" ref="S59" si="42">T59+U59</f>
        <v>0</v>
      </c>
      <c r="T59" s="414">
        <v>0</v>
      </c>
      <c r="U59" s="414">
        <v>0</v>
      </c>
      <c r="V59" s="413">
        <f t="shared" ref="V59" si="43">W59+X59</f>
        <v>0</v>
      </c>
      <c r="W59" s="414">
        <v>0</v>
      </c>
      <c r="X59" s="414">
        <v>0</v>
      </c>
    </row>
    <row r="60" spans="1:24" s="412" customFormat="1" ht="15.2" hidden="1" customHeight="1">
      <c r="A60" s="863"/>
      <c r="B60" s="829"/>
      <c r="C60" s="835"/>
      <c r="D60" s="861"/>
      <c r="E60" s="819"/>
      <c r="F60" s="826"/>
      <c r="G60" s="829"/>
      <c r="H60" s="411">
        <v>201390</v>
      </c>
      <c r="I60" s="411">
        <v>0</v>
      </c>
      <c r="J60" s="817" t="s">
        <v>7</v>
      </c>
      <c r="K60" s="816">
        <f t="shared" ref="K60:X60" si="44">K57+K59</f>
        <v>10566881</v>
      </c>
      <c r="L60" s="816">
        <f t="shared" si="44"/>
        <v>10481849</v>
      </c>
      <c r="M60" s="814">
        <f t="shared" si="44"/>
        <v>481849</v>
      </c>
      <c r="N60" s="814">
        <f t="shared" si="44"/>
        <v>10000000</v>
      </c>
      <c r="O60" s="816">
        <f t="shared" si="44"/>
        <v>85032</v>
      </c>
      <c r="P60" s="816">
        <f t="shared" si="44"/>
        <v>0</v>
      </c>
      <c r="Q60" s="814">
        <f t="shared" si="44"/>
        <v>0</v>
      </c>
      <c r="R60" s="814">
        <f t="shared" si="44"/>
        <v>0</v>
      </c>
      <c r="S60" s="816">
        <f t="shared" si="44"/>
        <v>85032</v>
      </c>
      <c r="T60" s="814">
        <f t="shared" si="44"/>
        <v>85032</v>
      </c>
      <c r="U60" s="814">
        <f t="shared" si="44"/>
        <v>0</v>
      </c>
      <c r="V60" s="816">
        <f t="shared" si="44"/>
        <v>0</v>
      </c>
      <c r="W60" s="814">
        <f t="shared" si="44"/>
        <v>0</v>
      </c>
      <c r="X60" s="814">
        <f t="shared" si="44"/>
        <v>0</v>
      </c>
    </row>
    <row r="61" spans="1:24" s="412" customFormat="1" ht="15.2" hidden="1" customHeight="1">
      <c r="A61" s="863"/>
      <c r="B61" s="830"/>
      <c r="C61" s="836"/>
      <c r="D61" s="862"/>
      <c r="E61" s="819"/>
      <c r="F61" s="827"/>
      <c r="G61" s="830"/>
      <c r="H61" s="411">
        <v>0</v>
      </c>
      <c r="I61" s="411">
        <v>0</v>
      </c>
      <c r="J61" s="818"/>
      <c r="K61" s="816"/>
      <c r="L61" s="816"/>
      <c r="M61" s="814"/>
      <c r="N61" s="814"/>
      <c r="O61" s="816"/>
      <c r="P61" s="816"/>
      <c r="Q61" s="814"/>
      <c r="R61" s="814"/>
      <c r="S61" s="816"/>
      <c r="T61" s="814"/>
      <c r="U61" s="814"/>
      <c r="V61" s="816"/>
      <c r="W61" s="814"/>
      <c r="X61" s="814"/>
    </row>
    <row r="62" spans="1:24" s="412" customFormat="1" ht="15.2" hidden="1" customHeight="1">
      <c r="A62" s="863">
        <v>9</v>
      </c>
      <c r="B62" s="828" t="s">
        <v>535</v>
      </c>
      <c r="C62" s="834" t="s">
        <v>645</v>
      </c>
      <c r="D62" s="860" t="s">
        <v>646</v>
      </c>
      <c r="E62" s="819" t="s">
        <v>624</v>
      </c>
      <c r="F62" s="825" t="s">
        <v>642</v>
      </c>
      <c r="G62" s="828" t="s">
        <v>626</v>
      </c>
      <c r="H62" s="411">
        <f>H63+H64+H65+H66</f>
        <v>22825770</v>
      </c>
      <c r="I62" s="411">
        <f>I63+I64+I65+I66</f>
        <v>7433473</v>
      </c>
      <c r="J62" s="817" t="s">
        <v>5</v>
      </c>
      <c r="K62" s="816">
        <f t="shared" ref="K62" si="45">L62+O62</f>
        <v>12822235</v>
      </c>
      <c r="L62" s="816">
        <f t="shared" ref="L62" si="46">M62+N62</f>
        <v>12154585</v>
      </c>
      <c r="M62" s="814">
        <v>700770</v>
      </c>
      <c r="N62" s="814">
        <v>11453815</v>
      </c>
      <c r="O62" s="816">
        <f t="shared" ref="O62" si="47">P62+S62+V62</f>
        <v>667650</v>
      </c>
      <c r="P62" s="816">
        <f t="shared" ref="P62" si="48">Q62+R62</f>
        <v>0</v>
      </c>
      <c r="Q62" s="814">
        <v>0</v>
      </c>
      <c r="R62" s="814">
        <v>0</v>
      </c>
      <c r="S62" s="816">
        <f t="shared" ref="S62" si="49">T62+U62</f>
        <v>642412</v>
      </c>
      <c r="T62" s="814">
        <v>123665</v>
      </c>
      <c r="U62" s="814">
        <v>518747</v>
      </c>
      <c r="V62" s="816">
        <f t="shared" ref="V62" si="50">W62+X62</f>
        <v>25238</v>
      </c>
      <c r="W62" s="814">
        <v>0</v>
      </c>
      <c r="X62" s="814">
        <v>25238</v>
      </c>
    </row>
    <row r="63" spans="1:24" s="412" customFormat="1" ht="15.2" hidden="1" customHeight="1">
      <c r="A63" s="863"/>
      <c r="B63" s="829"/>
      <c r="C63" s="835"/>
      <c r="D63" s="861"/>
      <c r="E63" s="819"/>
      <c r="F63" s="826"/>
      <c r="G63" s="829"/>
      <c r="H63" s="411">
        <v>21574001</v>
      </c>
      <c r="I63" s="411">
        <v>7148583</v>
      </c>
      <c r="J63" s="818"/>
      <c r="K63" s="816"/>
      <c r="L63" s="816"/>
      <c r="M63" s="814"/>
      <c r="N63" s="814"/>
      <c r="O63" s="816"/>
      <c r="P63" s="816"/>
      <c r="Q63" s="814"/>
      <c r="R63" s="814"/>
      <c r="S63" s="816"/>
      <c r="T63" s="814"/>
      <c r="U63" s="814"/>
      <c r="V63" s="816"/>
      <c r="W63" s="814"/>
      <c r="X63" s="814"/>
    </row>
    <row r="64" spans="1:24" s="412" customFormat="1" ht="15.2" hidden="1" customHeight="1">
      <c r="A64" s="863"/>
      <c r="B64" s="829"/>
      <c r="C64" s="835"/>
      <c r="D64" s="861"/>
      <c r="E64" s="819"/>
      <c r="F64" s="826"/>
      <c r="G64" s="829"/>
      <c r="H64" s="411">
        <v>0</v>
      </c>
      <c r="I64" s="411">
        <v>0</v>
      </c>
      <c r="J64" s="411" t="s">
        <v>6</v>
      </c>
      <c r="K64" s="413">
        <f t="shared" ref="K64" si="51">L64+O64</f>
        <v>0</v>
      </c>
      <c r="L64" s="413">
        <f t="shared" ref="L64" si="52">M64+N64</f>
        <v>0</v>
      </c>
      <c r="M64" s="414">
        <v>0</v>
      </c>
      <c r="N64" s="414">
        <v>0</v>
      </c>
      <c r="O64" s="413">
        <f t="shared" ref="O64" si="53">P64+S64+V64</f>
        <v>0</v>
      </c>
      <c r="P64" s="413">
        <f t="shared" ref="P64" si="54">Q64+R64</f>
        <v>0</v>
      </c>
      <c r="Q64" s="414">
        <v>0</v>
      </c>
      <c r="R64" s="414">
        <v>0</v>
      </c>
      <c r="S64" s="413">
        <f t="shared" ref="S64" si="55">T64+U64</f>
        <v>0</v>
      </c>
      <c r="T64" s="414">
        <v>0</v>
      </c>
      <c r="U64" s="414">
        <v>0</v>
      </c>
      <c r="V64" s="413">
        <f t="shared" ref="V64" si="56">W64+X64</f>
        <v>0</v>
      </c>
      <c r="W64" s="414">
        <v>0</v>
      </c>
      <c r="X64" s="414">
        <v>0</v>
      </c>
    </row>
    <row r="65" spans="1:24" s="412" customFormat="1" ht="15.2" hidden="1" customHeight="1">
      <c r="A65" s="863"/>
      <c r="B65" s="829"/>
      <c r="C65" s="835"/>
      <c r="D65" s="861"/>
      <c r="E65" s="819"/>
      <c r="F65" s="826"/>
      <c r="G65" s="829"/>
      <c r="H65" s="411">
        <v>1178524</v>
      </c>
      <c r="I65" s="411">
        <v>274383</v>
      </c>
      <c r="J65" s="817" t="s">
        <v>7</v>
      </c>
      <c r="K65" s="816">
        <f t="shared" ref="K65:X65" si="57">K62+K64</f>
        <v>12822235</v>
      </c>
      <c r="L65" s="816">
        <f t="shared" si="57"/>
        <v>12154585</v>
      </c>
      <c r="M65" s="814">
        <f t="shared" si="57"/>
        <v>700770</v>
      </c>
      <c r="N65" s="814">
        <f t="shared" si="57"/>
        <v>11453815</v>
      </c>
      <c r="O65" s="816">
        <f t="shared" si="57"/>
        <v>667650</v>
      </c>
      <c r="P65" s="816">
        <f t="shared" si="57"/>
        <v>0</v>
      </c>
      <c r="Q65" s="814">
        <f t="shared" si="57"/>
        <v>0</v>
      </c>
      <c r="R65" s="814">
        <f t="shared" si="57"/>
        <v>0</v>
      </c>
      <c r="S65" s="816">
        <f t="shared" si="57"/>
        <v>642412</v>
      </c>
      <c r="T65" s="814">
        <f t="shared" si="57"/>
        <v>123665</v>
      </c>
      <c r="U65" s="814">
        <f t="shared" si="57"/>
        <v>518747</v>
      </c>
      <c r="V65" s="816">
        <f t="shared" si="57"/>
        <v>25238</v>
      </c>
      <c r="W65" s="814">
        <f t="shared" si="57"/>
        <v>0</v>
      </c>
      <c r="X65" s="814">
        <f t="shared" si="57"/>
        <v>25238</v>
      </c>
    </row>
    <row r="66" spans="1:24" s="412" customFormat="1" ht="15.2" hidden="1" customHeight="1">
      <c r="A66" s="863"/>
      <c r="B66" s="830"/>
      <c r="C66" s="836"/>
      <c r="D66" s="862"/>
      <c r="E66" s="819"/>
      <c r="F66" s="827"/>
      <c r="G66" s="830"/>
      <c r="H66" s="411">
        <v>73245</v>
      </c>
      <c r="I66" s="411">
        <v>10507</v>
      </c>
      <c r="J66" s="818"/>
      <c r="K66" s="816"/>
      <c r="L66" s="816"/>
      <c r="M66" s="814"/>
      <c r="N66" s="814"/>
      <c r="O66" s="816"/>
      <c r="P66" s="816"/>
      <c r="Q66" s="814"/>
      <c r="R66" s="814"/>
      <c r="S66" s="816"/>
      <c r="T66" s="814"/>
      <c r="U66" s="814"/>
      <c r="V66" s="816"/>
      <c r="W66" s="814"/>
      <c r="X66" s="814"/>
    </row>
    <row r="67" spans="1:24" s="412" customFormat="1" ht="15.2" hidden="1" customHeight="1">
      <c r="A67" s="863">
        <v>10</v>
      </c>
      <c r="B67" s="820" t="s">
        <v>647</v>
      </c>
      <c r="C67" s="822" t="s">
        <v>648</v>
      </c>
      <c r="D67" s="870" t="s">
        <v>649</v>
      </c>
      <c r="E67" s="819" t="s">
        <v>650</v>
      </c>
      <c r="F67" s="819" t="s">
        <v>651</v>
      </c>
      <c r="G67" s="820" t="s">
        <v>652</v>
      </c>
      <c r="H67" s="411">
        <f>H68+H69+H70+H71</f>
        <v>669248</v>
      </c>
      <c r="I67" s="411">
        <f>I68+I69+I70+I71</f>
        <v>31617</v>
      </c>
      <c r="J67" s="817" t="s">
        <v>5</v>
      </c>
      <c r="K67" s="816">
        <f t="shared" ref="K67" si="58">L67+O67</f>
        <v>637631</v>
      </c>
      <c r="L67" s="816">
        <f t="shared" ref="L67" si="59">M67+N67</f>
        <v>509996</v>
      </c>
      <c r="M67" s="814">
        <v>0</v>
      </c>
      <c r="N67" s="814">
        <v>509996</v>
      </c>
      <c r="O67" s="816">
        <f t="shared" ref="O67" si="60">P67+S67+V67</f>
        <v>127635</v>
      </c>
      <c r="P67" s="816">
        <f t="shared" ref="P67" si="61">Q67+R67</f>
        <v>0</v>
      </c>
      <c r="Q67" s="814">
        <v>0</v>
      </c>
      <c r="R67" s="814">
        <v>0</v>
      </c>
      <c r="S67" s="816">
        <f t="shared" ref="S67" si="62">T67+U67</f>
        <v>127635</v>
      </c>
      <c r="T67" s="814">
        <v>0</v>
      </c>
      <c r="U67" s="814">
        <v>127635</v>
      </c>
      <c r="V67" s="816">
        <f t="shared" ref="V67" si="63">W67+X67</f>
        <v>0</v>
      </c>
      <c r="W67" s="814">
        <v>0</v>
      </c>
      <c r="X67" s="814">
        <v>0</v>
      </c>
    </row>
    <row r="68" spans="1:24" s="412" customFormat="1" ht="15.2" hidden="1" customHeight="1">
      <c r="A68" s="863"/>
      <c r="B68" s="820"/>
      <c r="C68" s="822"/>
      <c r="D68" s="870"/>
      <c r="E68" s="819"/>
      <c r="F68" s="819"/>
      <c r="G68" s="820"/>
      <c r="H68" s="411">
        <v>534806</v>
      </c>
      <c r="I68" s="411">
        <v>24810</v>
      </c>
      <c r="J68" s="818"/>
      <c r="K68" s="816"/>
      <c r="L68" s="816"/>
      <c r="M68" s="814"/>
      <c r="N68" s="814"/>
      <c r="O68" s="816"/>
      <c r="P68" s="816"/>
      <c r="Q68" s="814"/>
      <c r="R68" s="814"/>
      <c r="S68" s="816"/>
      <c r="T68" s="814"/>
      <c r="U68" s="814"/>
      <c r="V68" s="816"/>
      <c r="W68" s="814"/>
      <c r="X68" s="814"/>
    </row>
    <row r="69" spans="1:24" s="412" customFormat="1" ht="15.2" hidden="1" customHeight="1">
      <c r="A69" s="863"/>
      <c r="B69" s="820"/>
      <c r="C69" s="822"/>
      <c r="D69" s="870"/>
      <c r="E69" s="819"/>
      <c r="F69" s="819"/>
      <c r="G69" s="820"/>
      <c r="H69" s="411">
        <v>0</v>
      </c>
      <c r="I69" s="411">
        <v>0</v>
      </c>
      <c r="J69" s="411" t="s">
        <v>6</v>
      </c>
      <c r="K69" s="413">
        <f t="shared" ref="K69" si="64">L69+O69</f>
        <v>0</v>
      </c>
      <c r="L69" s="413">
        <f t="shared" ref="L69" si="65">M69+N69</f>
        <v>0</v>
      </c>
      <c r="M69" s="414">
        <v>0</v>
      </c>
      <c r="N69" s="414">
        <v>0</v>
      </c>
      <c r="O69" s="413">
        <f t="shared" ref="O69" si="66">P69+S69+V69</f>
        <v>0</v>
      </c>
      <c r="P69" s="413">
        <f t="shared" ref="P69" si="67">Q69+R69</f>
        <v>0</v>
      </c>
      <c r="Q69" s="414">
        <v>0</v>
      </c>
      <c r="R69" s="414">
        <v>0</v>
      </c>
      <c r="S69" s="413">
        <f t="shared" ref="S69" si="68">T69+U69</f>
        <v>0</v>
      </c>
      <c r="T69" s="414">
        <v>0</v>
      </c>
      <c r="U69" s="414">
        <v>0</v>
      </c>
      <c r="V69" s="413">
        <f t="shared" ref="V69" si="69">W69+X69</f>
        <v>0</v>
      </c>
      <c r="W69" s="414">
        <v>0</v>
      </c>
      <c r="X69" s="414">
        <v>0</v>
      </c>
    </row>
    <row r="70" spans="1:24" s="412" customFormat="1" ht="15.2" hidden="1" customHeight="1">
      <c r="A70" s="863"/>
      <c r="B70" s="820"/>
      <c r="C70" s="822"/>
      <c r="D70" s="870"/>
      <c r="E70" s="819"/>
      <c r="F70" s="819"/>
      <c r="G70" s="820"/>
      <c r="H70" s="411">
        <v>134442</v>
      </c>
      <c r="I70" s="411">
        <v>6807</v>
      </c>
      <c r="J70" s="817" t="s">
        <v>7</v>
      </c>
      <c r="K70" s="816">
        <f t="shared" ref="K70:X70" si="70">K67+K69</f>
        <v>637631</v>
      </c>
      <c r="L70" s="816">
        <f t="shared" si="70"/>
        <v>509996</v>
      </c>
      <c r="M70" s="814">
        <f t="shared" si="70"/>
        <v>0</v>
      </c>
      <c r="N70" s="814">
        <f t="shared" si="70"/>
        <v>509996</v>
      </c>
      <c r="O70" s="816">
        <f t="shared" si="70"/>
        <v>127635</v>
      </c>
      <c r="P70" s="816">
        <f t="shared" si="70"/>
        <v>0</v>
      </c>
      <c r="Q70" s="814">
        <f t="shared" si="70"/>
        <v>0</v>
      </c>
      <c r="R70" s="814">
        <f t="shared" si="70"/>
        <v>0</v>
      </c>
      <c r="S70" s="816">
        <f t="shared" si="70"/>
        <v>127635</v>
      </c>
      <c r="T70" s="814">
        <f t="shared" si="70"/>
        <v>0</v>
      </c>
      <c r="U70" s="814">
        <f t="shared" si="70"/>
        <v>127635</v>
      </c>
      <c r="V70" s="816">
        <f t="shared" si="70"/>
        <v>0</v>
      </c>
      <c r="W70" s="814">
        <f t="shared" si="70"/>
        <v>0</v>
      </c>
      <c r="X70" s="814">
        <f t="shared" si="70"/>
        <v>0</v>
      </c>
    </row>
    <row r="71" spans="1:24" s="412" customFormat="1" ht="15.2" hidden="1" customHeight="1">
      <c r="A71" s="863"/>
      <c r="B71" s="820"/>
      <c r="C71" s="822"/>
      <c r="D71" s="870"/>
      <c r="E71" s="819"/>
      <c r="F71" s="819"/>
      <c r="G71" s="820"/>
      <c r="H71" s="411">
        <v>0</v>
      </c>
      <c r="I71" s="411">
        <v>0</v>
      </c>
      <c r="J71" s="818"/>
      <c r="K71" s="816"/>
      <c r="L71" s="816"/>
      <c r="M71" s="814"/>
      <c r="N71" s="814"/>
      <c r="O71" s="816"/>
      <c r="P71" s="816"/>
      <c r="Q71" s="814"/>
      <c r="R71" s="814"/>
      <c r="S71" s="816"/>
      <c r="T71" s="814"/>
      <c r="U71" s="814"/>
      <c r="V71" s="816"/>
      <c r="W71" s="814"/>
      <c r="X71" s="814"/>
    </row>
    <row r="72" spans="1:24" s="412" customFormat="1" ht="16.5" hidden="1" customHeight="1">
      <c r="A72" s="863">
        <v>11</v>
      </c>
      <c r="B72" s="820" t="s">
        <v>653</v>
      </c>
      <c r="C72" s="822" t="s">
        <v>654</v>
      </c>
      <c r="D72" s="870" t="s">
        <v>655</v>
      </c>
      <c r="E72" s="819" t="s">
        <v>656</v>
      </c>
      <c r="F72" s="819" t="s">
        <v>657</v>
      </c>
      <c r="G72" s="820" t="s">
        <v>658</v>
      </c>
      <c r="H72" s="411">
        <f>H73+H74+H75+H76</f>
        <v>3687356</v>
      </c>
      <c r="I72" s="411">
        <f>I73+I74+I75+I76</f>
        <v>1170705</v>
      </c>
      <c r="J72" s="817" t="s">
        <v>5</v>
      </c>
      <c r="K72" s="816">
        <f t="shared" ref="K72" si="71">L72+O72</f>
        <v>2516651</v>
      </c>
      <c r="L72" s="816">
        <f t="shared" ref="L72" si="72">M72+N72</f>
        <v>1605222</v>
      </c>
      <c r="M72" s="814">
        <v>0</v>
      </c>
      <c r="N72" s="814">
        <v>1605222</v>
      </c>
      <c r="O72" s="816">
        <f t="shared" ref="O72" si="73">P72+S72+V72</f>
        <v>911429</v>
      </c>
      <c r="P72" s="816">
        <f t="shared" ref="P72" si="74">Q72+R72</f>
        <v>0</v>
      </c>
      <c r="Q72" s="814">
        <v>0</v>
      </c>
      <c r="R72" s="814">
        <v>0</v>
      </c>
      <c r="S72" s="816">
        <f t="shared" ref="S72" si="75">T72+U72</f>
        <v>628155</v>
      </c>
      <c r="T72" s="814">
        <v>0</v>
      </c>
      <c r="U72" s="814">
        <v>628155</v>
      </c>
      <c r="V72" s="816">
        <f t="shared" ref="V72" si="76">W72+X72</f>
        <v>283274</v>
      </c>
      <c r="W72" s="814">
        <v>0</v>
      </c>
      <c r="X72" s="814">
        <v>283274</v>
      </c>
    </row>
    <row r="73" spans="1:24" s="412" customFormat="1" ht="16.5" hidden="1" customHeight="1">
      <c r="A73" s="863"/>
      <c r="B73" s="820"/>
      <c r="C73" s="822"/>
      <c r="D73" s="870"/>
      <c r="E73" s="819"/>
      <c r="F73" s="819"/>
      <c r="G73" s="820"/>
      <c r="H73" s="411">
        <v>2371939</v>
      </c>
      <c r="I73" s="411">
        <v>766717</v>
      </c>
      <c r="J73" s="818"/>
      <c r="K73" s="816"/>
      <c r="L73" s="816"/>
      <c r="M73" s="814"/>
      <c r="N73" s="814"/>
      <c r="O73" s="816"/>
      <c r="P73" s="816"/>
      <c r="Q73" s="814"/>
      <c r="R73" s="814"/>
      <c r="S73" s="816"/>
      <c r="T73" s="814"/>
      <c r="U73" s="814"/>
      <c r="V73" s="816"/>
      <c r="W73" s="814"/>
      <c r="X73" s="814"/>
    </row>
    <row r="74" spans="1:24" s="412" customFormat="1" ht="16.5" hidden="1" customHeight="1">
      <c r="A74" s="863"/>
      <c r="B74" s="820"/>
      <c r="C74" s="822"/>
      <c r="D74" s="870"/>
      <c r="E74" s="819"/>
      <c r="F74" s="819"/>
      <c r="G74" s="820"/>
      <c r="H74" s="411">
        <v>0</v>
      </c>
      <c r="I74" s="411">
        <v>0</v>
      </c>
      <c r="J74" s="411" t="s">
        <v>6</v>
      </c>
      <c r="K74" s="413">
        <f t="shared" ref="K74" si="77">L74+O74</f>
        <v>0</v>
      </c>
      <c r="L74" s="413">
        <f t="shared" ref="L74" si="78">M74+N74</f>
        <v>0</v>
      </c>
      <c r="M74" s="414">
        <v>0</v>
      </c>
      <c r="N74" s="414">
        <v>0</v>
      </c>
      <c r="O74" s="413">
        <f t="shared" ref="O74" si="79">P74+S74+V74</f>
        <v>0</v>
      </c>
      <c r="P74" s="413">
        <f t="shared" ref="P74" si="80">Q74+R74</f>
        <v>0</v>
      </c>
      <c r="Q74" s="414">
        <v>0</v>
      </c>
      <c r="R74" s="414">
        <v>0</v>
      </c>
      <c r="S74" s="413">
        <f t="shared" ref="S74" si="81">T74+U74</f>
        <v>0</v>
      </c>
      <c r="T74" s="414">
        <v>0</v>
      </c>
      <c r="U74" s="414">
        <v>0</v>
      </c>
      <c r="V74" s="413">
        <f t="shared" ref="V74" si="82">W74+X74</f>
        <v>0</v>
      </c>
      <c r="W74" s="414">
        <v>0</v>
      </c>
      <c r="X74" s="414">
        <v>0</v>
      </c>
    </row>
    <row r="75" spans="1:24" s="412" customFormat="1" ht="16.5" hidden="1" customHeight="1">
      <c r="A75" s="863"/>
      <c r="B75" s="820"/>
      <c r="C75" s="822"/>
      <c r="D75" s="870"/>
      <c r="E75" s="819"/>
      <c r="F75" s="819"/>
      <c r="G75" s="820"/>
      <c r="H75" s="411">
        <v>762313</v>
      </c>
      <c r="I75" s="411">
        <v>134158</v>
      </c>
      <c r="J75" s="817" t="s">
        <v>7</v>
      </c>
      <c r="K75" s="816">
        <f t="shared" ref="K75:X75" si="83">K72+K74</f>
        <v>2516651</v>
      </c>
      <c r="L75" s="816">
        <f t="shared" si="83"/>
        <v>1605222</v>
      </c>
      <c r="M75" s="814">
        <f t="shared" si="83"/>
        <v>0</v>
      </c>
      <c r="N75" s="814">
        <f t="shared" si="83"/>
        <v>1605222</v>
      </c>
      <c r="O75" s="816">
        <f t="shared" si="83"/>
        <v>911429</v>
      </c>
      <c r="P75" s="816">
        <f t="shared" si="83"/>
        <v>0</v>
      </c>
      <c r="Q75" s="814">
        <f t="shared" si="83"/>
        <v>0</v>
      </c>
      <c r="R75" s="814">
        <f t="shared" si="83"/>
        <v>0</v>
      </c>
      <c r="S75" s="816">
        <f t="shared" si="83"/>
        <v>628155</v>
      </c>
      <c r="T75" s="814">
        <f t="shared" si="83"/>
        <v>0</v>
      </c>
      <c r="U75" s="814">
        <f t="shared" si="83"/>
        <v>628155</v>
      </c>
      <c r="V75" s="816">
        <f t="shared" si="83"/>
        <v>283274</v>
      </c>
      <c r="W75" s="814">
        <f t="shared" si="83"/>
        <v>0</v>
      </c>
      <c r="X75" s="814">
        <f t="shared" si="83"/>
        <v>283274</v>
      </c>
    </row>
    <row r="76" spans="1:24" s="412" customFormat="1" ht="16.5" hidden="1" customHeight="1">
      <c r="A76" s="863"/>
      <c r="B76" s="820"/>
      <c r="C76" s="822"/>
      <c r="D76" s="870"/>
      <c r="E76" s="819"/>
      <c r="F76" s="819"/>
      <c r="G76" s="820"/>
      <c r="H76" s="411">
        <v>553104</v>
      </c>
      <c r="I76" s="411">
        <v>269830</v>
      </c>
      <c r="J76" s="818"/>
      <c r="K76" s="816"/>
      <c r="L76" s="816"/>
      <c r="M76" s="814"/>
      <c r="N76" s="814"/>
      <c r="O76" s="816"/>
      <c r="P76" s="816"/>
      <c r="Q76" s="814"/>
      <c r="R76" s="814"/>
      <c r="S76" s="816"/>
      <c r="T76" s="814"/>
      <c r="U76" s="814"/>
      <c r="V76" s="816"/>
      <c r="W76" s="814"/>
      <c r="X76" s="814"/>
    </row>
    <row r="77" spans="1:24" s="412" customFormat="1" ht="15.75" hidden="1" customHeight="1">
      <c r="A77" s="863">
        <v>10</v>
      </c>
      <c r="B77" s="834" t="s">
        <v>653</v>
      </c>
      <c r="C77" s="834" t="s">
        <v>654</v>
      </c>
      <c r="D77" s="860" t="s">
        <v>659</v>
      </c>
      <c r="E77" s="819" t="s">
        <v>624</v>
      </c>
      <c r="F77" s="825" t="s">
        <v>660</v>
      </c>
      <c r="G77" s="828" t="s">
        <v>652</v>
      </c>
      <c r="H77" s="411">
        <f>H78+H79+H80+H81</f>
        <v>1494024</v>
      </c>
      <c r="I77" s="411">
        <f>I78+I79+I80+I81</f>
        <v>0</v>
      </c>
      <c r="J77" s="817" t="s">
        <v>5</v>
      </c>
      <c r="K77" s="816">
        <f t="shared" ref="K77" si="84">L77+O77</f>
        <v>1494024</v>
      </c>
      <c r="L77" s="816">
        <f t="shared" ref="L77" si="85">M77+N77</f>
        <v>795358</v>
      </c>
      <c r="M77" s="814">
        <v>8347</v>
      </c>
      <c r="N77" s="814">
        <v>787011</v>
      </c>
      <c r="O77" s="816">
        <f t="shared" ref="O77" si="86">P77+S77+V77</f>
        <v>698666</v>
      </c>
      <c r="P77" s="816">
        <f t="shared" ref="P77" si="87">Q77+R77</f>
        <v>0</v>
      </c>
      <c r="Q77" s="814">
        <v>0</v>
      </c>
      <c r="R77" s="814">
        <v>0</v>
      </c>
      <c r="S77" s="816">
        <f t="shared" ref="S77" si="88">T77+U77</f>
        <v>698666</v>
      </c>
      <c r="T77" s="814">
        <v>4768</v>
      </c>
      <c r="U77" s="814">
        <v>693898</v>
      </c>
      <c r="V77" s="816">
        <f t="shared" ref="V77" si="89">W77+X77</f>
        <v>0</v>
      </c>
      <c r="W77" s="814">
        <v>0</v>
      </c>
      <c r="X77" s="814">
        <v>0</v>
      </c>
    </row>
    <row r="78" spans="1:24" s="412" customFormat="1" ht="15.75" hidden="1" customHeight="1">
      <c r="A78" s="863"/>
      <c r="B78" s="835"/>
      <c r="C78" s="835"/>
      <c r="D78" s="861"/>
      <c r="E78" s="819"/>
      <c r="F78" s="826"/>
      <c r="G78" s="829"/>
      <c r="H78" s="411">
        <v>795358</v>
      </c>
      <c r="I78" s="411">
        <v>0</v>
      </c>
      <c r="J78" s="818"/>
      <c r="K78" s="816"/>
      <c r="L78" s="816"/>
      <c r="M78" s="814"/>
      <c r="N78" s="814"/>
      <c r="O78" s="816"/>
      <c r="P78" s="816"/>
      <c r="Q78" s="814"/>
      <c r="R78" s="814"/>
      <c r="S78" s="816"/>
      <c r="T78" s="814"/>
      <c r="U78" s="814"/>
      <c r="V78" s="816"/>
      <c r="W78" s="814"/>
      <c r="X78" s="814"/>
    </row>
    <row r="79" spans="1:24" s="412" customFormat="1" ht="15.75" hidden="1" customHeight="1">
      <c r="A79" s="863"/>
      <c r="B79" s="835"/>
      <c r="C79" s="835"/>
      <c r="D79" s="861"/>
      <c r="E79" s="819"/>
      <c r="F79" s="826"/>
      <c r="G79" s="829"/>
      <c r="H79" s="411">
        <v>0</v>
      </c>
      <c r="I79" s="411">
        <v>0</v>
      </c>
      <c r="J79" s="411" t="s">
        <v>6</v>
      </c>
      <c r="K79" s="413">
        <f t="shared" ref="K79" si="90">L79+O79</f>
        <v>0</v>
      </c>
      <c r="L79" s="413">
        <f t="shared" ref="L79" si="91">M79+N79</f>
        <v>0</v>
      </c>
      <c r="M79" s="414">
        <v>0</v>
      </c>
      <c r="N79" s="414">
        <v>0</v>
      </c>
      <c r="O79" s="413">
        <f t="shared" ref="O79" si="92">P79+S79+V79</f>
        <v>0</v>
      </c>
      <c r="P79" s="413">
        <f t="shared" ref="P79" si="93">Q79+R79</f>
        <v>0</v>
      </c>
      <c r="Q79" s="414">
        <v>0</v>
      </c>
      <c r="R79" s="414">
        <v>0</v>
      </c>
      <c r="S79" s="413">
        <f t="shared" ref="S79" si="94">T79+U79</f>
        <v>0</v>
      </c>
      <c r="T79" s="414">
        <v>0</v>
      </c>
      <c r="U79" s="414">
        <v>0</v>
      </c>
      <c r="V79" s="413">
        <f t="shared" ref="V79" si="95">W79+X79</f>
        <v>0</v>
      </c>
      <c r="W79" s="414">
        <v>0</v>
      </c>
      <c r="X79" s="414">
        <v>0</v>
      </c>
    </row>
    <row r="80" spans="1:24" s="412" customFormat="1" ht="15.75" hidden="1" customHeight="1">
      <c r="A80" s="863"/>
      <c r="B80" s="835"/>
      <c r="C80" s="835"/>
      <c r="D80" s="861"/>
      <c r="E80" s="819"/>
      <c r="F80" s="826"/>
      <c r="G80" s="829"/>
      <c r="H80" s="411">
        <v>698666</v>
      </c>
      <c r="I80" s="411">
        <v>0</v>
      </c>
      <c r="J80" s="817" t="s">
        <v>7</v>
      </c>
      <c r="K80" s="816">
        <f t="shared" ref="K80:X80" si="96">K77+K79</f>
        <v>1494024</v>
      </c>
      <c r="L80" s="816">
        <f t="shared" si="96"/>
        <v>795358</v>
      </c>
      <c r="M80" s="814">
        <f t="shared" si="96"/>
        <v>8347</v>
      </c>
      <c r="N80" s="814">
        <f t="shared" si="96"/>
        <v>787011</v>
      </c>
      <c r="O80" s="816">
        <f t="shared" si="96"/>
        <v>698666</v>
      </c>
      <c r="P80" s="816">
        <f t="shared" si="96"/>
        <v>0</v>
      </c>
      <c r="Q80" s="814">
        <f t="shared" si="96"/>
        <v>0</v>
      </c>
      <c r="R80" s="814">
        <f t="shared" si="96"/>
        <v>0</v>
      </c>
      <c r="S80" s="816">
        <f t="shared" si="96"/>
        <v>698666</v>
      </c>
      <c r="T80" s="814">
        <f t="shared" si="96"/>
        <v>4768</v>
      </c>
      <c r="U80" s="814">
        <f t="shared" si="96"/>
        <v>693898</v>
      </c>
      <c r="V80" s="816">
        <f t="shared" si="96"/>
        <v>0</v>
      </c>
      <c r="W80" s="814">
        <f t="shared" si="96"/>
        <v>0</v>
      </c>
      <c r="X80" s="814">
        <f t="shared" si="96"/>
        <v>0</v>
      </c>
    </row>
    <row r="81" spans="1:24" s="412" customFormat="1" ht="15.75" hidden="1" customHeight="1">
      <c r="A81" s="863"/>
      <c r="B81" s="836"/>
      <c r="C81" s="836"/>
      <c r="D81" s="862"/>
      <c r="E81" s="819"/>
      <c r="F81" s="827"/>
      <c r="G81" s="830"/>
      <c r="H81" s="411">
        <v>0</v>
      </c>
      <c r="I81" s="411">
        <v>0</v>
      </c>
      <c r="J81" s="818"/>
      <c r="K81" s="816"/>
      <c r="L81" s="816"/>
      <c r="M81" s="814"/>
      <c r="N81" s="814"/>
      <c r="O81" s="816"/>
      <c r="P81" s="816"/>
      <c r="Q81" s="814"/>
      <c r="R81" s="814"/>
      <c r="S81" s="816"/>
      <c r="T81" s="814"/>
      <c r="U81" s="814"/>
      <c r="V81" s="816"/>
      <c r="W81" s="814"/>
      <c r="X81" s="814"/>
    </row>
    <row r="82" spans="1:24" s="412" customFormat="1" ht="15.75" customHeight="1">
      <c r="A82" s="859">
        <v>2</v>
      </c>
      <c r="B82" s="834" t="s">
        <v>653</v>
      </c>
      <c r="C82" s="834" t="s">
        <v>654</v>
      </c>
      <c r="D82" s="860" t="s">
        <v>661</v>
      </c>
      <c r="E82" s="819" t="s">
        <v>656</v>
      </c>
      <c r="F82" s="825" t="s">
        <v>660</v>
      </c>
      <c r="G82" s="828" t="s">
        <v>662</v>
      </c>
      <c r="H82" s="411">
        <f>H83+H84+H85+H86</f>
        <v>10061978</v>
      </c>
      <c r="I82" s="411">
        <f>I83+I84+I85+I86</f>
        <v>432696</v>
      </c>
      <c r="J82" s="817" t="s">
        <v>5</v>
      </c>
      <c r="K82" s="816">
        <f t="shared" ref="K82" si="97">L82+O82</f>
        <v>8666654</v>
      </c>
      <c r="L82" s="816">
        <f t="shared" ref="L82" si="98">M82+N82</f>
        <v>6010969</v>
      </c>
      <c r="M82" s="814">
        <v>56251</v>
      </c>
      <c r="N82" s="814">
        <v>5954718</v>
      </c>
      <c r="O82" s="816">
        <f t="shared" ref="O82" si="99">P82+S82+V82</f>
        <v>2655685</v>
      </c>
      <c r="P82" s="816">
        <f t="shared" ref="P82" si="100">Q82+R82</f>
        <v>0</v>
      </c>
      <c r="Q82" s="814">
        <v>0</v>
      </c>
      <c r="R82" s="814">
        <v>0</v>
      </c>
      <c r="S82" s="816">
        <f t="shared" ref="S82" si="101">T82+U82</f>
        <v>1037537</v>
      </c>
      <c r="T82" s="814">
        <v>21875</v>
      </c>
      <c r="U82" s="814">
        <v>1015662</v>
      </c>
      <c r="V82" s="816">
        <f t="shared" ref="V82" si="102">W82+X82</f>
        <v>1618148</v>
      </c>
      <c r="W82" s="814">
        <v>0</v>
      </c>
      <c r="X82" s="814">
        <v>1618148</v>
      </c>
    </row>
    <row r="83" spans="1:24" s="412" customFormat="1" ht="15.75" customHeight="1">
      <c r="A83" s="859"/>
      <c r="B83" s="835"/>
      <c r="C83" s="835"/>
      <c r="D83" s="861"/>
      <c r="E83" s="819"/>
      <c r="F83" s="826"/>
      <c r="G83" s="829"/>
      <c r="H83" s="411">
        <v>6840891</v>
      </c>
      <c r="I83" s="411">
        <v>104429</v>
      </c>
      <c r="J83" s="818"/>
      <c r="K83" s="816"/>
      <c r="L83" s="816"/>
      <c r="M83" s="814"/>
      <c r="N83" s="814"/>
      <c r="O83" s="816"/>
      <c r="P83" s="816"/>
      <c r="Q83" s="814"/>
      <c r="R83" s="814"/>
      <c r="S83" s="816"/>
      <c r="T83" s="814"/>
      <c r="U83" s="814"/>
      <c r="V83" s="816"/>
      <c r="W83" s="814"/>
      <c r="X83" s="814"/>
    </row>
    <row r="84" spans="1:24" s="412" customFormat="1" ht="15.75" customHeight="1">
      <c r="A84" s="859"/>
      <c r="B84" s="835"/>
      <c r="C84" s="835"/>
      <c r="D84" s="861"/>
      <c r="E84" s="819"/>
      <c r="F84" s="826"/>
      <c r="G84" s="829"/>
      <c r="H84" s="411">
        <v>0</v>
      </c>
      <c r="I84" s="411">
        <v>0</v>
      </c>
      <c r="J84" s="411" t="s">
        <v>6</v>
      </c>
      <c r="K84" s="413">
        <f t="shared" ref="K84" si="103">L84+O84</f>
        <v>927226</v>
      </c>
      <c r="L84" s="413">
        <f t="shared" ref="L84" si="104">M84+N84</f>
        <v>700003</v>
      </c>
      <c r="M84" s="414">
        <v>-12929</v>
      </c>
      <c r="N84" s="414">
        <v>712932</v>
      </c>
      <c r="O84" s="413">
        <f t="shared" ref="O84" si="105">P84+S84+V84</f>
        <v>227223</v>
      </c>
      <c r="P84" s="413">
        <f t="shared" ref="P84" si="106">Q84+R84</f>
        <v>0</v>
      </c>
      <c r="Q84" s="414">
        <v>0</v>
      </c>
      <c r="R84" s="414">
        <v>0</v>
      </c>
      <c r="S84" s="413">
        <f t="shared" ref="S84" si="107">T84+U84</f>
        <v>-5027</v>
      </c>
      <c r="T84" s="414">
        <v>-5027</v>
      </c>
      <c r="U84" s="414">
        <v>0</v>
      </c>
      <c r="V84" s="413">
        <f t="shared" ref="V84" si="108">W84+X84</f>
        <v>232250</v>
      </c>
      <c r="W84" s="414">
        <v>0</v>
      </c>
      <c r="X84" s="414">
        <v>232250</v>
      </c>
    </row>
    <row r="85" spans="1:24" s="412" customFormat="1" ht="15.75" customHeight="1">
      <c r="A85" s="859"/>
      <c r="B85" s="835"/>
      <c r="C85" s="835"/>
      <c r="D85" s="861"/>
      <c r="E85" s="819"/>
      <c r="F85" s="826"/>
      <c r="G85" s="829"/>
      <c r="H85" s="411">
        <v>1261833</v>
      </c>
      <c r="I85" s="411">
        <v>219411</v>
      </c>
      <c r="J85" s="817" t="s">
        <v>7</v>
      </c>
      <c r="K85" s="816">
        <f t="shared" ref="K85:X85" si="109">K82+K84</f>
        <v>9593880</v>
      </c>
      <c r="L85" s="816">
        <f t="shared" si="109"/>
        <v>6710972</v>
      </c>
      <c r="M85" s="814">
        <f t="shared" si="109"/>
        <v>43322</v>
      </c>
      <c r="N85" s="814">
        <f t="shared" si="109"/>
        <v>6667650</v>
      </c>
      <c r="O85" s="816">
        <f t="shared" si="109"/>
        <v>2882908</v>
      </c>
      <c r="P85" s="816">
        <f t="shared" si="109"/>
        <v>0</v>
      </c>
      <c r="Q85" s="814">
        <f t="shared" si="109"/>
        <v>0</v>
      </c>
      <c r="R85" s="814">
        <f t="shared" si="109"/>
        <v>0</v>
      </c>
      <c r="S85" s="816">
        <f t="shared" si="109"/>
        <v>1032510</v>
      </c>
      <c r="T85" s="814">
        <f t="shared" si="109"/>
        <v>16848</v>
      </c>
      <c r="U85" s="814">
        <f t="shared" si="109"/>
        <v>1015662</v>
      </c>
      <c r="V85" s="816">
        <f t="shared" si="109"/>
        <v>1850398</v>
      </c>
      <c r="W85" s="814">
        <f t="shared" si="109"/>
        <v>0</v>
      </c>
      <c r="X85" s="814">
        <f t="shared" si="109"/>
        <v>1850398</v>
      </c>
    </row>
    <row r="86" spans="1:24" s="412" customFormat="1" ht="15.75" customHeight="1">
      <c r="A86" s="859"/>
      <c r="B86" s="836"/>
      <c r="C86" s="836"/>
      <c r="D86" s="862"/>
      <c r="E86" s="819"/>
      <c r="F86" s="827"/>
      <c r="G86" s="830"/>
      <c r="H86" s="411">
        <v>1959254</v>
      </c>
      <c r="I86" s="411">
        <v>108856</v>
      </c>
      <c r="J86" s="818"/>
      <c r="K86" s="816"/>
      <c r="L86" s="816"/>
      <c r="M86" s="814"/>
      <c r="N86" s="814"/>
      <c r="O86" s="816"/>
      <c r="P86" s="816"/>
      <c r="Q86" s="814"/>
      <c r="R86" s="814"/>
      <c r="S86" s="816"/>
      <c r="T86" s="814"/>
      <c r="U86" s="814"/>
      <c r="V86" s="816"/>
      <c r="W86" s="814"/>
      <c r="X86" s="814"/>
    </row>
    <row r="87" spans="1:24" s="412" customFormat="1" ht="15.75" customHeight="1">
      <c r="A87" s="859">
        <v>3</v>
      </c>
      <c r="B87" s="834" t="s">
        <v>653</v>
      </c>
      <c r="C87" s="834" t="s">
        <v>654</v>
      </c>
      <c r="D87" s="860" t="s">
        <v>663</v>
      </c>
      <c r="E87" s="819" t="s">
        <v>656</v>
      </c>
      <c r="F87" s="825" t="s">
        <v>660</v>
      </c>
      <c r="G87" s="828" t="s">
        <v>662</v>
      </c>
      <c r="H87" s="411">
        <f>H88+H89+H90+H91</f>
        <v>11300136</v>
      </c>
      <c r="I87" s="411">
        <f>I88+I89+I90+I91</f>
        <v>709425</v>
      </c>
      <c r="J87" s="817" t="s">
        <v>5</v>
      </c>
      <c r="K87" s="816">
        <f t="shared" ref="K87" si="110">L87+O87</f>
        <v>9272313</v>
      </c>
      <c r="L87" s="816">
        <f t="shared" ref="L87" si="111">M87+N87</f>
        <v>6351453</v>
      </c>
      <c r="M87" s="814">
        <v>42126</v>
      </c>
      <c r="N87" s="814">
        <v>6309327</v>
      </c>
      <c r="O87" s="816">
        <f t="shared" ref="O87" si="112">P87+S87+V87</f>
        <v>2920860</v>
      </c>
      <c r="P87" s="816">
        <f t="shared" ref="P87" si="113">Q87+R87</f>
        <v>0</v>
      </c>
      <c r="Q87" s="814">
        <v>0</v>
      </c>
      <c r="R87" s="814">
        <v>0</v>
      </c>
      <c r="S87" s="816">
        <f t="shared" ref="S87" si="114">T87+U87</f>
        <v>1434255</v>
      </c>
      <c r="T87" s="814">
        <v>16383</v>
      </c>
      <c r="U87" s="814">
        <v>1417872</v>
      </c>
      <c r="V87" s="816">
        <f t="shared" ref="V87" si="115">W87+X87</f>
        <v>1486605</v>
      </c>
      <c r="W87" s="814">
        <v>0</v>
      </c>
      <c r="X87" s="814">
        <v>1486605</v>
      </c>
    </row>
    <row r="88" spans="1:24" s="412" customFormat="1" ht="15.75" customHeight="1">
      <c r="A88" s="859"/>
      <c r="B88" s="835"/>
      <c r="C88" s="835"/>
      <c r="D88" s="861"/>
      <c r="E88" s="819"/>
      <c r="F88" s="826"/>
      <c r="G88" s="829"/>
      <c r="H88" s="411">
        <v>6607490</v>
      </c>
      <c r="I88" s="411">
        <v>231299</v>
      </c>
      <c r="J88" s="818"/>
      <c r="K88" s="816"/>
      <c r="L88" s="816"/>
      <c r="M88" s="814"/>
      <c r="N88" s="814"/>
      <c r="O88" s="816"/>
      <c r="P88" s="816"/>
      <c r="Q88" s="814"/>
      <c r="R88" s="814"/>
      <c r="S88" s="816"/>
      <c r="T88" s="814"/>
      <c r="U88" s="814"/>
      <c r="V88" s="816"/>
      <c r="W88" s="814"/>
      <c r="X88" s="814"/>
    </row>
    <row r="89" spans="1:24" s="412" customFormat="1" ht="15.75" customHeight="1">
      <c r="A89" s="859"/>
      <c r="B89" s="835"/>
      <c r="C89" s="835"/>
      <c r="D89" s="861"/>
      <c r="E89" s="819"/>
      <c r="F89" s="826"/>
      <c r="G89" s="829"/>
      <c r="H89" s="411">
        <v>0</v>
      </c>
      <c r="I89" s="411">
        <v>0</v>
      </c>
      <c r="J89" s="411" t="s">
        <v>6</v>
      </c>
      <c r="K89" s="413">
        <f t="shared" ref="K89" si="116">L89+O89</f>
        <v>1284040</v>
      </c>
      <c r="L89" s="413">
        <f t="shared" ref="L89" si="117">M89+N89</f>
        <v>0</v>
      </c>
      <c r="M89" s="414">
        <v>0</v>
      </c>
      <c r="N89" s="414">
        <v>0</v>
      </c>
      <c r="O89" s="413">
        <f t="shared" ref="O89" si="118">P89+S89+V89</f>
        <v>1284040</v>
      </c>
      <c r="P89" s="413">
        <f t="shared" ref="P89" si="119">Q89+R89</f>
        <v>0</v>
      </c>
      <c r="Q89" s="414">
        <v>0</v>
      </c>
      <c r="R89" s="414">
        <v>0</v>
      </c>
      <c r="S89" s="413">
        <f t="shared" ref="S89" si="120">T89+U89</f>
        <v>0</v>
      </c>
      <c r="T89" s="414">
        <v>0</v>
      </c>
      <c r="U89" s="414">
        <v>0</v>
      </c>
      <c r="V89" s="413">
        <f t="shared" ref="V89" si="121">W89+X89</f>
        <v>1284040</v>
      </c>
      <c r="W89" s="414">
        <v>0</v>
      </c>
      <c r="X89" s="414">
        <v>1284040</v>
      </c>
    </row>
    <row r="90" spans="1:24" s="412" customFormat="1" ht="15.75" customHeight="1">
      <c r="A90" s="859"/>
      <c r="B90" s="835"/>
      <c r="C90" s="835"/>
      <c r="D90" s="861"/>
      <c r="E90" s="819"/>
      <c r="F90" s="826"/>
      <c r="G90" s="829"/>
      <c r="H90" s="411">
        <v>1723443</v>
      </c>
      <c r="I90" s="411">
        <v>279568</v>
      </c>
      <c r="J90" s="817" t="s">
        <v>7</v>
      </c>
      <c r="K90" s="816">
        <f t="shared" ref="K90:X90" si="122">K87+K89</f>
        <v>10556353</v>
      </c>
      <c r="L90" s="816">
        <f t="shared" si="122"/>
        <v>6351453</v>
      </c>
      <c r="M90" s="814">
        <f t="shared" si="122"/>
        <v>42126</v>
      </c>
      <c r="N90" s="814">
        <f t="shared" si="122"/>
        <v>6309327</v>
      </c>
      <c r="O90" s="816">
        <f t="shared" si="122"/>
        <v>4204900</v>
      </c>
      <c r="P90" s="816">
        <f t="shared" si="122"/>
        <v>0</v>
      </c>
      <c r="Q90" s="814">
        <f t="shared" si="122"/>
        <v>0</v>
      </c>
      <c r="R90" s="814">
        <f t="shared" si="122"/>
        <v>0</v>
      </c>
      <c r="S90" s="816">
        <f t="shared" si="122"/>
        <v>1434255</v>
      </c>
      <c r="T90" s="814">
        <f t="shared" si="122"/>
        <v>16383</v>
      </c>
      <c r="U90" s="814">
        <f t="shared" si="122"/>
        <v>1417872</v>
      </c>
      <c r="V90" s="816">
        <f t="shared" si="122"/>
        <v>2770645</v>
      </c>
      <c r="W90" s="814">
        <f t="shared" si="122"/>
        <v>0</v>
      </c>
      <c r="X90" s="814">
        <f t="shared" si="122"/>
        <v>2770645</v>
      </c>
    </row>
    <row r="91" spans="1:24" s="412" customFormat="1" ht="15.75" customHeight="1">
      <c r="A91" s="859"/>
      <c r="B91" s="836"/>
      <c r="C91" s="836"/>
      <c r="D91" s="862"/>
      <c r="E91" s="819"/>
      <c r="F91" s="827"/>
      <c r="G91" s="830"/>
      <c r="H91" s="411">
        <v>2969203</v>
      </c>
      <c r="I91" s="411">
        <v>198558</v>
      </c>
      <c r="J91" s="818"/>
      <c r="K91" s="816"/>
      <c r="L91" s="816"/>
      <c r="M91" s="814"/>
      <c r="N91" s="814"/>
      <c r="O91" s="816"/>
      <c r="P91" s="816"/>
      <c r="Q91" s="814"/>
      <c r="R91" s="814"/>
      <c r="S91" s="816"/>
      <c r="T91" s="814"/>
      <c r="U91" s="814"/>
      <c r="V91" s="816"/>
      <c r="W91" s="814"/>
      <c r="X91" s="814"/>
    </row>
    <row r="92" spans="1:24" s="412" customFormat="1" ht="15.75" hidden="1" customHeight="1">
      <c r="A92" s="863">
        <v>12</v>
      </c>
      <c r="B92" s="828" t="s">
        <v>664</v>
      </c>
      <c r="C92" s="834" t="s">
        <v>654</v>
      </c>
      <c r="D92" s="860" t="s">
        <v>665</v>
      </c>
      <c r="E92" s="819" t="s">
        <v>624</v>
      </c>
      <c r="F92" s="825" t="s">
        <v>660</v>
      </c>
      <c r="G92" s="828" t="s">
        <v>666</v>
      </c>
      <c r="H92" s="411">
        <f>H93+H94+H95+H96</f>
        <v>1432278</v>
      </c>
      <c r="I92" s="411">
        <f>I93+I94+I95+I96</f>
        <v>448650</v>
      </c>
      <c r="J92" s="817" t="s">
        <v>5</v>
      </c>
      <c r="K92" s="816">
        <f t="shared" ref="K92" si="123">L92+O92</f>
        <v>586412</v>
      </c>
      <c r="L92" s="816">
        <f t="shared" ref="L92" si="124">M92+N92</f>
        <v>0</v>
      </c>
      <c r="M92" s="814">
        <v>0</v>
      </c>
      <c r="N92" s="814">
        <v>0</v>
      </c>
      <c r="O92" s="816">
        <f t="shared" ref="O92" si="125">P92+S92+V92</f>
        <v>586412</v>
      </c>
      <c r="P92" s="816">
        <f t="shared" ref="P92" si="126">Q92+R92</f>
        <v>0</v>
      </c>
      <c r="Q92" s="814">
        <v>0</v>
      </c>
      <c r="R92" s="814">
        <v>0</v>
      </c>
      <c r="S92" s="816">
        <f t="shared" ref="S92" si="127">T92+U92</f>
        <v>586412</v>
      </c>
      <c r="T92" s="814">
        <v>0</v>
      </c>
      <c r="U92" s="814">
        <v>586412</v>
      </c>
      <c r="V92" s="816">
        <f t="shared" ref="V92" si="128">W92+X92</f>
        <v>0</v>
      </c>
      <c r="W92" s="814">
        <v>0</v>
      </c>
      <c r="X92" s="814">
        <v>0</v>
      </c>
    </row>
    <row r="93" spans="1:24" s="412" customFormat="1" ht="15.75" hidden="1" customHeight="1">
      <c r="A93" s="863"/>
      <c r="B93" s="829"/>
      <c r="C93" s="835"/>
      <c r="D93" s="861"/>
      <c r="E93" s="819"/>
      <c r="F93" s="826"/>
      <c r="G93" s="829"/>
      <c r="H93" s="411">
        <v>0</v>
      </c>
      <c r="I93" s="411">
        <v>0</v>
      </c>
      <c r="J93" s="818"/>
      <c r="K93" s="816"/>
      <c r="L93" s="816"/>
      <c r="M93" s="814"/>
      <c r="N93" s="814"/>
      <c r="O93" s="816"/>
      <c r="P93" s="816"/>
      <c r="Q93" s="814"/>
      <c r="R93" s="814"/>
      <c r="S93" s="816"/>
      <c r="T93" s="814"/>
      <c r="U93" s="814"/>
      <c r="V93" s="816"/>
      <c r="W93" s="814"/>
      <c r="X93" s="814"/>
    </row>
    <row r="94" spans="1:24" s="412" customFormat="1" ht="15.75" hidden="1" customHeight="1">
      <c r="A94" s="863"/>
      <c r="B94" s="829"/>
      <c r="C94" s="835"/>
      <c r="D94" s="861"/>
      <c r="E94" s="819"/>
      <c r="F94" s="826"/>
      <c r="G94" s="829"/>
      <c r="H94" s="411">
        <v>0</v>
      </c>
      <c r="I94" s="411">
        <v>0</v>
      </c>
      <c r="J94" s="411" t="s">
        <v>6</v>
      </c>
      <c r="K94" s="413">
        <f t="shared" ref="K94" si="129">L94+O94</f>
        <v>0</v>
      </c>
      <c r="L94" s="413">
        <f t="shared" ref="L94" si="130">M94+N94</f>
        <v>0</v>
      </c>
      <c r="M94" s="414">
        <v>0</v>
      </c>
      <c r="N94" s="414">
        <v>0</v>
      </c>
      <c r="O94" s="413">
        <f t="shared" ref="O94" si="131">P94+S94+V94</f>
        <v>0</v>
      </c>
      <c r="P94" s="413">
        <f t="shared" ref="P94" si="132">Q94+R94</f>
        <v>0</v>
      </c>
      <c r="Q94" s="414">
        <v>0</v>
      </c>
      <c r="R94" s="414">
        <v>0</v>
      </c>
      <c r="S94" s="413">
        <f t="shared" ref="S94" si="133">T94+U94</f>
        <v>0</v>
      </c>
      <c r="T94" s="414">
        <v>0</v>
      </c>
      <c r="U94" s="414">
        <v>0</v>
      </c>
      <c r="V94" s="413">
        <f t="shared" ref="V94" si="134">W94+X94</f>
        <v>0</v>
      </c>
      <c r="W94" s="414">
        <v>0</v>
      </c>
      <c r="X94" s="414">
        <v>0</v>
      </c>
    </row>
    <row r="95" spans="1:24" s="412" customFormat="1" ht="15.75" hidden="1" customHeight="1">
      <c r="A95" s="863"/>
      <c r="B95" s="829"/>
      <c r="C95" s="835"/>
      <c r="D95" s="861"/>
      <c r="E95" s="819"/>
      <c r="F95" s="826"/>
      <c r="G95" s="829"/>
      <c r="H95" s="411">
        <v>1432278</v>
      </c>
      <c r="I95" s="411">
        <v>448650</v>
      </c>
      <c r="J95" s="817" t="s">
        <v>7</v>
      </c>
      <c r="K95" s="816">
        <f t="shared" ref="K95:X95" si="135">K92+K94</f>
        <v>586412</v>
      </c>
      <c r="L95" s="816">
        <f t="shared" si="135"/>
        <v>0</v>
      </c>
      <c r="M95" s="814">
        <f t="shared" si="135"/>
        <v>0</v>
      </c>
      <c r="N95" s="814">
        <f t="shared" si="135"/>
        <v>0</v>
      </c>
      <c r="O95" s="816">
        <f t="shared" si="135"/>
        <v>586412</v>
      </c>
      <c r="P95" s="816">
        <f t="shared" si="135"/>
        <v>0</v>
      </c>
      <c r="Q95" s="814">
        <f t="shared" si="135"/>
        <v>0</v>
      </c>
      <c r="R95" s="814">
        <f t="shared" si="135"/>
        <v>0</v>
      </c>
      <c r="S95" s="816">
        <f t="shared" si="135"/>
        <v>586412</v>
      </c>
      <c r="T95" s="814">
        <f t="shared" si="135"/>
        <v>0</v>
      </c>
      <c r="U95" s="814">
        <f t="shared" si="135"/>
        <v>586412</v>
      </c>
      <c r="V95" s="816">
        <f t="shared" si="135"/>
        <v>0</v>
      </c>
      <c r="W95" s="814">
        <f t="shared" si="135"/>
        <v>0</v>
      </c>
      <c r="X95" s="814">
        <f t="shared" si="135"/>
        <v>0</v>
      </c>
    </row>
    <row r="96" spans="1:24" s="412" customFormat="1" ht="15.75" hidden="1" customHeight="1">
      <c r="A96" s="863"/>
      <c r="B96" s="830"/>
      <c r="C96" s="836"/>
      <c r="D96" s="862"/>
      <c r="E96" s="819"/>
      <c r="F96" s="827"/>
      <c r="G96" s="830"/>
      <c r="H96" s="411">
        <v>0</v>
      </c>
      <c r="I96" s="411">
        <v>0</v>
      </c>
      <c r="J96" s="818"/>
      <c r="K96" s="816"/>
      <c r="L96" s="816"/>
      <c r="M96" s="814"/>
      <c r="N96" s="814"/>
      <c r="O96" s="816"/>
      <c r="P96" s="816"/>
      <c r="Q96" s="814"/>
      <c r="R96" s="814"/>
      <c r="S96" s="816"/>
      <c r="T96" s="814"/>
      <c r="U96" s="814"/>
      <c r="V96" s="816"/>
      <c r="W96" s="814"/>
      <c r="X96" s="814"/>
    </row>
    <row r="97" spans="1:24" s="412" customFormat="1" ht="15.75" customHeight="1">
      <c r="A97" s="859">
        <v>4</v>
      </c>
      <c r="B97" s="828" t="s">
        <v>664</v>
      </c>
      <c r="C97" s="834" t="s">
        <v>654</v>
      </c>
      <c r="D97" s="860" t="s">
        <v>667</v>
      </c>
      <c r="E97" s="819" t="s">
        <v>656</v>
      </c>
      <c r="F97" s="825" t="s">
        <v>660</v>
      </c>
      <c r="G97" s="828" t="s">
        <v>662</v>
      </c>
      <c r="H97" s="411">
        <f>H98+H99+H100+H101</f>
        <v>15790837</v>
      </c>
      <c r="I97" s="411">
        <f>I98+I99+I100+I101</f>
        <v>683831</v>
      </c>
      <c r="J97" s="817" t="s">
        <v>5</v>
      </c>
      <c r="K97" s="816">
        <f t="shared" ref="K97" si="136">L97+O97</f>
        <v>13426625</v>
      </c>
      <c r="L97" s="816">
        <f t="shared" ref="L97" si="137">M97+N97</f>
        <v>7736921</v>
      </c>
      <c r="M97" s="814">
        <v>145508</v>
      </c>
      <c r="N97" s="814">
        <v>7591413</v>
      </c>
      <c r="O97" s="816">
        <f t="shared" ref="O97" si="138">P97+S97+V97</f>
        <v>5689704</v>
      </c>
      <c r="P97" s="816">
        <f t="shared" ref="P97" si="139">Q97+R97</f>
        <v>0</v>
      </c>
      <c r="Q97" s="814">
        <v>0</v>
      </c>
      <c r="R97" s="814">
        <v>0</v>
      </c>
      <c r="S97" s="816">
        <f t="shared" ref="S97" si="140">T97+U97</f>
        <v>1831048</v>
      </c>
      <c r="T97" s="814">
        <v>86912</v>
      </c>
      <c r="U97" s="814">
        <v>1744136</v>
      </c>
      <c r="V97" s="816">
        <f t="shared" ref="V97" si="141">W97+X97</f>
        <v>3858656</v>
      </c>
      <c r="W97" s="814">
        <v>0</v>
      </c>
      <c r="X97" s="814">
        <v>3858656</v>
      </c>
    </row>
    <row r="98" spans="1:24" s="412" customFormat="1" ht="15.75" customHeight="1">
      <c r="A98" s="859"/>
      <c r="B98" s="829"/>
      <c r="C98" s="835"/>
      <c r="D98" s="861"/>
      <c r="E98" s="819"/>
      <c r="F98" s="826"/>
      <c r="G98" s="829"/>
      <c r="H98" s="411">
        <v>8093119</v>
      </c>
      <c r="I98" s="411">
        <v>269520</v>
      </c>
      <c r="J98" s="818"/>
      <c r="K98" s="816"/>
      <c r="L98" s="816"/>
      <c r="M98" s="814"/>
      <c r="N98" s="814"/>
      <c r="O98" s="816"/>
      <c r="P98" s="816"/>
      <c r="Q98" s="814"/>
      <c r="R98" s="814"/>
      <c r="S98" s="816"/>
      <c r="T98" s="814"/>
      <c r="U98" s="814"/>
      <c r="V98" s="816"/>
      <c r="W98" s="814"/>
      <c r="X98" s="814"/>
    </row>
    <row r="99" spans="1:24" s="412" customFormat="1" ht="15.75" customHeight="1">
      <c r="A99" s="859"/>
      <c r="B99" s="829"/>
      <c r="C99" s="835"/>
      <c r="D99" s="861"/>
      <c r="E99" s="819"/>
      <c r="F99" s="826"/>
      <c r="G99" s="829"/>
      <c r="H99" s="411">
        <v>0</v>
      </c>
      <c r="I99" s="411">
        <v>0</v>
      </c>
      <c r="J99" s="411" t="s">
        <v>6</v>
      </c>
      <c r="K99" s="413">
        <f t="shared" ref="K99" si="142">L99+O99</f>
        <v>-458070</v>
      </c>
      <c r="L99" s="413">
        <f t="shared" ref="L99" si="143">M99+N99</f>
        <v>0</v>
      </c>
      <c r="M99" s="414">
        <v>0</v>
      </c>
      <c r="N99" s="414">
        <v>0</v>
      </c>
      <c r="O99" s="413">
        <f t="shared" ref="O99" si="144">P99+S99+V99</f>
        <v>-458070</v>
      </c>
      <c r="P99" s="413">
        <f t="shared" ref="P99" si="145">Q99+R99</f>
        <v>0</v>
      </c>
      <c r="Q99" s="414">
        <v>0</v>
      </c>
      <c r="R99" s="414">
        <v>0</v>
      </c>
      <c r="S99" s="413">
        <f t="shared" ref="S99" si="146">T99+U99</f>
        <v>0</v>
      </c>
      <c r="T99" s="414">
        <v>0</v>
      </c>
      <c r="U99" s="414">
        <v>0</v>
      </c>
      <c r="V99" s="413">
        <f t="shared" ref="V99" si="147">W99+X99</f>
        <v>-458070</v>
      </c>
      <c r="W99" s="414">
        <v>0</v>
      </c>
      <c r="X99" s="414">
        <v>-458070</v>
      </c>
    </row>
    <row r="100" spans="1:24" s="412" customFormat="1" ht="15.75" customHeight="1">
      <c r="A100" s="859"/>
      <c r="B100" s="829"/>
      <c r="C100" s="835"/>
      <c r="D100" s="861"/>
      <c r="E100" s="819"/>
      <c r="F100" s="826"/>
      <c r="G100" s="829"/>
      <c r="H100" s="411">
        <v>2626174</v>
      </c>
      <c r="I100" s="411">
        <v>243353</v>
      </c>
      <c r="J100" s="817" t="s">
        <v>7</v>
      </c>
      <c r="K100" s="816">
        <f t="shared" ref="K100:X100" si="148">K97+K99</f>
        <v>12968555</v>
      </c>
      <c r="L100" s="816">
        <f t="shared" si="148"/>
        <v>7736921</v>
      </c>
      <c r="M100" s="814">
        <f t="shared" si="148"/>
        <v>145508</v>
      </c>
      <c r="N100" s="814">
        <f t="shared" si="148"/>
        <v>7591413</v>
      </c>
      <c r="O100" s="816">
        <f t="shared" si="148"/>
        <v>5231634</v>
      </c>
      <c r="P100" s="816">
        <f t="shared" si="148"/>
        <v>0</v>
      </c>
      <c r="Q100" s="814">
        <f t="shared" si="148"/>
        <v>0</v>
      </c>
      <c r="R100" s="814">
        <f t="shared" si="148"/>
        <v>0</v>
      </c>
      <c r="S100" s="816">
        <f t="shared" si="148"/>
        <v>1831048</v>
      </c>
      <c r="T100" s="814">
        <f t="shared" si="148"/>
        <v>86912</v>
      </c>
      <c r="U100" s="814">
        <f t="shared" si="148"/>
        <v>1744136</v>
      </c>
      <c r="V100" s="816">
        <f t="shared" si="148"/>
        <v>3400586</v>
      </c>
      <c r="W100" s="814">
        <f t="shared" si="148"/>
        <v>0</v>
      </c>
      <c r="X100" s="814">
        <f t="shared" si="148"/>
        <v>3400586</v>
      </c>
    </row>
    <row r="101" spans="1:24" s="412" customFormat="1" ht="15.75" customHeight="1">
      <c r="A101" s="859"/>
      <c r="B101" s="830"/>
      <c r="C101" s="836"/>
      <c r="D101" s="862"/>
      <c r="E101" s="819"/>
      <c r="F101" s="827"/>
      <c r="G101" s="830"/>
      <c r="H101" s="411">
        <v>5071544</v>
      </c>
      <c r="I101" s="411">
        <v>170958</v>
      </c>
      <c r="J101" s="818"/>
      <c r="K101" s="816"/>
      <c r="L101" s="816"/>
      <c r="M101" s="814"/>
      <c r="N101" s="814"/>
      <c r="O101" s="816"/>
      <c r="P101" s="816"/>
      <c r="Q101" s="814"/>
      <c r="R101" s="814"/>
      <c r="S101" s="816"/>
      <c r="T101" s="814"/>
      <c r="U101" s="814"/>
      <c r="V101" s="816"/>
      <c r="W101" s="814"/>
      <c r="X101" s="814"/>
    </row>
    <row r="102" spans="1:24" s="412" customFormat="1" ht="16.5" hidden="1" customHeight="1">
      <c r="A102" s="863">
        <v>14</v>
      </c>
      <c r="B102" s="820" t="s">
        <v>555</v>
      </c>
      <c r="C102" s="822" t="s">
        <v>668</v>
      </c>
      <c r="D102" s="870" t="s">
        <v>669</v>
      </c>
      <c r="E102" s="819" t="s">
        <v>624</v>
      </c>
      <c r="F102" s="819" t="s">
        <v>670</v>
      </c>
      <c r="G102" s="820" t="s">
        <v>671</v>
      </c>
      <c r="H102" s="411">
        <f>H103+H104+H105+H106</f>
        <v>9745374</v>
      </c>
      <c r="I102" s="411">
        <f>I103+I104+I105+I106</f>
        <v>284329</v>
      </c>
      <c r="J102" s="817" t="s">
        <v>5</v>
      </c>
      <c r="K102" s="816">
        <f t="shared" ref="K102" si="149">L102+O102</f>
        <v>3062517</v>
      </c>
      <c r="L102" s="816">
        <f t="shared" ref="L102" si="150">M102+N102</f>
        <v>3062517</v>
      </c>
      <c r="M102" s="814">
        <v>500170</v>
      </c>
      <c r="N102" s="814">
        <v>2562347</v>
      </c>
      <c r="O102" s="816">
        <f t="shared" ref="O102" si="151">P102+S102+V102</f>
        <v>0</v>
      </c>
      <c r="P102" s="816">
        <f t="shared" ref="P102" si="152">Q102+R102</f>
        <v>0</v>
      </c>
      <c r="Q102" s="814">
        <v>0</v>
      </c>
      <c r="R102" s="814">
        <v>0</v>
      </c>
      <c r="S102" s="816">
        <f t="shared" ref="S102" si="153">T102+U102</f>
        <v>0</v>
      </c>
      <c r="T102" s="814">
        <v>0</v>
      </c>
      <c r="U102" s="814">
        <v>0</v>
      </c>
      <c r="V102" s="816">
        <f t="shared" ref="V102" si="154">W102+X102</f>
        <v>0</v>
      </c>
      <c r="W102" s="814">
        <v>0</v>
      </c>
      <c r="X102" s="814">
        <v>0</v>
      </c>
    </row>
    <row r="103" spans="1:24" s="412" customFormat="1" ht="16.5" hidden="1" customHeight="1">
      <c r="A103" s="863"/>
      <c r="B103" s="820"/>
      <c r="C103" s="822"/>
      <c r="D103" s="870"/>
      <c r="E103" s="819"/>
      <c r="F103" s="819"/>
      <c r="G103" s="820"/>
      <c r="H103" s="411">
        <v>9745374</v>
      </c>
      <c r="I103" s="411">
        <v>284329</v>
      </c>
      <c r="J103" s="818"/>
      <c r="K103" s="816"/>
      <c r="L103" s="816"/>
      <c r="M103" s="814"/>
      <c r="N103" s="814"/>
      <c r="O103" s="816"/>
      <c r="P103" s="816"/>
      <c r="Q103" s="814"/>
      <c r="R103" s="814"/>
      <c r="S103" s="816"/>
      <c r="T103" s="814"/>
      <c r="U103" s="814"/>
      <c r="V103" s="816"/>
      <c r="W103" s="814"/>
      <c r="X103" s="814"/>
    </row>
    <row r="104" spans="1:24" s="412" customFormat="1" ht="16.5" hidden="1" customHeight="1">
      <c r="A104" s="863"/>
      <c r="B104" s="820"/>
      <c r="C104" s="822"/>
      <c r="D104" s="870"/>
      <c r="E104" s="819"/>
      <c r="F104" s="819"/>
      <c r="G104" s="820"/>
      <c r="H104" s="411">
        <v>0</v>
      </c>
      <c r="I104" s="411">
        <v>0</v>
      </c>
      <c r="J104" s="411" t="s">
        <v>6</v>
      </c>
      <c r="K104" s="413">
        <f t="shared" ref="K104" si="155">L104+O104</f>
        <v>0</v>
      </c>
      <c r="L104" s="413">
        <f t="shared" ref="L104" si="156">M104+N104</f>
        <v>0</v>
      </c>
      <c r="M104" s="414">
        <v>0</v>
      </c>
      <c r="N104" s="414">
        <v>0</v>
      </c>
      <c r="O104" s="413">
        <f t="shared" ref="O104" si="157">P104+S104+V104</f>
        <v>0</v>
      </c>
      <c r="P104" s="413">
        <f t="shared" ref="P104" si="158">Q104+R104</f>
        <v>0</v>
      </c>
      <c r="Q104" s="414">
        <v>0</v>
      </c>
      <c r="R104" s="414">
        <v>0</v>
      </c>
      <c r="S104" s="413">
        <f t="shared" ref="S104" si="159">T104+U104</f>
        <v>0</v>
      </c>
      <c r="T104" s="414">
        <v>0</v>
      </c>
      <c r="U104" s="414">
        <v>0</v>
      </c>
      <c r="V104" s="413">
        <f t="shared" ref="V104" si="160">W104+X104</f>
        <v>0</v>
      </c>
      <c r="W104" s="414">
        <v>0</v>
      </c>
      <c r="X104" s="414">
        <v>0</v>
      </c>
    </row>
    <row r="105" spans="1:24" s="412" customFormat="1" ht="16.5" hidden="1" customHeight="1">
      <c r="A105" s="863"/>
      <c r="B105" s="820"/>
      <c r="C105" s="822"/>
      <c r="D105" s="870"/>
      <c r="E105" s="819"/>
      <c r="F105" s="819"/>
      <c r="G105" s="820"/>
      <c r="H105" s="411">
        <v>0</v>
      </c>
      <c r="I105" s="411">
        <v>0</v>
      </c>
      <c r="J105" s="817" t="s">
        <v>7</v>
      </c>
      <c r="K105" s="816">
        <f t="shared" ref="K105:X105" si="161">K102+K104</f>
        <v>3062517</v>
      </c>
      <c r="L105" s="816">
        <f t="shared" si="161"/>
        <v>3062517</v>
      </c>
      <c r="M105" s="814">
        <f t="shared" si="161"/>
        <v>500170</v>
      </c>
      <c r="N105" s="814">
        <f t="shared" si="161"/>
        <v>2562347</v>
      </c>
      <c r="O105" s="816">
        <f t="shared" si="161"/>
        <v>0</v>
      </c>
      <c r="P105" s="816">
        <f t="shared" si="161"/>
        <v>0</v>
      </c>
      <c r="Q105" s="814">
        <f t="shared" si="161"/>
        <v>0</v>
      </c>
      <c r="R105" s="814">
        <f t="shared" si="161"/>
        <v>0</v>
      </c>
      <c r="S105" s="816">
        <f t="shared" si="161"/>
        <v>0</v>
      </c>
      <c r="T105" s="814">
        <f t="shared" si="161"/>
        <v>0</v>
      </c>
      <c r="U105" s="814">
        <f t="shared" si="161"/>
        <v>0</v>
      </c>
      <c r="V105" s="816">
        <f t="shared" si="161"/>
        <v>0</v>
      </c>
      <c r="W105" s="814">
        <f t="shared" si="161"/>
        <v>0</v>
      </c>
      <c r="X105" s="814">
        <f t="shared" si="161"/>
        <v>0</v>
      </c>
    </row>
    <row r="106" spans="1:24" s="412" customFormat="1" ht="16.5" hidden="1" customHeight="1">
      <c r="A106" s="863"/>
      <c r="B106" s="820"/>
      <c r="C106" s="822"/>
      <c r="D106" s="870"/>
      <c r="E106" s="819"/>
      <c r="F106" s="819"/>
      <c r="G106" s="820"/>
      <c r="H106" s="411">
        <v>0</v>
      </c>
      <c r="I106" s="411">
        <v>0</v>
      </c>
      <c r="J106" s="818"/>
      <c r="K106" s="816"/>
      <c r="L106" s="816"/>
      <c r="M106" s="814"/>
      <c r="N106" s="814"/>
      <c r="O106" s="816"/>
      <c r="P106" s="816"/>
      <c r="Q106" s="814"/>
      <c r="R106" s="814"/>
      <c r="S106" s="816"/>
      <c r="T106" s="814"/>
      <c r="U106" s="814"/>
      <c r="V106" s="816"/>
      <c r="W106" s="814"/>
      <c r="X106" s="814"/>
    </row>
    <row r="107" spans="1:24" s="412" customFormat="1" ht="16.5" hidden="1" customHeight="1">
      <c r="A107" s="863">
        <v>15</v>
      </c>
      <c r="B107" s="820" t="s">
        <v>672</v>
      </c>
      <c r="C107" s="822" t="s">
        <v>673</v>
      </c>
      <c r="D107" s="870" t="s">
        <v>674</v>
      </c>
      <c r="E107" s="819" t="s">
        <v>624</v>
      </c>
      <c r="F107" s="819" t="s">
        <v>675</v>
      </c>
      <c r="G107" s="820" t="s">
        <v>639</v>
      </c>
      <c r="H107" s="411">
        <f>H108+H109+H110+H111</f>
        <v>4255916</v>
      </c>
      <c r="I107" s="411">
        <f>I108+I109+I110+I111</f>
        <v>2941912</v>
      </c>
      <c r="J107" s="817" t="s">
        <v>5</v>
      </c>
      <c r="K107" s="816">
        <f t="shared" ref="K107" si="162">L107+O107</f>
        <v>1314004</v>
      </c>
      <c r="L107" s="816">
        <f t="shared" ref="L107" si="163">M107+N107</f>
        <v>1264572</v>
      </c>
      <c r="M107" s="814">
        <v>1264572</v>
      </c>
      <c r="N107" s="814">
        <v>0</v>
      </c>
      <c r="O107" s="816">
        <f t="shared" ref="O107" si="164">P107+S107+V107</f>
        <v>49432</v>
      </c>
      <c r="P107" s="816">
        <f t="shared" ref="P107" si="165">Q107+R107</f>
        <v>0</v>
      </c>
      <c r="Q107" s="814">
        <v>0</v>
      </c>
      <c r="R107" s="814">
        <v>0</v>
      </c>
      <c r="S107" s="816">
        <f t="shared" ref="S107" si="166">T107+U107</f>
        <v>49432</v>
      </c>
      <c r="T107" s="814">
        <v>49432</v>
      </c>
      <c r="U107" s="814">
        <v>0</v>
      </c>
      <c r="V107" s="816">
        <f t="shared" ref="V107" si="167">W107+X107</f>
        <v>0</v>
      </c>
      <c r="W107" s="814">
        <v>0</v>
      </c>
      <c r="X107" s="814">
        <v>0</v>
      </c>
    </row>
    <row r="108" spans="1:24" s="412" customFormat="1" ht="16.5" hidden="1" customHeight="1">
      <c r="A108" s="863"/>
      <c r="B108" s="820"/>
      <c r="C108" s="822"/>
      <c r="D108" s="870"/>
      <c r="E108" s="819"/>
      <c r="F108" s="819"/>
      <c r="G108" s="820"/>
      <c r="H108" s="411">
        <v>4198940</v>
      </c>
      <c r="I108" s="411">
        <v>2934368</v>
      </c>
      <c r="J108" s="818"/>
      <c r="K108" s="816"/>
      <c r="L108" s="816"/>
      <c r="M108" s="814"/>
      <c r="N108" s="814"/>
      <c r="O108" s="816"/>
      <c r="P108" s="816"/>
      <c r="Q108" s="814"/>
      <c r="R108" s="814"/>
      <c r="S108" s="816"/>
      <c r="T108" s="814"/>
      <c r="U108" s="814"/>
      <c r="V108" s="816"/>
      <c r="W108" s="814"/>
      <c r="X108" s="814"/>
    </row>
    <row r="109" spans="1:24" s="412" customFormat="1" ht="16.5" hidden="1" customHeight="1">
      <c r="A109" s="863"/>
      <c r="B109" s="820"/>
      <c r="C109" s="822"/>
      <c r="D109" s="870"/>
      <c r="E109" s="819"/>
      <c r="F109" s="819"/>
      <c r="G109" s="820"/>
      <c r="H109" s="411">
        <v>0</v>
      </c>
      <c r="I109" s="411">
        <v>0</v>
      </c>
      <c r="J109" s="411" t="s">
        <v>6</v>
      </c>
      <c r="K109" s="413">
        <f t="shared" ref="K109" si="168">L109+O109</f>
        <v>0</v>
      </c>
      <c r="L109" s="413">
        <f t="shared" ref="L109" si="169">M109+N109</f>
        <v>0</v>
      </c>
      <c r="M109" s="414">
        <v>0</v>
      </c>
      <c r="N109" s="414">
        <v>0</v>
      </c>
      <c r="O109" s="413">
        <f t="shared" ref="O109" si="170">P109+S109+V109</f>
        <v>0</v>
      </c>
      <c r="P109" s="413">
        <f t="shared" ref="P109" si="171">Q109+R109</f>
        <v>0</v>
      </c>
      <c r="Q109" s="414">
        <v>0</v>
      </c>
      <c r="R109" s="414">
        <v>0</v>
      </c>
      <c r="S109" s="413">
        <f t="shared" ref="S109" si="172">T109+U109</f>
        <v>0</v>
      </c>
      <c r="T109" s="414">
        <v>0</v>
      </c>
      <c r="U109" s="414">
        <v>0</v>
      </c>
      <c r="V109" s="413">
        <f t="shared" ref="V109" si="173">W109+X109</f>
        <v>0</v>
      </c>
      <c r="W109" s="414">
        <v>0</v>
      </c>
      <c r="X109" s="414">
        <v>0</v>
      </c>
    </row>
    <row r="110" spans="1:24" s="412" customFormat="1" ht="16.5" hidden="1" customHeight="1">
      <c r="A110" s="863"/>
      <c r="B110" s="820"/>
      <c r="C110" s="822"/>
      <c r="D110" s="870"/>
      <c r="E110" s="819"/>
      <c r="F110" s="819"/>
      <c r="G110" s="820"/>
      <c r="H110" s="411">
        <v>56976</v>
      </c>
      <c r="I110" s="411">
        <v>7544</v>
      </c>
      <c r="J110" s="817" t="s">
        <v>7</v>
      </c>
      <c r="K110" s="816">
        <f t="shared" ref="K110:X110" si="174">K107+K109</f>
        <v>1314004</v>
      </c>
      <c r="L110" s="816">
        <f t="shared" si="174"/>
        <v>1264572</v>
      </c>
      <c r="M110" s="814">
        <f t="shared" si="174"/>
        <v>1264572</v>
      </c>
      <c r="N110" s="814">
        <f t="shared" si="174"/>
        <v>0</v>
      </c>
      <c r="O110" s="816">
        <f t="shared" si="174"/>
        <v>49432</v>
      </c>
      <c r="P110" s="816">
        <f t="shared" si="174"/>
        <v>0</v>
      </c>
      <c r="Q110" s="814">
        <f t="shared" si="174"/>
        <v>0</v>
      </c>
      <c r="R110" s="814">
        <f t="shared" si="174"/>
        <v>0</v>
      </c>
      <c r="S110" s="816">
        <f t="shared" si="174"/>
        <v>49432</v>
      </c>
      <c r="T110" s="814">
        <f t="shared" si="174"/>
        <v>49432</v>
      </c>
      <c r="U110" s="814">
        <f t="shared" si="174"/>
        <v>0</v>
      </c>
      <c r="V110" s="816">
        <f t="shared" si="174"/>
        <v>0</v>
      </c>
      <c r="W110" s="814">
        <f t="shared" si="174"/>
        <v>0</v>
      </c>
      <c r="X110" s="814">
        <f t="shared" si="174"/>
        <v>0</v>
      </c>
    </row>
    <row r="111" spans="1:24" s="412" customFormat="1" ht="16.5" hidden="1" customHeight="1">
      <c r="A111" s="863"/>
      <c r="B111" s="820"/>
      <c r="C111" s="822"/>
      <c r="D111" s="870"/>
      <c r="E111" s="819"/>
      <c r="F111" s="819"/>
      <c r="G111" s="820"/>
      <c r="H111" s="411">
        <v>0</v>
      </c>
      <c r="I111" s="411">
        <v>0</v>
      </c>
      <c r="J111" s="818"/>
      <c r="K111" s="816"/>
      <c r="L111" s="816"/>
      <c r="M111" s="814"/>
      <c r="N111" s="814"/>
      <c r="O111" s="816"/>
      <c r="P111" s="816"/>
      <c r="Q111" s="814"/>
      <c r="R111" s="814"/>
      <c r="S111" s="816"/>
      <c r="T111" s="814"/>
      <c r="U111" s="814"/>
      <c r="V111" s="816"/>
      <c r="W111" s="814"/>
      <c r="X111" s="814"/>
    </row>
    <row r="112" spans="1:24" s="412" customFormat="1" ht="16.5" customHeight="1">
      <c r="A112" s="859">
        <v>5</v>
      </c>
      <c r="B112" s="820" t="s">
        <v>672</v>
      </c>
      <c r="C112" s="822" t="s">
        <v>673</v>
      </c>
      <c r="D112" s="870" t="s">
        <v>676</v>
      </c>
      <c r="E112" s="819" t="s">
        <v>624</v>
      </c>
      <c r="F112" s="819" t="s">
        <v>675</v>
      </c>
      <c r="G112" s="820" t="s">
        <v>652</v>
      </c>
      <c r="H112" s="411">
        <f>H113+H114+H115+H116</f>
        <v>5210924</v>
      </c>
      <c r="I112" s="411">
        <f>I113+I114+I115+I116</f>
        <v>4947784</v>
      </c>
      <c r="J112" s="817" t="s">
        <v>5</v>
      </c>
      <c r="K112" s="816">
        <f t="shared" ref="K112" si="175">L112+O112</f>
        <v>263140</v>
      </c>
      <c r="L112" s="816">
        <f t="shared" ref="L112" si="176">M112+N112</f>
        <v>263140</v>
      </c>
      <c r="M112" s="814">
        <v>263140</v>
      </c>
      <c r="N112" s="814">
        <v>0</v>
      </c>
      <c r="O112" s="816">
        <f t="shared" ref="O112" si="177">P112+S112+V112</f>
        <v>0</v>
      </c>
      <c r="P112" s="816">
        <f t="shared" ref="P112" si="178">Q112+R112</f>
        <v>0</v>
      </c>
      <c r="Q112" s="814">
        <v>0</v>
      </c>
      <c r="R112" s="814">
        <v>0</v>
      </c>
      <c r="S112" s="816">
        <f t="shared" ref="S112" si="179">T112+U112</f>
        <v>0</v>
      </c>
      <c r="T112" s="814">
        <v>0</v>
      </c>
      <c r="U112" s="814">
        <v>0</v>
      </c>
      <c r="V112" s="816">
        <f t="shared" ref="V112" si="180">W112+X112</f>
        <v>0</v>
      </c>
      <c r="W112" s="814">
        <v>0</v>
      </c>
      <c r="X112" s="814">
        <v>0</v>
      </c>
    </row>
    <row r="113" spans="1:24" s="412" customFormat="1" ht="16.5" customHeight="1">
      <c r="A113" s="859"/>
      <c r="B113" s="820"/>
      <c r="C113" s="822"/>
      <c r="D113" s="870"/>
      <c r="E113" s="819"/>
      <c r="F113" s="819"/>
      <c r="G113" s="820"/>
      <c r="H113" s="411">
        <v>5166285</v>
      </c>
      <c r="I113" s="411">
        <v>4903145</v>
      </c>
      <c r="J113" s="818"/>
      <c r="K113" s="816"/>
      <c r="L113" s="816"/>
      <c r="M113" s="814"/>
      <c r="N113" s="814"/>
      <c r="O113" s="816"/>
      <c r="P113" s="816"/>
      <c r="Q113" s="814"/>
      <c r="R113" s="814"/>
      <c r="S113" s="816"/>
      <c r="T113" s="814"/>
      <c r="U113" s="814"/>
      <c r="V113" s="816"/>
      <c r="W113" s="814"/>
      <c r="X113" s="814"/>
    </row>
    <row r="114" spans="1:24" s="412" customFormat="1" ht="16.5" customHeight="1">
      <c r="A114" s="859"/>
      <c r="B114" s="820"/>
      <c r="C114" s="822"/>
      <c r="D114" s="870"/>
      <c r="E114" s="819"/>
      <c r="F114" s="819"/>
      <c r="G114" s="820"/>
      <c r="H114" s="411">
        <v>0</v>
      </c>
      <c r="I114" s="411">
        <v>0</v>
      </c>
      <c r="J114" s="411" t="s">
        <v>6</v>
      </c>
      <c r="K114" s="413">
        <f t="shared" ref="K114" si="181">L114+O114</f>
        <v>0</v>
      </c>
      <c r="L114" s="413">
        <f t="shared" ref="L114" si="182">M114+N114</f>
        <v>0</v>
      </c>
      <c r="M114" s="414">
        <v>0</v>
      </c>
      <c r="N114" s="414">
        <v>0</v>
      </c>
      <c r="O114" s="413">
        <f t="shared" ref="O114" si="183">P114+S114+V114</f>
        <v>0</v>
      </c>
      <c r="P114" s="413">
        <f t="shared" ref="P114" si="184">Q114+R114</f>
        <v>0</v>
      </c>
      <c r="Q114" s="414">
        <v>0</v>
      </c>
      <c r="R114" s="414">
        <v>0</v>
      </c>
      <c r="S114" s="413">
        <f t="shared" ref="S114" si="185">T114+U114</f>
        <v>0</v>
      </c>
      <c r="T114" s="414">
        <v>0</v>
      </c>
      <c r="U114" s="414">
        <v>0</v>
      </c>
      <c r="V114" s="413">
        <f t="shared" ref="V114" si="186">W114+X114</f>
        <v>0</v>
      </c>
      <c r="W114" s="414">
        <v>0</v>
      </c>
      <c r="X114" s="414">
        <v>0</v>
      </c>
    </row>
    <row r="115" spans="1:24" s="412" customFormat="1" ht="16.5" customHeight="1">
      <c r="A115" s="859"/>
      <c r="B115" s="820"/>
      <c r="C115" s="822"/>
      <c r="D115" s="870"/>
      <c r="E115" s="819"/>
      <c r="F115" s="819"/>
      <c r="G115" s="820"/>
      <c r="H115" s="411">
        <v>44639</v>
      </c>
      <c r="I115" s="411">
        <v>44639</v>
      </c>
      <c r="J115" s="817" t="s">
        <v>7</v>
      </c>
      <c r="K115" s="816">
        <f t="shared" ref="K115:X115" si="187">K112+K114</f>
        <v>263140</v>
      </c>
      <c r="L115" s="816">
        <f t="shared" si="187"/>
        <v>263140</v>
      </c>
      <c r="M115" s="814">
        <f t="shared" si="187"/>
        <v>263140</v>
      </c>
      <c r="N115" s="814">
        <f t="shared" si="187"/>
        <v>0</v>
      </c>
      <c r="O115" s="816">
        <f t="shared" si="187"/>
        <v>0</v>
      </c>
      <c r="P115" s="816">
        <f t="shared" si="187"/>
        <v>0</v>
      </c>
      <c r="Q115" s="814">
        <f t="shared" si="187"/>
        <v>0</v>
      </c>
      <c r="R115" s="814">
        <f t="shared" si="187"/>
        <v>0</v>
      </c>
      <c r="S115" s="816">
        <f t="shared" si="187"/>
        <v>0</v>
      </c>
      <c r="T115" s="814">
        <f t="shared" si="187"/>
        <v>0</v>
      </c>
      <c r="U115" s="814">
        <f t="shared" si="187"/>
        <v>0</v>
      </c>
      <c r="V115" s="816">
        <f t="shared" si="187"/>
        <v>0</v>
      </c>
      <c r="W115" s="814">
        <f t="shared" si="187"/>
        <v>0</v>
      </c>
      <c r="X115" s="814">
        <f t="shared" si="187"/>
        <v>0</v>
      </c>
    </row>
    <row r="116" spans="1:24" s="412" customFormat="1" ht="16.5" customHeight="1">
      <c r="A116" s="859"/>
      <c r="B116" s="820"/>
      <c r="C116" s="822"/>
      <c r="D116" s="870"/>
      <c r="E116" s="819"/>
      <c r="F116" s="819"/>
      <c r="G116" s="820"/>
      <c r="H116" s="411">
        <v>0</v>
      </c>
      <c r="I116" s="411">
        <v>0</v>
      </c>
      <c r="J116" s="818"/>
      <c r="K116" s="816"/>
      <c r="L116" s="816"/>
      <c r="M116" s="814"/>
      <c r="N116" s="814"/>
      <c r="O116" s="816"/>
      <c r="P116" s="816"/>
      <c r="Q116" s="814"/>
      <c r="R116" s="814"/>
      <c r="S116" s="816"/>
      <c r="T116" s="814"/>
      <c r="U116" s="814"/>
      <c r="V116" s="816"/>
      <c r="W116" s="814"/>
      <c r="X116" s="814"/>
    </row>
    <row r="117" spans="1:24" s="412" customFormat="1" ht="16.5" hidden="1" customHeight="1">
      <c r="A117" s="863">
        <v>16</v>
      </c>
      <c r="B117" s="841" t="s">
        <v>672</v>
      </c>
      <c r="C117" s="841" t="s">
        <v>677</v>
      </c>
      <c r="D117" s="872" t="s">
        <v>678</v>
      </c>
      <c r="E117" s="843" t="s">
        <v>624</v>
      </c>
      <c r="F117" s="843" t="s">
        <v>679</v>
      </c>
      <c r="G117" s="873" t="s">
        <v>639</v>
      </c>
      <c r="H117" s="411">
        <f>H118+H119+H120+H121</f>
        <v>5640725</v>
      </c>
      <c r="I117" s="411">
        <f>I118+I119+I120+I121</f>
        <v>4962049</v>
      </c>
      <c r="J117" s="817" t="s">
        <v>5</v>
      </c>
      <c r="K117" s="816">
        <f t="shared" ref="K117" si="188">L117+O117</f>
        <v>678676</v>
      </c>
      <c r="L117" s="816">
        <f t="shared" ref="L117" si="189">M117+N117</f>
        <v>558463</v>
      </c>
      <c r="M117" s="814">
        <v>558463</v>
      </c>
      <c r="N117" s="814">
        <v>0</v>
      </c>
      <c r="O117" s="816">
        <f t="shared" ref="O117" si="190">P117+S117+V117</f>
        <v>120213</v>
      </c>
      <c r="P117" s="816">
        <f t="shared" ref="P117" si="191">Q117+R117</f>
        <v>89012</v>
      </c>
      <c r="Q117" s="814">
        <v>89012</v>
      </c>
      <c r="R117" s="814">
        <v>0</v>
      </c>
      <c r="S117" s="816">
        <f t="shared" ref="S117" si="192">T117+U117</f>
        <v>31201</v>
      </c>
      <c r="T117" s="814">
        <v>31201</v>
      </c>
      <c r="U117" s="814">
        <v>0</v>
      </c>
      <c r="V117" s="816">
        <f t="shared" ref="V117" si="193">W117+X117</f>
        <v>0</v>
      </c>
      <c r="W117" s="814">
        <v>0</v>
      </c>
      <c r="X117" s="814">
        <v>0</v>
      </c>
    </row>
    <row r="118" spans="1:24" s="412" customFormat="1" ht="16.5" hidden="1" customHeight="1">
      <c r="A118" s="863"/>
      <c r="B118" s="841"/>
      <c r="C118" s="841"/>
      <c r="D118" s="872"/>
      <c r="E118" s="843"/>
      <c r="F118" s="843"/>
      <c r="G118" s="873"/>
      <c r="H118" s="411">
        <v>4729121</v>
      </c>
      <c r="I118" s="411">
        <v>4170658</v>
      </c>
      <c r="J118" s="818"/>
      <c r="K118" s="816"/>
      <c r="L118" s="816"/>
      <c r="M118" s="814"/>
      <c r="N118" s="814"/>
      <c r="O118" s="816"/>
      <c r="P118" s="816"/>
      <c r="Q118" s="814"/>
      <c r="R118" s="814"/>
      <c r="S118" s="816"/>
      <c r="T118" s="814"/>
      <c r="U118" s="814"/>
      <c r="V118" s="816"/>
      <c r="W118" s="814"/>
      <c r="X118" s="814"/>
    </row>
    <row r="119" spans="1:24" s="412" customFormat="1" ht="16.5" hidden="1" customHeight="1">
      <c r="A119" s="863"/>
      <c r="B119" s="841"/>
      <c r="C119" s="841"/>
      <c r="D119" s="872"/>
      <c r="E119" s="843"/>
      <c r="F119" s="843"/>
      <c r="G119" s="873"/>
      <c r="H119" s="411">
        <v>794183</v>
      </c>
      <c r="I119" s="411">
        <v>705171</v>
      </c>
      <c r="J119" s="411" t="s">
        <v>6</v>
      </c>
      <c r="K119" s="413">
        <f t="shared" ref="K119" si="194">L119+O119</f>
        <v>0</v>
      </c>
      <c r="L119" s="413">
        <f t="shared" ref="L119" si="195">M119+N119</f>
        <v>0</v>
      </c>
      <c r="M119" s="414">
        <v>0</v>
      </c>
      <c r="N119" s="414">
        <v>0</v>
      </c>
      <c r="O119" s="413">
        <f t="shared" ref="O119" si="196">P119+S119+V119</f>
        <v>0</v>
      </c>
      <c r="P119" s="413">
        <f t="shared" ref="P119" si="197">Q119+R119</f>
        <v>0</v>
      </c>
      <c r="Q119" s="414">
        <v>0</v>
      </c>
      <c r="R119" s="414">
        <v>0</v>
      </c>
      <c r="S119" s="413">
        <f t="shared" ref="S119" si="198">T119+U119</f>
        <v>0</v>
      </c>
      <c r="T119" s="414">
        <v>0</v>
      </c>
      <c r="U119" s="414">
        <v>0</v>
      </c>
      <c r="V119" s="413">
        <f t="shared" ref="V119" si="199">W119+X119</f>
        <v>0</v>
      </c>
      <c r="W119" s="414">
        <v>0</v>
      </c>
      <c r="X119" s="414">
        <v>0</v>
      </c>
    </row>
    <row r="120" spans="1:24" s="412" customFormat="1" ht="16.5" hidden="1" customHeight="1">
      <c r="A120" s="863"/>
      <c r="B120" s="841"/>
      <c r="C120" s="841"/>
      <c r="D120" s="872"/>
      <c r="E120" s="843"/>
      <c r="F120" s="843"/>
      <c r="G120" s="873"/>
      <c r="H120" s="411">
        <v>117421</v>
      </c>
      <c r="I120" s="411">
        <v>86220</v>
      </c>
      <c r="J120" s="817" t="s">
        <v>7</v>
      </c>
      <c r="K120" s="816">
        <f t="shared" ref="K120:X120" si="200">K117+K119</f>
        <v>678676</v>
      </c>
      <c r="L120" s="816">
        <f t="shared" si="200"/>
        <v>558463</v>
      </c>
      <c r="M120" s="814">
        <f t="shared" si="200"/>
        <v>558463</v>
      </c>
      <c r="N120" s="814">
        <f t="shared" si="200"/>
        <v>0</v>
      </c>
      <c r="O120" s="816">
        <f t="shared" si="200"/>
        <v>120213</v>
      </c>
      <c r="P120" s="816">
        <f t="shared" si="200"/>
        <v>89012</v>
      </c>
      <c r="Q120" s="814">
        <f t="shared" si="200"/>
        <v>89012</v>
      </c>
      <c r="R120" s="814">
        <f t="shared" si="200"/>
        <v>0</v>
      </c>
      <c r="S120" s="816">
        <f t="shared" si="200"/>
        <v>31201</v>
      </c>
      <c r="T120" s="814">
        <f t="shared" si="200"/>
        <v>31201</v>
      </c>
      <c r="U120" s="814">
        <f t="shared" si="200"/>
        <v>0</v>
      </c>
      <c r="V120" s="816">
        <f t="shared" si="200"/>
        <v>0</v>
      </c>
      <c r="W120" s="814">
        <f t="shared" si="200"/>
        <v>0</v>
      </c>
      <c r="X120" s="814">
        <f t="shared" si="200"/>
        <v>0</v>
      </c>
    </row>
    <row r="121" spans="1:24" s="412" customFormat="1" ht="16.5" hidden="1" customHeight="1">
      <c r="A121" s="863"/>
      <c r="B121" s="841"/>
      <c r="C121" s="841"/>
      <c r="D121" s="872"/>
      <c r="E121" s="843"/>
      <c r="F121" s="843"/>
      <c r="G121" s="873"/>
      <c r="H121" s="411">
        <v>0</v>
      </c>
      <c r="I121" s="411">
        <v>0</v>
      </c>
      <c r="J121" s="818"/>
      <c r="K121" s="816"/>
      <c r="L121" s="816"/>
      <c r="M121" s="814"/>
      <c r="N121" s="814"/>
      <c r="O121" s="816"/>
      <c r="P121" s="816"/>
      <c r="Q121" s="814"/>
      <c r="R121" s="814"/>
      <c r="S121" s="816"/>
      <c r="T121" s="814"/>
      <c r="U121" s="814"/>
      <c r="V121" s="816"/>
      <c r="W121" s="814"/>
      <c r="X121" s="814"/>
    </row>
    <row r="122" spans="1:24" s="412" customFormat="1" ht="16.5" hidden="1" customHeight="1">
      <c r="A122" s="863">
        <v>17</v>
      </c>
      <c r="B122" s="873" t="s">
        <v>680</v>
      </c>
      <c r="C122" s="841" t="s">
        <v>681</v>
      </c>
      <c r="D122" s="872" t="s">
        <v>682</v>
      </c>
      <c r="E122" s="843" t="s">
        <v>683</v>
      </c>
      <c r="F122" s="843" t="s">
        <v>684</v>
      </c>
      <c r="G122" s="873" t="s">
        <v>658</v>
      </c>
      <c r="H122" s="415">
        <f>H123+H124+H125+H126</f>
        <v>3321352</v>
      </c>
      <c r="I122" s="415">
        <f>I123+I124+I125+I126</f>
        <v>3221642</v>
      </c>
      <c r="J122" s="817" t="s">
        <v>5</v>
      </c>
      <c r="K122" s="816">
        <f t="shared" ref="K122" si="201">L122+O122</f>
        <v>99710</v>
      </c>
      <c r="L122" s="816">
        <f t="shared" ref="L122" si="202">M122+N122</f>
        <v>28780</v>
      </c>
      <c r="M122" s="814">
        <v>28275</v>
      </c>
      <c r="N122" s="814">
        <v>505</v>
      </c>
      <c r="O122" s="816">
        <f t="shared" ref="O122" si="203">P122+S122+V122</f>
        <v>70930</v>
      </c>
      <c r="P122" s="816">
        <f t="shared" ref="P122" si="204">Q122+R122</f>
        <v>0</v>
      </c>
      <c r="Q122" s="814">
        <v>0</v>
      </c>
      <c r="R122" s="814">
        <v>0</v>
      </c>
      <c r="S122" s="816">
        <f t="shared" ref="S122" si="205">T122+U122</f>
        <v>70930</v>
      </c>
      <c r="T122" s="814">
        <v>60403</v>
      </c>
      <c r="U122" s="814">
        <v>10527</v>
      </c>
      <c r="V122" s="816">
        <f t="shared" ref="V122" si="206">W122+X122</f>
        <v>0</v>
      </c>
      <c r="W122" s="814">
        <v>0</v>
      </c>
      <c r="X122" s="814">
        <v>0</v>
      </c>
    </row>
    <row r="123" spans="1:24" s="412" customFormat="1" ht="16.5" hidden="1" customHeight="1">
      <c r="A123" s="863"/>
      <c r="B123" s="873"/>
      <c r="C123" s="841"/>
      <c r="D123" s="872"/>
      <c r="E123" s="843"/>
      <c r="F123" s="843"/>
      <c r="G123" s="873"/>
      <c r="H123" s="415">
        <v>1585294</v>
      </c>
      <c r="I123" s="415">
        <v>1556514</v>
      </c>
      <c r="J123" s="818"/>
      <c r="K123" s="816"/>
      <c r="L123" s="816"/>
      <c r="M123" s="814"/>
      <c r="N123" s="814"/>
      <c r="O123" s="816"/>
      <c r="P123" s="816"/>
      <c r="Q123" s="814"/>
      <c r="R123" s="814"/>
      <c r="S123" s="816"/>
      <c r="T123" s="814"/>
      <c r="U123" s="814"/>
      <c r="V123" s="816"/>
      <c r="W123" s="814"/>
      <c r="X123" s="814"/>
    </row>
    <row r="124" spans="1:24" s="412" customFormat="1" ht="16.5" hidden="1" customHeight="1">
      <c r="A124" s="863"/>
      <c r="B124" s="873"/>
      <c r="C124" s="841"/>
      <c r="D124" s="872"/>
      <c r="E124" s="843"/>
      <c r="F124" s="843"/>
      <c r="G124" s="873"/>
      <c r="H124" s="415">
        <v>0</v>
      </c>
      <c r="I124" s="415">
        <v>0</v>
      </c>
      <c r="J124" s="411" t="s">
        <v>6</v>
      </c>
      <c r="K124" s="413">
        <f t="shared" ref="K124" si="207">L124+O124</f>
        <v>0</v>
      </c>
      <c r="L124" s="413">
        <f t="shared" ref="L124" si="208">M124+N124</f>
        <v>0</v>
      </c>
      <c r="M124" s="414">
        <v>0</v>
      </c>
      <c r="N124" s="414">
        <v>0</v>
      </c>
      <c r="O124" s="413">
        <f t="shared" ref="O124" si="209">P124+S124+V124</f>
        <v>0</v>
      </c>
      <c r="P124" s="413">
        <f t="shared" ref="P124" si="210">Q124+R124</f>
        <v>0</v>
      </c>
      <c r="Q124" s="414">
        <v>0</v>
      </c>
      <c r="R124" s="414">
        <v>0</v>
      </c>
      <c r="S124" s="413">
        <f t="shared" ref="S124" si="211">T124+U124</f>
        <v>0</v>
      </c>
      <c r="T124" s="414">
        <v>0</v>
      </c>
      <c r="U124" s="414">
        <v>0</v>
      </c>
      <c r="V124" s="413">
        <f t="shared" ref="V124" si="212">W124+X124</f>
        <v>0</v>
      </c>
      <c r="W124" s="414">
        <v>0</v>
      </c>
      <c r="X124" s="414">
        <v>0</v>
      </c>
    </row>
    <row r="125" spans="1:24" s="412" customFormat="1" ht="16.5" hidden="1" customHeight="1">
      <c r="A125" s="863"/>
      <c r="B125" s="873"/>
      <c r="C125" s="841"/>
      <c r="D125" s="872"/>
      <c r="E125" s="843"/>
      <c r="F125" s="843"/>
      <c r="G125" s="873"/>
      <c r="H125" s="415">
        <v>1264129</v>
      </c>
      <c r="I125" s="415">
        <v>1193199</v>
      </c>
      <c r="J125" s="817" t="s">
        <v>7</v>
      </c>
      <c r="K125" s="816">
        <f t="shared" ref="K125:X125" si="213">K122+K124</f>
        <v>99710</v>
      </c>
      <c r="L125" s="816">
        <f t="shared" si="213"/>
        <v>28780</v>
      </c>
      <c r="M125" s="814">
        <f t="shared" si="213"/>
        <v>28275</v>
      </c>
      <c r="N125" s="814">
        <f t="shared" si="213"/>
        <v>505</v>
      </c>
      <c r="O125" s="816">
        <f t="shared" si="213"/>
        <v>70930</v>
      </c>
      <c r="P125" s="816">
        <f t="shared" si="213"/>
        <v>0</v>
      </c>
      <c r="Q125" s="814">
        <f t="shared" si="213"/>
        <v>0</v>
      </c>
      <c r="R125" s="814">
        <f t="shared" si="213"/>
        <v>0</v>
      </c>
      <c r="S125" s="816">
        <f t="shared" si="213"/>
        <v>70930</v>
      </c>
      <c r="T125" s="814">
        <f t="shared" si="213"/>
        <v>60403</v>
      </c>
      <c r="U125" s="814">
        <f t="shared" si="213"/>
        <v>10527</v>
      </c>
      <c r="V125" s="816">
        <f t="shared" si="213"/>
        <v>0</v>
      </c>
      <c r="W125" s="814">
        <f t="shared" si="213"/>
        <v>0</v>
      </c>
      <c r="X125" s="814">
        <f t="shared" si="213"/>
        <v>0</v>
      </c>
    </row>
    <row r="126" spans="1:24" s="412" customFormat="1" ht="16.5" hidden="1" customHeight="1">
      <c r="A126" s="863"/>
      <c r="B126" s="873"/>
      <c r="C126" s="841"/>
      <c r="D126" s="872"/>
      <c r="E126" s="843"/>
      <c r="F126" s="843"/>
      <c r="G126" s="873"/>
      <c r="H126" s="415">
        <v>471929</v>
      </c>
      <c r="I126" s="415">
        <v>471929</v>
      </c>
      <c r="J126" s="818"/>
      <c r="K126" s="816"/>
      <c r="L126" s="816"/>
      <c r="M126" s="814"/>
      <c r="N126" s="814"/>
      <c r="O126" s="816"/>
      <c r="P126" s="816"/>
      <c r="Q126" s="814"/>
      <c r="R126" s="814"/>
      <c r="S126" s="816"/>
      <c r="T126" s="814"/>
      <c r="U126" s="814"/>
      <c r="V126" s="816"/>
      <c r="W126" s="814"/>
      <c r="X126" s="814"/>
    </row>
    <row r="127" spans="1:24" s="412" customFormat="1" ht="16.5" hidden="1" customHeight="1">
      <c r="A127" s="863">
        <v>18</v>
      </c>
      <c r="B127" s="820" t="s">
        <v>680</v>
      </c>
      <c r="C127" s="822" t="s">
        <v>681</v>
      </c>
      <c r="D127" s="870" t="s">
        <v>685</v>
      </c>
      <c r="E127" s="874" t="s">
        <v>686</v>
      </c>
      <c r="F127" s="819" t="s">
        <v>684</v>
      </c>
      <c r="G127" s="820" t="s">
        <v>658</v>
      </c>
      <c r="H127" s="411">
        <f>H128+H129+H130+H131</f>
        <v>925190</v>
      </c>
      <c r="I127" s="411">
        <f>I128+I129+I130+I131</f>
        <v>179371</v>
      </c>
      <c r="J127" s="817" t="s">
        <v>5</v>
      </c>
      <c r="K127" s="816">
        <f t="shared" ref="K127" si="214">L127+O127</f>
        <v>745819</v>
      </c>
      <c r="L127" s="816">
        <f t="shared" ref="L127" si="215">M127+N127</f>
        <v>645411</v>
      </c>
      <c r="M127" s="814">
        <v>83535</v>
      </c>
      <c r="N127" s="814">
        <v>561876</v>
      </c>
      <c r="O127" s="816">
        <f t="shared" ref="O127" si="216">P127+S127+V127</f>
        <v>100408</v>
      </c>
      <c r="P127" s="816">
        <f t="shared" ref="P127" si="217">Q127+R127</f>
        <v>0</v>
      </c>
      <c r="Q127" s="814">
        <v>0</v>
      </c>
      <c r="R127" s="814">
        <v>0</v>
      </c>
      <c r="S127" s="816">
        <f t="shared" ref="S127" si="218">T127+U127</f>
        <v>100408</v>
      </c>
      <c r="T127" s="814">
        <v>14741</v>
      </c>
      <c r="U127" s="814">
        <v>85667</v>
      </c>
      <c r="V127" s="816">
        <f t="shared" ref="V127" si="219">W127+X127</f>
        <v>0</v>
      </c>
      <c r="W127" s="814">
        <v>0</v>
      </c>
      <c r="X127" s="814">
        <v>0</v>
      </c>
    </row>
    <row r="128" spans="1:24" s="412" customFormat="1" ht="16.5" hidden="1" customHeight="1">
      <c r="A128" s="863"/>
      <c r="B128" s="820"/>
      <c r="C128" s="822"/>
      <c r="D128" s="870"/>
      <c r="E128" s="874"/>
      <c r="F128" s="819"/>
      <c r="G128" s="820"/>
      <c r="H128" s="411">
        <v>786411</v>
      </c>
      <c r="I128" s="411">
        <v>141000</v>
      </c>
      <c r="J128" s="818"/>
      <c r="K128" s="816"/>
      <c r="L128" s="816"/>
      <c r="M128" s="814"/>
      <c r="N128" s="814"/>
      <c r="O128" s="816"/>
      <c r="P128" s="816"/>
      <c r="Q128" s="814"/>
      <c r="R128" s="814"/>
      <c r="S128" s="816"/>
      <c r="T128" s="814"/>
      <c r="U128" s="814"/>
      <c r="V128" s="816"/>
      <c r="W128" s="814"/>
      <c r="X128" s="814"/>
    </row>
    <row r="129" spans="1:24" s="412" customFormat="1" ht="16.5" hidden="1" customHeight="1">
      <c r="A129" s="863"/>
      <c r="B129" s="820"/>
      <c r="C129" s="822"/>
      <c r="D129" s="870"/>
      <c r="E129" s="874"/>
      <c r="F129" s="819"/>
      <c r="G129" s="820"/>
      <c r="H129" s="411">
        <v>0</v>
      </c>
      <c r="I129" s="411">
        <v>0</v>
      </c>
      <c r="J129" s="411" t="s">
        <v>6</v>
      </c>
      <c r="K129" s="413">
        <f t="shared" ref="K129" si="220">L129+O129</f>
        <v>0</v>
      </c>
      <c r="L129" s="413">
        <f t="shared" ref="L129" si="221">M129+N129</f>
        <v>0</v>
      </c>
      <c r="M129" s="414">
        <v>0</v>
      </c>
      <c r="N129" s="414">
        <v>0</v>
      </c>
      <c r="O129" s="413">
        <f t="shared" ref="O129" si="222">P129+S129+V129</f>
        <v>0</v>
      </c>
      <c r="P129" s="413">
        <f t="shared" ref="P129" si="223">Q129+R129</f>
        <v>0</v>
      </c>
      <c r="Q129" s="414">
        <v>0</v>
      </c>
      <c r="R129" s="414">
        <v>0</v>
      </c>
      <c r="S129" s="413">
        <f t="shared" ref="S129" si="224">T129+U129</f>
        <v>0</v>
      </c>
      <c r="T129" s="414">
        <v>0</v>
      </c>
      <c r="U129" s="414">
        <v>0</v>
      </c>
      <c r="V129" s="413">
        <f t="shared" ref="V129" si="225">W129+X129</f>
        <v>0</v>
      </c>
      <c r="W129" s="414">
        <v>0</v>
      </c>
      <c r="X129" s="414">
        <v>0</v>
      </c>
    </row>
    <row r="130" spans="1:24" s="412" customFormat="1" ht="16.5" hidden="1" customHeight="1">
      <c r="A130" s="863"/>
      <c r="B130" s="820"/>
      <c r="C130" s="822"/>
      <c r="D130" s="870"/>
      <c r="E130" s="874"/>
      <c r="F130" s="819"/>
      <c r="G130" s="820"/>
      <c r="H130" s="411">
        <v>138779</v>
      </c>
      <c r="I130" s="411">
        <v>38371</v>
      </c>
      <c r="J130" s="817" t="s">
        <v>7</v>
      </c>
      <c r="K130" s="816">
        <f t="shared" ref="K130:X130" si="226">K127+K129</f>
        <v>745819</v>
      </c>
      <c r="L130" s="816">
        <f t="shared" si="226"/>
        <v>645411</v>
      </c>
      <c r="M130" s="814">
        <f t="shared" si="226"/>
        <v>83535</v>
      </c>
      <c r="N130" s="814">
        <f t="shared" si="226"/>
        <v>561876</v>
      </c>
      <c r="O130" s="816">
        <f t="shared" si="226"/>
        <v>100408</v>
      </c>
      <c r="P130" s="816">
        <f t="shared" si="226"/>
        <v>0</v>
      </c>
      <c r="Q130" s="814">
        <f t="shared" si="226"/>
        <v>0</v>
      </c>
      <c r="R130" s="814">
        <f t="shared" si="226"/>
        <v>0</v>
      </c>
      <c r="S130" s="816">
        <f t="shared" si="226"/>
        <v>100408</v>
      </c>
      <c r="T130" s="814">
        <f t="shared" si="226"/>
        <v>14741</v>
      </c>
      <c r="U130" s="814">
        <f t="shared" si="226"/>
        <v>85667</v>
      </c>
      <c r="V130" s="816">
        <f t="shared" si="226"/>
        <v>0</v>
      </c>
      <c r="W130" s="814">
        <f t="shared" si="226"/>
        <v>0</v>
      </c>
      <c r="X130" s="814">
        <f t="shared" si="226"/>
        <v>0</v>
      </c>
    </row>
    <row r="131" spans="1:24" s="412" customFormat="1" ht="16.5" hidden="1" customHeight="1">
      <c r="A131" s="863"/>
      <c r="B131" s="820"/>
      <c r="C131" s="822"/>
      <c r="D131" s="870"/>
      <c r="E131" s="874"/>
      <c r="F131" s="819"/>
      <c r="G131" s="820"/>
      <c r="H131" s="411">
        <v>0</v>
      </c>
      <c r="I131" s="411">
        <v>0</v>
      </c>
      <c r="J131" s="818"/>
      <c r="K131" s="816"/>
      <c r="L131" s="816"/>
      <c r="M131" s="814"/>
      <c r="N131" s="814"/>
      <c r="O131" s="816"/>
      <c r="P131" s="816"/>
      <c r="Q131" s="814"/>
      <c r="R131" s="814"/>
      <c r="S131" s="816"/>
      <c r="T131" s="814"/>
      <c r="U131" s="814"/>
      <c r="V131" s="816"/>
      <c r="W131" s="814"/>
      <c r="X131" s="814"/>
    </row>
    <row r="132" spans="1:24" s="412" customFormat="1" ht="16.5" customHeight="1">
      <c r="A132" s="859">
        <v>6</v>
      </c>
      <c r="B132" s="820" t="s">
        <v>680</v>
      </c>
      <c r="C132" s="822" t="s">
        <v>681</v>
      </c>
      <c r="D132" s="870" t="s">
        <v>687</v>
      </c>
      <c r="E132" s="874" t="s">
        <v>686</v>
      </c>
      <c r="F132" s="819" t="s">
        <v>684</v>
      </c>
      <c r="G132" s="820" t="s">
        <v>688</v>
      </c>
      <c r="H132" s="411">
        <f>H133+H134+H135+H136</f>
        <v>4804563</v>
      </c>
      <c r="I132" s="411">
        <f>I133+I134+I135+I136</f>
        <v>2347462</v>
      </c>
      <c r="J132" s="817" t="s">
        <v>5</v>
      </c>
      <c r="K132" s="816">
        <f t="shared" ref="K132" si="227">L132+O132</f>
        <v>2145601</v>
      </c>
      <c r="L132" s="816">
        <f t="shared" ref="L132" si="228">M132+N132</f>
        <v>1823762</v>
      </c>
      <c r="M132" s="814">
        <v>240410</v>
      </c>
      <c r="N132" s="814">
        <v>1583352</v>
      </c>
      <c r="O132" s="816">
        <f t="shared" ref="O132" si="229">P132+S132+V132</f>
        <v>321839</v>
      </c>
      <c r="P132" s="816">
        <f t="shared" ref="P132" si="230">Q132+R132</f>
        <v>0</v>
      </c>
      <c r="Q132" s="814">
        <v>0</v>
      </c>
      <c r="R132" s="814">
        <v>0</v>
      </c>
      <c r="S132" s="816">
        <f t="shared" ref="S132" si="231">T132+U132</f>
        <v>321839</v>
      </c>
      <c r="T132" s="814">
        <v>42425</v>
      </c>
      <c r="U132" s="814">
        <v>279414</v>
      </c>
      <c r="V132" s="816">
        <f t="shared" ref="V132" si="232">W132+X132</f>
        <v>0</v>
      </c>
      <c r="W132" s="814">
        <v>0</v>
      </c>
      <c r="X132" s="814">
        <v>0</v>
      </c>
    </row>
    <row r="133" spans="1:24" s="412" customFormat="1" ht="16.5" customHeight="1">
      <c r="A133" s="859"/>
      <c r="B133" s="820"/>
      <c r="C133" s="822"/>
      <c r="D133" s="870"/>
      <c r="E133" s="874"/>
      <c r="F133" s="819"/>
      <c r="G133" s="820"/>
      <c r="H133" s="411">
        <v>3819105</v>
      </c>
      <c r="I133" s="411">
        <v>1995343</v>
      </c>
      <c r="J133" s="818"/>
      <c r="K133" s="816"/>
      <c r="L133" s="816"/>
      <c r="M133" s="814"/>
      <c r="N133" s="814"/>
      <c r="O133" s="816"/>
      <c r="P133" s="816"/>
      <c r="Q133" s="814"/>
      <c r="R133" s="814"/>
      <c r="S133" s="816"/>
      <c r="T133" s="814"/>
      <c r="U133" s="814"/>
      <c r="V133" s="816"/>
      <c r="W133" s="814"/>
      <c r="X133" s="814"/>
    </row>
    <row r="134" spans="1:24" s="412" customFormat="1" ht="16.5" customHeight="1">
      <c r="A134" s="859"/>
      <c r="B134" s="820"/>
      <c r="C134" s="822"/>
      <c r="D134" s="870"/>
      <c r="E134" s="874"/>
      <c r="F134" s="819"/>
      <c r="G134" s="820"/>
      <c r="H134" s="411">
        <v>0</v>
      </c>
      <c r="I134" s="411">
        <v>0</v>
      </c>
      <c r="J134" s="411" t="s">
        <v>6</v>
      </c>
      <c r="K134" s="413">
        <f t="shared" ref="K134" si="233">L134+O134</f>
        <v>311500</v>
      </c>
      <c r="L134" s="413">
        <f t="shared" ref="L134" si="234">M134+N134</f>
        <v>0</v>
      </c>
      <c r="M134" s="414">
        <v>0</v>
      </c>
      <c r="N134" s="414">
        <v>0</v>
      </c>
      <c r="O134" s="413">
        <f t="shared" ref="O134" si="235">P134+S134+V134</f>
        <v>311500</v>
      </c>
      <c r="P134" s="413">
        <f t="shared" ref="P134" si="236">Q134+R134</f>
        <v>0</v>
      </c>
      <c r="Q134" s="414">
        <v>0</v>
      </c>
      <c r="R134" s="414">
        <v>0</v>
      </c>
      <c r="S134" s="413">
        <f t="shared" ref="S134" si="237">T134+U134</f>
        <v>151500</v>
      </c>
      <c r="T134" s="414">
        <v>44000</v>
      </c>
      <c r="U134" s="414">
        <v>107500</v>
      </c>
      <c r="V134" s="413">
        <f t="shared" ref="V134" si="238">W134+X134</f>
        <v>160000</v>
      </c>
      <c r="W134" s="414">
        <v>0</v>
      </c>
      <c r="X134" s="414">
        <v>160000</v>
      </c>
    </row>
    <row r="135" spans="1:24" s="412" customFormat="1" ht="16.5" customHeight="1">
      <c r="A135" s="859"/>
      <c r="B135" s="820"/>
      <c r="C135" s="822"/>
      <c r="D135" s="870"/>
      <c r="E135" s="874"/>
      <c r="F135" s="819"/>
      <c r="G135" s="820"/>
      <c r="H135" s="411">
        <v>522098</v>
      </c>
      <c r="I135" s="411">
        <v>48759</v>
      </c>
      <c r="J135" s="817" t="s">
        <v>7</v>
      </c>
      <c r="K135" s="816">
        <f t="shared" ref="K135:X135" si="239">K132+K134</f>
        <v>2457101</v>
      </c>
      <c r="L135" s="816">
        <f t="shared" si="239"/>
        <v>1823762</v>
      </c>
      <c r="M135" s="814">
        <f t="shared" si="239"/>
        <v>240410</v>
      </c>
      <c r="N135" s="814">
        <f t="shared" si="239"/>
        <v>1583352</v>
      </c>
      <c r="O135" s="816">
        <f t="shared" si="239"/>
        <v>633339</v>
      </c>
      <c r="P135" s="816">
        <f t="shared" si="239"/>
        <v>0</v>
      </c>
      <c r="Q135" s="814">
        <f t="shared" si="239"/>
        <v>0</v>
      </c>
      <c r="R135" s="814">
        <f t="shared" si="239"/>
        <v>0</v>
      </c>
      <c r="S135" s="816">
        <f t="shared" si="239"/>
        <v>473339</v>
      </c>
      <c r="T135" s="814">
        <f t="shared" si="239"/>
        <v>86425</v>
      </c>
      <c r="U135" s="814">
        <f t="shared" si="239"/>
        <v>386914</v>
      </c>
      <c r="V135" s="816">
        <f t="shared" si="239"/>
        <v>160000</v>
      </c>
      <c r="W135" s="814">
        <f t="shared" si="239"/>
        <v>0</v>
      </c>
      <c r="X135" s="814">
        <f t="shared" si="239"/>
        <v>160000</v>
      </c>
    </row>
    <row r="136" spans="1:24" s="412" customFormat="1" ht="16.5" customHeight="1">
      <c r="A136" s="859"/>
      <c r="B136" s="820"/>
      <c r="C136" s="822"/>
      <c r="D136" s="870"/>
      <c r="E136" s="874"/>
      <c r="F136" s="819"/>
      <c r="G136" s="820"/>
      <c r="H136" s="411">
        <v>463360</v>
      </c>
      <c r="I136" s="411">
        <v>303360</v>
      </c>
      <c r="J136" s="818"/>
      <c r="K136" s="816"/>
      <c r="L136" s="816"/>
      <c r="M136" s="814"/>
      <c r="N136" s="814"/>
      <c r="O136" s="816"/>
      <c r="P136" s="816"/>
      <c r="Q136" s="814"/>
      <c r="R136" s="814"/>
      <c r="S136" s="816"/>
      <c r="T136" s="814"/>
      <c r="U136" s="814"/>
      <c r="V136" s="816"/>
      <c r="W136" s="814"/>
      <c r="X136" s="814"/>
    </row>
    <row r="137" spans="1:24" s="412" customFormat="1" ht="16.5" customHeight="1">
      <c r="A137" s="859">
        <v>7</v>
      </c>
      <c r="B137" s="821" t="s">
        <v>558</v>
      </c>
      <c r="C137" s="822" t="s">
        <v>689</v>
      </c>
      <c r="D137" s="823" t="s">
        <v>690</v>
      </c>
      <c r="E137" s="825" t="s">
        <v>656</v>
      </c>
      <c r="F137" s="819" t="s">
        <v>657</v>
      </c>
      <c r="G137" s="819" t="s">
        <v>662</v>
      </c>
      <c r="H137" s="411">
        <f>H139+H138+H140+H141</f>
        <v>177332795</v>
      </c>
      <c r="I137" s="411">
        <f>I139+I138+I140+I141</f>
        <v>32813990</v>
      </c>
      <c r="J137" s="817" t="s">
        <v>5</v>
      </c>
      <c r="K137" s="816">
        <f t="shared" ref="K137" si="240">L137+O137</f>
        <v>52282261</v>
      </c>
      <c r="L137" s="816">
        <f t="shared" ref="L137" si="241">M137+N137</f>
        <v>44390574</v>
      </c>
      <c r="M137" s="814">
        <v>129863</v>
      </c>
      <c r="N137" s="814">
        <v>44260711</v>
      </c>
      <c r="O137" s="816">
        <f t="shared" ref="O137" si="242">P137+S137+V137</f>
        <v>7891687</v>
      </c>
      <c r="P137" s="816">
        <f t="shared" ref="P137" si="243">Q137+R137</f>
        <v>0</v>
      </c>
      <c r="Q137" s="814">
        <v>0</v>
      </c>
      <c r="R137" s="814">
        <v>0</v>
      </c>
      <c r="S137" s="816">
        <f t="shared" ref="S137" si="244">T137+U137</f>
        <v>3520231</v>
      </c>
      <c r="T137" s="814">
        <v>22917</v>
      </c>
      <c r="U137" s="814">
        <v>3497314</v>
      </c>
      <c r="V137" s="816">
        <f t="shared" ref="V137" si="245">W137+X137</f>
        <v>4371456</v>
      </c>
      <c r="W137" s="814">
        <v>0</v>
      </c>
      <c r="X137" s="814">
        <v>4371456</v>
      </c>
    </row>
    <row r="138" spans="1:24" s="412" customFormat="1" ht="16.5" customHeight="1">
      <c r="A138" s="859"/>
      <c r="B138" s="821"/>
      <c r="C138" s="822"/>
      <c r="D138" s="823"/>
      <c r="E138" s="826"/>
      <c r="F138" s="819"/>
      <c r="G138" s="819"/>
      <c r="H138" s="411">
        <v>139899604</v>
      </c>
      <c r="I138" s="411">
        <v>24506434</v>
      </c>
      <c r="J138" s="818"/>
      <c r="K138" s="816"/>
      <c r="L138" s="816"/>
      <c r="M138" s="814"/>
      <c r="N138" s="814"/>
      <c r="O138" s="816"/>
      <c r="P138" s="816"/>
      <c r="Q138" s="814"/>
      <c r="R138" s="814"/>
      <c r="S138" s="816"/>
      <c r="T138" s="814"/>
      <c r="U138" s="814"/>
      <c r="V138" s="816"/>
      <c r="W138" s="814"/>
      <c r="X138" s="814"/>
    </row>
    <row r="139" spans="1:24" s="412" customFormat="1" ht="16.5" customHeight="1">
      <c r="A139" s="859"/>
      <c r="B139" s="821"/>
      <c r="C139" s="822"/>
      <c r="D139" s="823"/>
      <c r="E139" s="826"/>
      <c r="F139" s="819"/>
      <c r="G139" s="819"/>
      <c r="H139" s="411">
        <v>0</v>
      </c>
      <c r="I139" s="411">
        <v>0</v>
      </c>
      <c r="J139" s="411" t="s">
        <v>6</v>
      </c>
      <c r="K139" s="413">
        <f t="shared" ref="K139" si="246">L139+O139</f>
        <v>57720</v>
      </c>
      <c r="L139" s="413">
        <f t="shared" ref="L139" si="247">M139+N139</f>
        <v>22471</v>
      </c>
      <c r="M139" s="414">
        <v>4236</v>
      </c>
      <c r="N139" s="414">
        <v>18235</v>
      </c>
      <c r="O139" s="413">
        <f t="shared" ref="O139" si="248">P139+S139+V139</f>
        <v>35249</v>
      </c>
      <c r="P139" s="413">
        <f t="shared" ref="P139" si="249">Q139+R139</f>
        <v>0</v>
      </c>
      <c r="Q139" s="414">
        <v>0</v>
      </c>
      <c r="R139" s="414">
        <v>0</v>
      </c>
      <c r="S139" s="413">
        <f t="shared" ref="S139" si="250">T139+U139</f>
        <v>35249</v>
      </c>
      <c r="T139" s="414">
        <v>747</v>
      </c>
      <c r="U139" s="414">
        <v>34502</v>
      </c>
      <c r="V139" s="413">
        <f t="shared" ref="V139" si="251">W139+X139</f>
        <v>0</v>
      </c>
      <c r="W139" s="414">
        <v>0</v>
      </c>
      <c r="X139" s="414">
        <v>0</v>
      </c>
    </row>
    <row r="140" spans="1:24" s="412" customFormat="1" ht="16.5" customHeight="1">
      <c r="A140" s="859"/>
      <c r="B140" s="821"/>
      <c r="C140" s="822"/>
      <c r="D140" s="823"/>
      <c r="E140" s="826"/>
      <c r="F140" s="819"/>
      <c r="G140" s="819"/>
      <c r="H140" s="411">
        <v>33061735</v>
      </c>
      <c r="I140" s="411">
        <v>8307556</v>
      </c>
      <c r="J140" s="817" t="s">
        <v>7</v>
      </c>
      <c r="K140" s="816">
        <f t="shared" ref="K140:X140" si="252">K137+K139</f>
        <v>52339981</v>
      </c>
      <c r="L140" s="816">
        <f t="shared" si="252"/>
        <v>44413045</v>
      </c>
      <c r="M140" s="814">
        <f t="shared" si="252"/>
        <v>134099</v>
      </c>
      <c r="N140" s="814">
        <f t="shared" si="252"/>
        <v>44278946</v>
      </c>
      <c r="O140" s="816">
        <f t="shared" si="252"/>
        <v>7926936</v>
      </c>
      <c r="P140" s="816">
        <f t="shared" si="252"/>
        <v>0</v>
      </c>
      <c r="Q140" s="814">
        <f t="shared" si="252"/>
        <v>0</v>
      </c>
      <c r="R140" s="814">
        <f t="shared" si="252"/>
        <v>0</v>
      </c>
      <c r="S140" s="816">
        <f t="shared" si="252"/>
        <v>3555480</v>
      </c>
      <c r="T140" s="814">
        <f t="shared" si="252"/>
        <v>23664</v>
      </c>
      <c r="U140" s="814">
        <f t="shared" si="252"/>
        <v>3531816</v>
      </c>
      <c r="V140" s="816">
        <f t="shared" si="252"/>
        <v>4371456</v>
      </c>
      <c r="W140" s="814">
        <f t="shared" si="252"/>
        <v>0</v>
      </c>
      <c r="X140" s="814">
        <f t="shared" si="252"/>
        <v>4371456</v>
      </c>
    </row>
    <row r="141" spans="1:24" s="412" customFormat="1" ht="16.5" customHeight="1">
      <c r="A141" s="859"/>
      <c r="B141" s="821"/>
      <c r="C141" s="822"/>
      <c r="D141" s="823"/>
      <c r="E141" s="827"/>
      <c r="F141" s="819"/>
      <c r="G141" s="819"/>
      <c r="H141" s="411">
        <v>4371456</v>
      </c>
      <c r="I141" s="411">
        <v>0</v>
      </c>
      <c r="J141" s="818"/>
      <c r="K141" s="816"/>
      <c r="L141" s="816"/>
      <c r="M141" s="814"/>
      <c r="N141" s="814"/>
      <c r="O141" s="816"/>
      <c r="P141" s="816"/>
      <c r="Q141" s="814"/>
      <c r="R141" s="814"/>
      <c r="S141" s="816"/>
      <c r="T141" s="814"/>
      <c r="U141" s="814"/>
      <c r="V141" s="816"/>
      <c r="W141" s="814"/>
      <c r="X141" s="814"/>
    </row>
    <row r="142" spans="1:24" s="412" customFormat="1" ht="16.5" customHeight="1">
      <c r="A142" s="859">
        <v>8</v>
      </c>
      <c r="B142" s="821" t="s">
        <v>558</v>
      </c>
      <c r="C142" s="822" t="s">
        <v>689</v>
      </c>
      <c r="D142" s="823" t="s">
        <v>691</v>
      </c>
      <c r="E142" s="825" t="s">
        <v>656</v>
      </c>
      <c r="F142" s="819" t="s">
        <v>657</v>
      </c>
      <c r="G142" s="819" t="s">
        <v>662</v>
      </c>
      <c r="H142" s="411">
        <f>H144+H143+H145+H146</f>
        <v>99783581</v>
      </c>
      <c r="I142" s="411">
        <f>I144+I143+I145+I146</f>
        <v>28169687</v>
      </c>
      <c r="J142" s="817" t="s">
        <v>5</v>
      </c>
      <c r="K142" s="816">
        <f t="shared" ref="K142" si="253">L142+O142</f>
        <v>46876968</v>
      </c>
      <c r="L142" s="816">
        <f t="shared" ref="L142" si="254">M142+N142</f>
        <v>39309453</v>
      </c>
      <c r="M142" s="814">
        <v>13797</v>
      </c>
      <c r="N142" s="814">
        <v>39295656</v>
      </c>
      <c r="O142" s="816">
        <f t="shared" ref="O142" si="255">P142+S142+V142</f>
        <v>7567515</v>
      </c>
      <c r="P142" s="816">
        <f t="shared" ref="P142" si="256">Q142+R142</f>
        <v>0</v>
      </c>
      <c r="Q142" s="814">
        <v>0</v>
      </c>
      <c r="R142" s="814">
        <v>0</v>
      </c>
      <c r="S142" s="816">
        <f t="shared" ref="S142" si="257">T142+U142</f>
        <v>6375861</v>
      </c>
      <c r="T142" s="814">
        <v>2435</v>
      </c>
      <c r="U142" s="814">
        <v>6373426</v>
      </c>
      <c r="V142" s="816">
        <f t="shared" ref="V142" si="258">W142+X142</f>
        <v>1191654</v>
      </c>
      <c r="W142" s="814">
        <v>0</v>
      </c>
      <c r="X142" s="814">
        <v>1191654</v>
      </c>
    </row>
    <row r="143" spans="1:24" s="412" customFormat="1" ht="16.5" customHeight="1">
      <c r="A143" s="859"/>
      <c r="B143" s="821"/>
      <c r="C143" s="822"/>
      <c r="D143" s="823"/>
      <c r="E143" s="826"/>
      <c r="F143" s="819"/>
      <c r="G143" s="819"/>
      <c r="H143" s="411">
        <v>80288675</v>
      </c>
      <c r="I143" s="411">
        <v>18497631</v>
      </c>
      <c r="J143" s="818"/>
      <c r="K143" s="816"/>
      <c r="L143" s="816"/>
      <c r="M143" s="814"/>
      <c r="N143" s="814"/>
      <c r="O143" s="816"/>
      <c r="P143" s="816"/>
      <c r="Q143" s="814"/>
      <c r="R143" s="814"/>
      <c r="S143" s="816"/>
      <c r="T143" s="814"/>
      <c r="U143" s="814"/>
      <c r="V143" s="816"/>
      <c r="W143" s="814"/>
      <c r="X143" s="814"/>
    </row>
    <row r="144" spans="1:24" s="412" customFormat="1" ht="16.5" customHeight="1">
      <c r="A144" s="859"/>
      <c r="B144" s="821"/>
      <c r="C144" s="822"/>
      <c r="D144" s="823"/>
      <c r="E144" s="826"/>
      <c r="F144" s="819"/>
      <c r="G144" s="819"/>
      <c r="H144" s="411">
        <v>0</v>
      </c>
      <c r="I144" s="411">
        <v>0</v>
      </c>
      <c r="J144" s="411" t="s">
        <v>6</v>
      </c>
      <c r="K144" s="413">
        <f t="shared" ref="K144" si="259">L144+O144</f>
        <v>35574</v>
      </c>
      <c r="L144" s="413">
        <f t="shared" ref="L144" si="260">M144+N144</f>
        <v>30239</v>
      </c>
      <c r="M144" s="414">
        <v>30239</v>
      </c>
      <c r="N144" s="414">
        <v>0</v>
      </c>
      <c r="O144" s="413">
        <f t="shared" ref="O144" si="261">P144+S144+V144</f>
        <v>5335</v>
      </c>
      <c r="P144" s="413">
        <f t="shared" ref="P144" si="262">Q144+R144</f>
        <v>0</v>
      </c>
      <c r="Q144" s="414">
        <v>0</v>
      </c>
      <c r="R144" s="414">
        <v>0</v>
      </c>
      <c r="S144" s="413">
        <f t="shared" ref="S144" si="263">T144+U144</f>
        <v>5335</v>
      </c>
      <c r="T144" s="414">
        <v>5335</v>
      </c>
      <c r="U144" s="414">
        <v>0</v>
      </c>
      <c r="V144" s="413">
        <f t="shared" ref="V144" si="264">W144+X144</f>
        <v>0</v>
      </c>
      <c r="W144" s="414">
        <v>0</v>
      </c>
      <c r="X144" s="414">
        <v>0</v>
      </c>
    </row>
    <row r="145" spans="1:24" s="412" customFormat="1" ht="16.5" customHeight="1">
      <c r="A145" s="859"/>
      <c r="B145" s="821"/>
      <c r="C145" s="822"/>
      <c r="D145" s="823"/>
      <c r="E145" s="826"/>
      <c r="F145" s="819"/>
      <c r="G145" s="819"/>
      <c r="H145" s="411">
        <v>17713662</v>
      </c>
      <c r="I145" s="411">
        <v>9082466</v>
      </c>
      <c r="J145" s="817" t="s">
        <v>7</v>
      </c>
      <c r="K145" s="816">
        <f t="shared" ref="K145:X145" si="265">K142+K144</f>
        <v>46912542</v>
      </c>
      <c r="L145" s="816">
        <f t="shared" si="265"/>
        <v>39339692</v>
      </c>
      <c r="M145" s="814">
        <f t="shared" si="265"/>
        <v>44036</v>
      </c>
      <c r="N145" s="814">
        <f t="shared" si="265"/>
        <v>39295656</v>
      </c>
      <c r="O145" s="816">
        <f t="shared" si="265"/>
        <v>7572850</v>
      </c>
      <c r="P145" s="816">
        <f t="shared" si="265"/>
        <v>0</v>
      </c>
      <c r="Q145" s="814">
        <f t="shared" si="265"/>
        <v>0</v>
      </c>
      <c r="R145" s="814">
        <f t="shared" si="265"/>
        <v>0</v>
      </c>
      <c r="S145" s="816">
        <f t="shared" si="265"/>
        <v>6381196</v>
      </c>
      <c r="T145" s="814">
        <f t="shared" si="265"/>
        <v>7770</v>
      </c>
      <c r="U145" s="814">
        <f t="shared" si="265"/>
        <v>6373426</v>
      </c>
      <c r="V145" s="816">
        <f t="shared" si="265"/>
        <v>1191654</v>
      </c>
      <c r="W145" s="814">
        <f t="shared" si="265"/>
        <v>0</v>
      </c>
      <c r="X145" s="814">
        <f t="shared" si="265"/>
        <v>1191654</v>
      </c>
    </row>
    <row r="146" spans="1:24" s="412" customFormat="1" ht="16.5" customHeight="1">
      <c r="A146" s="859"/>
      <c r="B146" s="821"/>
      <c r="C146" s="822"/>
      <c r="D146" s="823"/>
      <c r="E146" s="827"/>
      <c r="F146" s="819"/>
      <c r="G146" s="819"/>
      <c r="H146" s="411">
        <v>1781244</v>
      </c>
      <c r="I146" s="411">
        <v>589590</v>
      </c>
      <c r="J146" s="818"/>
      <c r="K146" s="816"/>
      <c r="L146" s="816"/>
      <c r="M146" s="814"/>
      <c r="N146" s="814"/>
      <c r="O146" s="816"/>
      <c r="P146" s="816"/>
      <c r="Q146" s="814"/>
      <c r="R146" s="814"/>
      <c r="S146" s="816"/>
      <c r="T146" s="814"/>
      <c r="U146" s="814"/>
      <c r="V146" s="816"/>
      <c r="W146" s="814"/>
      <c r="X146" s="814"/>
    </row>
    <row r="147" spans="1:24" s="412" customFormat="1" ht="16.5" customHeight="1">
      <c r="A147" s="859">
        <v>9</v>
      </c>
      <c r="B147" s="820" t="s">
        <v>558</v>
      </c>
      <c r="C147" s="822" t="s">
        <v>689</v>
      </c>
      <c r="D147" s="870" t="s">
        <v>692</v>
      </c>
      <c r="E147" s="825" t="s">
        <v>656</v>
      </c>
      <c r="F147" s="819" t="s">
        <v>657</v>
      </c>
      <c r="G147" s="820" t="s">
        <v>693</v>
      </c>
      <c r="H147" s="411">
        <f>H148+H149+H150+H151</f>
        <v>61655450</v>
      </c>
      <c r="I147" s="411">
        <f>I148+I149+I150+I151</f>
        <v>32560136</v>
      </c>
      <c r="J147" s="817" t="s">
        <v>5</v>
      </c>
      <c r="K147" s="816">
        <f t="shared" ref="K147" si="266">L147+O147</f>
        <v>28807981</v>
      </c>
      <c r="L147" s="816">
        <f t="shared" ref="L147" si="267">M147+N147</f>
        <v>18371168</v>
      </c>
      <c r="M147" s="814">
        <v>0</v>
      </c>
      <c r="N147" s="814">
        <v>18371168</v>
      </c>
      <c r="O147" s="816">
        <f t="shared" ref="O147" si="268">P147+S147+V147</f>
        <v>10436813</v>
      </c>
      <c r="P147" s="816">
        <f t="shared" ref="P147" si="269">Q147+R147</f>
        <v>0</v>
      </c>
      <c r="Q147" s="814">
        <v>0</v>
      </c>
      <c r="R147" s="814">
        <v>0</v>
      </c>
      <c r="S147" s="816">
        <f t="shared" ref="S147" si="270">T147+U147</f>
        <v>10436813</v>
      </c>
      <c r="T147" s="814">
        <v>0</v>
      </c>
      <c r="U147" s="814">
        <v>10436813</v>
      </c>
      <c r="V147" s="816">
        <f t="shared" ref="V147" si="271">W147+X147</f>
        <v>0</v>
      </c>
      <c r="W147" s="814">
        <v>0</v>
      </c>
      <c r="X147" s="814">
        <v>0</v>
      </c>
    </row>
    <row r="148" spans="1:24" s="412" customFormat="1" ht="16.5" customHeight="1">
      <c r="A148" s="859"/>
      <c r="B148" s="820"/>
      <c r="C148" s="822"/>
      <c r="D148" s="870"/>
      <c r="E148" s="826"/>
      <c r="F148" s="819"/>
      <c r="G148" s="820"/>
      <c r="H148" s="411">
        <v>39739609</v>
      </c>
      <c r="I148" s="411">
        <v>21124207</v>
      </c>
      <c r="J148" s="818"/>
      <c r="K148" s="816"/>
      <c r="L148" s="816"/>
      <c r="M148" s="814"/>
      <c r="N148" s="814"/>
      <c r="O148" s="816"/>
      <c r="P148" s="816"/>
      <c r="Q148" s="814"/>
      <c r="R148" s="814"/>
      <c r="S148" s="816"/>
      <c r="T148" s="814"/>
      <c r="U148" s="814"/>
      <c r="V148" s="816"/>
      <c r="W148" s="814"/>
      <c r="X148" s="814"/>
    </row>
    <row r="149" spans="1:24" s="412" customFormat="1" ht="16.5" customHeight="1">
      <c r="A149" s="859"/>
      <c r="B149" s="820"/>
      <c r="C149" s="822"/>
      <c r="D149" s="870"/>
      <c r="E149" s="826"/>
      <c r="F149" s="819"/>
      <c r="G149" s="820"/>
      <c r="H149" s="411">
        <v>0</v>
      </c>
      <c r="I149" s="411">
        <v>0</v>
      </c>
      <c r="J149" s="411" t="s">
        <v>6</v>
      </c>
      <c r="K149" s="413">
        <f t="shared" ref="K149" si="272">L149+O149</f>
        <v>287333</v>
      </c>
      <c r="L149" s="413">
        <f t="shared" ref="L149" si="273">M149+N149</f>
        <v>244234</v>
      </c>
      <c r="M149" s="414">
        <v>32393</v>
      </c>
      <c r="N149" s="414">
        <v>211841</v>
      </c>
      <c r="O149" s="413">
        <f t="shared" ref="O149" si="274">P149+S149+V149</f>
        <v>43099</v>
      </c>
      <c r="P149" s="413">
        <f t="shared" ref="P149" si="275">Q149+R149</f>
        <v>0</v>
      </c>
      <c r="Q149" s="414">
        <v>0</v>
      </c>
      <c r="R149" s="414">
        <v>0</v>
      </c>
      <c r="S149" s="413">
        <f t="shared" ref="S149" si="276">T149+U149</f>
        <v>43099</v>
      </c>
      <c r="T149" s="414">
        <v>5716</v>
      </c>
      <c r="U149" s="414">
        <v>37383</v>
      </c>
      <c r="V149" s="413">
        <f t="shared" ref="V149" si="277">W149+X149</f>
        <v>0</v>
      </c>
      <c r="W149" s="414">
        <v>0</v>
      </c>
      <c r="X149" s="414">
        <v>0</v>
      </c>
    </row>
    <row r="150" spans="1:24" s="412" customFormat="1" ht="16.5" customHeight="1">
      <c r="A150" s="859"/>
      <c r="B150" s="820"/>
      <c r="C150" s="822"/>
      <c r="D150" s="870"/>
      <c r="E150" s="826"/>
      <c r="F150" s="819"/>
      <c r="G150" s="820"/>
      <c r="H150" s="411">
        <v>21915841</v>
      </c>
      <c r="I150" s="411">
        <v>11435929</v>
      </c>
      <c r="J150" s="817" t="s">
        <v>7</v>
      </c>
      <c r="K150" s="816">
        <f t="shared" ref="K150:X150" si="278">K147+K149</f>
        <v>29095314</v>
      </c>
      <c r="L150" s="816">
        <f t="shared" si="278"/>
        <v>18615402</v>
      </c>
      <c r="M150" s="814">
        <f t="shared" si="278"/>
        <v>32393</v>
      </c>
      <c r="N150" s="814">
        <f t="shared" si="278"/>
        <v>18583009</v>
      </c>
      <c r="O150" s="816">
        <f t="shared" si="278"/>
        <v>10479912</v>
      </c>
      <c r="P150" s="816">
        <f t="shared" si="278"/>
        <v>0</v>
      </c>
      <c r="Q150" s="814">
        <f t="shared" si="278"/>
        <v>0</v>
      </c>
      <c r="R150" s="814">
        <f t="shared" si="278"/>
        <v>0</v>
      </c>
      <c r="S150" s="816">
        <f t="shared" si="278"/>
        <v>10479912</v>
      </c>
      <c r="T150" s="814">
        <f t="shared" si="278"/>
        <v>5716</v>
      </c>
      <c r="U150" s="814">
        <f t="shared" si="278"/>
        <v>10474196</v>
      </c>
      <c r="V150" s="816">
        <f t="shared" si="278"/>
        <v>0</v>
      </c>
      <c r="W150" s="814">
        <f t="shared" si="278"/>
        <v>0</v>
      </c>
      <c r="X150" s="814">
        <f t="shared" si="278"/>
        <v>0</v>
      </c>
    </row>
    <row r="151" spans="1:24" s="412" customFormat="1" ht="16.5" customHeight="1">
      <c r="A151" s="859"/>
      <c r="B151" s="820"/>
      <c r="C151" s="822"/>
      <c r="D151" s="870"/>
      <c r="E151" s="827"/>
      <c r="F151" s="819"/>
      <c r="G151" s="820"/>
      <c r="H151" s="411">
        <v>0</v>
      </c>
      <c r="I151" s="411">
        <v>0</v>
      </c>
      <c r="J151" s="818"/>
      <c r="K151" s="816"/>
      <c r="L151" s="816"/>
      <c r="M151" s="814"/>
      <c r="N151" s="814"/>
      <c r="O151" s="816"/>
      <c r="P151" s="816"/>
      <c r="Q151" s="814"/>
      <c r="R151" s="814"/>
      <c r="S151" s="816"/>
      <c r="T151" s="814"/>
      <c r="U151" s="814"/>
      <c r="V151" s="816"/>
      <c r="W151" s="814"/>
      <c r="X151" s="814"/>
    </row>
    <row r="152" spans="1:24" s="412" customFormat="1" ht="16.5" hidden="1" customHeight="1">
      <c r="A152" s="863">
        <v>20</v>
      </c>
      <c r="B152" s="820" t="s">
        <v>558</v>
      </c>
      <c r="C152" s="822" t="s">
        <v>689</v>
      </c>
      <c r="D152" s="870" t="s">
        <v>694</v>
      </c>
      <c r="E152" s="825" t="s">
        <v>656</v>
      </c>
      <c r="F152" s="819" t="s">
        <v>657</v>
      </c>
      <c r="G152" s="820" t="s">
        <v>693</v>
      </c>
      <c r="H152" s="411">
        <f>H153+H154+H155+H156</f>
        <v>17405259</v>
      </c>
      <c r="I152" s="411">
        <f>I153+I154+I155+I156</f>
        <v>10527054</v>
      </c>
      <c r="J152" s="817" t="s">
        <v>5</v>
      </c>
      <c r="K152" s="816">
        <f t="shared" ref="K152" si="279">L152+O152</f>
        <v>6878205</v>
      </c>
      <c r="L152" s="816">
        <f t="shared" ref="L152" si="280">M152+N152</f>
        <v>5434894</v>
      </c>
      <c r="M152" s="814">
        <v>39014</v>
      </c>
      <c r="N152" s="814">
        <v>5395880</v>
      </c>
      <c r="O152" s="816">
        <f t="shared" ref="O152" si="281">P152+S152+V152</f>
        <v>1443311</v>
      </c>
      <c r="P152" s="816">
        <f t="shared" ref="P152" si="282">Q152+R152</f>
        <v>725151</v>
      </c>
      <c r="Q152" s="814">
        <v>5201</v>
      </c>
      <c r="R152" s="814">
        <v>719950</v>
      </c>
      <c r="S152" s="816">
        <f t="shared" ref="S152" si="283">T152+U152</f>
        <v>718160</v>
      </c>
      <c r="T152" s="814">
        <v>7803</v>
      </c>
      <c r="U152" s="814">
        <v>710357</v>
      </c>
      <c r="V152" s="816">
        <f t="shared" ref="V152" si="284">W152+X152</f>
        <v>0</v>
      </c>
      <c r="W152" s="814">
        <v>0</v>
      </c>
      <c r="X152" s="814">
        <v>0</v>
      </c>
    </row>
    <row r="153" spans="1:24" s="412" customFormat="1" ht="16.5" hidden="1" customHeight="1">
      <c r="A153" s="863"/>
      <c r="B153" s="820"/>
      <c r="C153" s="822"/>
      <c r="D153" s="870"/>
      <c r="E153" s="826"/>
      <c r="F153" s="819"/>
      <c r="G153" s="820"/>
      <c r="H153" s="411">
        <v>13053944</v>
      </c>
      <c r="I153" s="411">
        <v>7619050</v>
      </c>
      <c r="J153" s="818"/>
      <c r="K153" s="816"/>
      <c r="L153" s="816"/>
      <c r="M153" s="814"/>
      <c r="N153" s="814"/>
      <c r="O153" s="816"/>
      <c r="P153" s="816"/>
      <c r="Q153" s="814"/>
      <c r="R153" s="814"/>
      <c r="S153" s="816"/>
      <c r="T153" s="814"/>
      <c r="U153" s="814"/>
      <c r="V153" s="816"/>
      <c r="W153" s="814"/>
      <c r="X153" s="814"/>
    </row>
    <row r="154" spans="1:24" s="412" customFormat="1" ht="16.5" hidden="1" customHeight="1">
      <c r="A154" s="863"/>
      <c r="B154" s="820"/>
      <c r="C154" s="822"/>
      <c r="D154" s="870"/>
      <c r="E154" s="826"/>
      <c r="F154" s="819"/>
      <c r="G154" s="820"/>
      <c r="H154" s="411">
        <v>1740526</v>
      </c>
      <c r="I154" s="411">
        <v>1015375</v>
      </c>
      <c r="J154" s="411" t="s">
        <v>6</v>
      </c>
      <c r="K154" s="413">
        <f t="shared" ref="K154" si="285">L154+O154</f>
        <v>0</v>
      </c>
      <c r="L154" s="413">
        <f t="shared" ref="L154" si="286">M154+N154</f>
        <v>0</v>
      </c>
      <c r="M154" s="414">
        <v>0</v>
      </c>
      <c r="N154" s="414">
        <v>0</v>
      </c>
      <c r="O154" s="413">
        <f t="shared" ref="O154" si="287">P154+S154+V154</f>
        <v>0</v>
      </c>
      <c r="P154" s="413">
        <f t="shared" ref="P154" si="288">Q154+R154</f>
        <v>0</v>
      </c>
      <c r="Q154" s="414">
        <v>0</v>
      </c>
      <c r="R154" s="414">
        <v>0</v>
      </c>
      <c r="S154" s="413">
        <f t="shared" ref="S154" si="289">T154+U154</f>
        <v>0</v>
      </c>
      <c r="T154" s="414">
        <v>0</v>
      </c>
      <c r="U154" s="414">
        <v>0</v>
      </c>
      <c r="V154" s="413">
        <f t="shared" ref="V154" si="290">W154+X154</f>
        <v>0</v>
      </c>
      <c r="W154" s="414">
        <v>0</v>
      </c>
      <c r="X154" s="414">
        <v>0</v>
      </c>
    </row>
    <row r="155" spans="1:24" s="412" customFormat="1" ht="16.5" hidden="1" customHeight="1">
      <c r="A155" s="863"/>
      <c r="B155" s="820"/>
      <c r="C155" s="822"/>
      <c r="D155" s="870"/>
      <c r="E155" s="826"/>
      <c r="F155" s="819"/>
      <c r="G155" s="820"/>
      <c r="H155" s="411">
        <v>2610789</v>
      </c>
      <c r="I155" s="411">
        <v>1892629</v>
      </c>
      <c r="J155" s="817" t="s">
        <v>7</v>
      </c>
      <c r="K155" s="816">
        <f t="shared" ref="K155:X155" si="291">K152+K154</f>
        <v>6878205</v>
      </c>
      <c r="L155" s="816">
        <f t="shared" si="291"/>
        <v>5434894</v>
      </c>
      <c r="M155" s="814">
        <f t="shared" si="291"/>
        <v>39014</v>
      </c>
      <c r="N155" s="814">
        <f t="shared" si="291"/>
        <v>5395880</v>
      </c>
      <c r="O155" s="816">
        <f t="shared" si="291"/>
        <v>1443311</v>
      </c>
      <c r="P155" s="816">
        <f t="shared" si="291"/>
        <v>725151</v>
      </c>
      <c r="Q155" s="814">
        <f t="shared" si="291"/>
        <v>5201</v>
      </c>
      <c r="R155" s="814">
        <f t="shared" si="291"/>
        <v>719950</v>
      </c>
      <c r="S155" s="816">
        <f t="shared" si="291"/>
        <v>718160</v>
      </c>
      <c r="T155" s="814">
        <f t="shared" si="291"/>
        <v>7803</v>
      </c>
      <c r="U155" s="814">
        <f t="shared" si="291"/>
        <v>710357</v>
      </c>
      <c r="V155" s="816">
        <f t="shared" si="291"/>
        <v>0</v>
      </c>
      <c r="W155" s="814">
        <f t="shared" si="291"/>
        <v>0</v>
      </c>
      <c r="X155" s="814">
        <f t="shared" si="291"/>
        <v>0</v>
      </c>
    </row>
    <row r="156" spans="1:24" s="412" customFormat="1" ht="16.5" hidden="1" customHeight="1">
      <c r="A156" s="863"/>
      <c r="B156" s="820"/>
      <c r="C156" s="822"/>
      <c r="D156" s="870"/>
      <c r="E156" s="827"/>
      <c r="F156" s="819"/>
      <c r="G156" s="820"/>
      <c r="H156" s="411">
        <v>0</v>
      </c>
      <c r="I156" s="411">
        <v>0</v>
      </c>
      <c r="J156" s="818"/>
      <c r="K156" s="816"/>
      <c r="L156" s="816"/>
      <c r="M156" s="814"/>
      <c r="N156" s="814"/>
      <c r="O156" s="816"/>
      <c r="P156" s="816"/>
      <c r="Q156" s="814"/>
      <c r="R156" s="814"/>
      <c r="S156" s="816"/>
      <c r="T156" s="814"/>
      <c r="U156" s="814"/>
      <c r="V156" s="816"/>
      <c r="W156" s="814"/>
      <c r="X156" s="814"/>
    </row>
    <row r="157" spans="1:24" s="412" customFormat="1" ht="16.5" customHeight="1">
      <c r="A157" s="859">
        <v>10</v>
      </c>
      <c r="B157" s="820" t="s">
        <v>558</v>
      </c>
      <c r="C157" s="822" t="s">
        <v>689</v>
      </c>
      <c r="D157" s="870" t="s">
        <v>695</v>
      </c>
      <c r="E157" s="825" t="s">
        <v>656</v>
      </c>
      <c r="F157" s="819" t="s">
        <v>657</v>
      </c>
      <c r="G157" s="820" t="s">
        <v>666</v>
      </c>
      <c r="H157" s="411">
        <f>H158+H159+H160+H161</f>
        <v>52782231</v>
      </c>
      <c r="I157" s="411">
        <f>I158+I159+I160+I161</f>
        <v>125795</v>
      </c>
      <c r="J157" s="817" t="s">
        <v>5</v>
      </c>
      <c r="K157" s="816">
        <f t="shared" ref="K157" si="292">L157+O157</f>
        <v>5000000</v>
      </c>
      <c r="L157" s="816">
        <f t="shared" ref="L157" si="293">M157+N157</f>
        <v>4250000</v>
      </c>
      <c r="M157" s="814">
        <v>230570</v>
      </c>
      <c r="N157" s="814">
        <v>4019430</v>
      </c>
      <c r="O157" s="816">
        <f t="shared" ref="O157" si="294">P157+S157+V157</f>
        <v>750000</v>
      </c>
      <c r="P157" s="816">
        <f t="shared" ref="P157" si="295">Q157+R157</f>
        <v>500000</v>
      </c>
      <c r="Q157" s="814">
        <v>27125</v>
      </c>
      <c r="R157" s="814">
        <v>472875</v>
      </c>
      <c r="S157" s="816">
        <f t="shared" ref="S157" si="296">T157+U157</f>
        <v>250000</v>
      </c>
      <c r="T157" s="814">
        <v>13563</v>
      </c>
      <c r="U157" s="814">
        <v>236437</v>
      </c>
      <c r="V157" s="816">
        <f t="shared" ref="V157" si="297">W157+X157</f>
        <v>0</v>
      </c>
      <c r="W157" s="814">
        <v>0</v>
      </c>
      <c r="X157" s="814">
        <v>0</v>
      </c>
    </row>
    <row r="158" spans="1:24" s="412" customFormat="1" ht="16.5" customHeight="1">
      <c r="A158" s="859"/>
      <c r="B158" s="820"/>
      <c r="C158" s="822"/>
      <c r="D158" s="870"/>
      <c r="E158" s="826"/>
      <c r="F158" s="819"/>
      <c r="G158" s="820"/>
      <c r="H158" s="411">
        <v>44864896</v>
      </c>
      <c r="I158" s="411">
        <v>0</v>
      </c>
      <c r="J158" s="818"/>
      <c r="K158" s="816"/>
      <c r="L158" s="816"/>
      <c r="M158" s="814"/>
      <c r="N158" s="814"/>
      <c r="O158" s="816"/>
      <c r="P158" s="816"/>
      <c r="Q158" s="814"/>
      <c r="R158" s="814"/>
      <c r="S158" s="816"/>
      <c r="T158" s="814"/>
      <c r="U158" s="814"/>
      <c r="V158" s="816"/>
      <c r="W158" s="814"/>
      <c r="X158" s="814"/>
    </row>
    <row r="159" spans="1:24" s="412" customFormat="1" ht="16.5" customHeight="1">
      <c r="A159" s="859"/>
      <c r="B159" s="820"/>
      <c r="C159" s="822"/>
      <c r="D159" s="870"/>
      <c r="E159" s="826"/>
      <c r="F159" s="819"/>
      <c r="G159" s="820"/>
      <c r="H159" s="411">
        <v>5278223</v>
      </c>
      <c r="I159" s="411">
        <v>0</v>
      </c>
      <c r="J159" s="411" t="s">
        <v>6</v>
      </c>
      <c r="K159" s="413">
        <f t="shared" ref="K159" si="298">L159+O159</f>
        <v>0</v>
      </c>
      <c r="L159" s="413">
        <f t="shared" ref="L159" si="299">M159+N159</f>
        <v>0</v>
      </c>
      <c r="M159" s="414">
        <v>0</v>
      </c>
      <c r="N159" s="414">
        <v>0</v>
      </c>
      <c r="O159" s="413">
        <f t="shared" ref="O159" si="300">P159+S159+V159</f>
        <v>0</v>
      </c>
      <c r="P159" s="413">
        <f t="shared" ref="P159" si="301">Q159+R159</f>
        <v>0</v>
      </c>
      <c r="Q159" s="414">
        <v>0</v>
      </c>
      <c r="R159" s="414">
        <v>0</v>
      </c>
      <c r="S159" s="413">
        <f t="shared" ref="S159" si="302">T159+U159</f>
        <v>0</v>
      </c>
      <c r="T159" s="414">
        <v>0</v>
      </c>
      <c r="U159" s="414">
        <v>0</v>
      </c>
      <c r="V159" s="413">
        <f t="shared" ref="V159" si="303">W159+X159</f>
        <v>0</v>
      </c>
      <c r="W159" s="414">
        <v>0</v>
      </c>
      <c r="X159" s="414">
        <v>0</v>
      </c>
    </row>
    <row r="160" spans="1:24" s="412" customFormat="1" ht="16.5" customHeight="1">
      <c r="A160" s="859"/>
      <c r="B160" s="820"/>
      <c r="C160" s="822"/>
      <c r="D160" s="870"/>
      <c r="E160" s="826"/>
      <c r="F160" s="819"/>
      <c r="G160" s="820"/>
      <c r="H160" s="411">
        <v>2639112</v>
      </c>
      <c r="I160" s="411">
        <v>125795</v>
      </c>
      <c r="J160" s="817" t="s">
        <v>7</v>
      </c>
      <c r="K160" s="816">
        <f t="shared" ref="K160:X160" si="304">K157+K159</f>
        <v>5000000</v>
      </c>
      <c r="L160" s="816">
        <f t="shared" si="304"/>
        <v>4250000</v>
      </c>
      <c r="M160" s="814">
        <f t="shared" si="304"/>
        <v>230570</v>
      </c>
      <c r="N160" s="814">
        <f t="shared" si="304"/>
        <v>4019430</v>
      </c>
      <c r="O160" s="816">
        <f t="shared" si="304"/>
        <v>750000</v>
      </c>
      <c r="P160" s="816">
        <f t="shared" si="304"/>
        <v>500000</v>
      </c>
      <c r="Q160" s="814">
        <f t="shared" si="304"/>
        <v>27125</v>
      </c>
      <c r="R160" s="814">
        <f t="shared" si="304"/>
        <v>472875</v>
      </c>
      <c r="S160" s="816">
        <f t="shared" si="304"/>
        <v>250000</v>
      </c>
      <c r="T160" s="814">
        <f t="shared" si="304"/>
        <v>13563</v>
      </c>
      <c r="U160" s="814">
        <f t="shared" si="304"/>
        <v>236437</v>
      </c>
      <c r="V160" s="816">
        <f t="shared" si="304"/>
        <v>0</v>
      </c>
      <c r="W160" s="814">
        <f t="shared" si="304"/>
        <v>0</v>
      </c>
      <c r="X160" s="814">
        <f t="shared" si="304"/>
        <v>0</v>
      </c>
    </row>
    <row r="161" spans="1:24" s="412" customFormat="1" ht="16.5" customHeight="1">
      <c r="A161" s="859"/>
      <c r="B161" s="820"/>
      <c r="C161" s="822"/>
      <c r="D161" s="870"/>
      <c r="E161" s="827"/>
      <c r="F161" s="819"/>
      <c r="G161" s="820"/>
      <c r="H161" s="411">
        <v>0</v>
      </c>
      <c r="I161" s="411">
        <v>0</v>
      </c>
      <c r="J161" s="818"/>
      <c r="K161" s="816"/>
      <c r="L161" s="816"/>
      <c r="M161" s="814"/>
      <c r="N161" s="814"/>
      <c r="O161" s="816"/>
      <c r="P161" s="816"/>
      <c r="Q161" s="814"/>
      <c r="R161" s="814"/>
      <c r="S161" s="816"/>
      <c r="T161" s="814"/>
      <c r="U161" s="814"/>
      <c r="V161" s="816"/>
      <c r="W161" s="814"/>
      <c r="X161" s="814"/>
    </row>
    <row r="162" spans="1:24" s="412" customFormat="1" ht="16.5" hidden="1" customHeight="1">
      <c r="A162" s="871">
        <v>28</v>
      </c>
      <c r="B162" s="820" t="s">
        <v>558</v>
      </c>
      <c r="C162" s="822" t="s">
        <v>689</v>
      </c>
      <c r="D162" s="870" t="s">
        <v>696</v>
      </c>
      <c r="E162" s="825" t="s">
        <v>656</v>
      </c>
      <c r="F162" s="819" t="s">
        <v>657</v>
      </c>
      <c r="G162" s="820" t="s">
        <v>697</v>
      </c>
      <c r="H162" s="411">
        <f>H163+H164+H165+H166</f>
        <v>53698714</v>
      </c>
      <c r="I162" s="411">
        <f>I163+I164+I165+I166</f>
        <v>130741</v>
      </c>
      <c r="J162" s="817" t="s">
        <v>5</v>
      </c>
      <c r="K162" s="816">
        <f t="shared" ref="K162" si="305">L162+O162</f>
        <v>1500000</v>
      </c>
      <c r="L162" s="816">
        <f t="shared" ref="L162" si="306">M162+N162</f>
        <v>1091853</v>
      </c>
      <c r="M162" s="814">
        <v>159320</v>
      </c>
      <c r="N162" s="814">
        <v>932533</v>
      </c>
      <c r="O162" s="816">
        <f t="shared" ref="O162" si="307">P162+S162+V162</f>
        <v>408147</v>
      </c>
      <c r="P162" s="816">
        <f t="shared" ref="P162" si="308">Q162+R162</f>
        <v>128454</v>
      </c>
      <c r="Q162" s="814">
        <v>18744</v>
      </c>
      <c r="R162" s="814">
        <v>109710</v>
      </c>
      <c r="S162" s="816">
        <f t="shared" ref="S162" si="309">T162+U162</f>
        <v>279693</v>
      </c>
      <c r="T162" s="814">
        <v>40812</v>
      </c>
      <c r="U162" s="814">
        <v>238881</v>
      </c>
      <c r="V162" s="816">
        <f t="shared" ref="V162" si="310">W162+X162</f>
        <v>0</v>
      </c>
      <c r="W162" s="814">
        <v>0</v>
      </c>
      <c r="X162" s="814">
        <v>0</v>
      </c>
    </row>
    <row r="163" spans="1:24" s="412" customFormat="1" ht="16.5" hidden="1" customHeight="1">
      <c r="A163" s="871"/>
      <c r="B163" s="820"/>
      <c r="C163" s="822"/>
      <c r="D163" s="870"/>
      <c r="E163" s="826"/>
      <c r="F163" s="819"/>
      <c r="G163" s="820"/>
      <c r="H163" s="411">
        <v>39012394</v>
      </c>
      <c r="I163" s="411">
        <v>0</v>
      </c>
      <c r="J163" s="818"/>
      <c r="K163" s="816"/>
      <c r="L163" s="816"/>
      <c r="M163" s="814"/>
      <c r="N163" s="814"/>
      <c r="O163" s="816"/>
      <c r="P163" s="816"/>
      <c r="Q163" s="814"/>
      <c r="R163" s="814"/>
      <c r="S163" s="816"/>
      <c r="T163" s="814"/>
      <c r="U163" s="814"/>
      <c r="V163" s="816"/>
      <c r="W163" s="814"/>
      <c r="X163" s="814"/>
    </row>
    <row r="164" spans="1:24" s="412" customFormat="1" ht="16.5" hidden="1" customHeight="1">
      <c r="A164" s="871"/>
      <c r="B164" s="820"/>
      <c r="C164" s="822"/>
      <c r="D164" s="870"/>
      <c r="E164" s="826"/>
      <c r="F164" s="819"/>
      <c r="G164" s="820"/>
      <c r="H164" s="411">
        <v>4589693</v>
      </c>
      <c r="I164" s="411">
        <v>0</v>
      </c>
      <c r="J164" s="411" t="s">
        <v>6</v>
      </c>
      <c r="K164" s="413">
        <f t="shared" ref="K164" si="311">L164+O164</f>
        <v>0</v>
      </c>
      <c r="L164" s="413">
        <f t="shared" ref="L164" si="312">M164+N164</f>
        <v>0</v>
      </c>
      <c r="M164" s="414">
        <v>0</v>
      </c>
      <c r="N164" s="414">
        <v>0</v>
      </c>
      <c r="O164" s="413">
        <f t="shared" ref="O164" si="313">P164+S164+V164</f>
        <v>0</v>
      </c>
      <c r="P164" s="413">
        <f t="shared" ref="P164" si="314">Q164+R164</f>
        <v>0</v>
      </c>
      <c r="Q164" s="414">
        <v>0</v>
      </c>
      <c r="R164" s="414">
        <v>0</v>
      </c>
      <c r="S164" s="413">
        <f t="shared" ref="S164" si="315">T164+U164</f>
        <v>0</v>
      </c>
      <c r="T164" s="414">
        <v>0</v>
      </c>
      <c r="U164" s="414">
        <v>0</v>
      </c>
      <c r="V164" s="413">
        <f t="shared" ref="V164" si="316">W164+X164</f>
        <v>0</v>
      </c>
      <c r="W164" s="414">
        <v>0</v>
      </c>
      <c r="X164" s="414">
        <v>0</v>
      </c>
    </row>
    <row r="165" spans="1:24" s="412" customFormat="1" ht="16.5" hidden="1" customHeight="1">
      <c r="A165" s="871"/>
      <c r="B165" s="820"/>
      <c r="C165" s="822"/>
      <c r="D165" s="870"/>
      <c r="E165" s="826"/>
      <c r="F165" s="819"/>
      <c r="G165" s="820"/>
      <c r="H165" s="411">
        <v>10096627</v>
      </c>
      <c r="I165" s="411">
        <v>130741</v>
      </c>
      <c r="J165" s="817" t="s">
        <v>7</v>
      </c>
      <c r="K165" s="816">
        <f t="shared" ref="K165:X165" si="317">K162+K164</f>
        <v>1500000</v>
      </c>
      <c r="L165" s="816">
        <f t="shared" si="317"/>
        <v>1091853</v>
      </c>
      <c r="M165" s="814">
        <f t="shared" si="317"/>
        <v>159320</v>
      </c>
      <c r="N165" s="814">
        <f t="shared" si="317"/>
        <v>932533</v>
      </c>
      <c r="O165" s="816">
        <f t="shared" si="317"/>
        <v>408147</v>
      </c>
      <c r="P165" s="816">
        <f t="shared" si="317"/>
        <v>128454</v>
      </c>
      <c r="Q165" s="814">
        <f t="shared" si="317"/>
        <v>18744</v>
      </c>
      <c r="R165" s="814">
        <f t="shared" si="317"/>
        <v>109710</v>
      </c>
      <c r="S165" s="816">
        <f t="shared" si="317"/>
        <v>279693</v>
      </c>
      <c r="T165" s="814">
        <f t="shared" si="317"/>
        <v>40812</v>
      </c>
      <c r="U165" s="814">
        <f t="shared" si="317"/>
        <v>238881</v>
      </c>
      <c r="V165" s="816">
        <f t="shared" si="317"/>
        <v>0</v>
      </c>
      <c r="W165" s="814">
        <f t="shared" si="317"/>
        <v>0</v>
      </c>
      <c r="X165" s="814">
        <f t="shared" si="317"/>
        <v>0</v>
      </c>
    </row>
    <row r="166" spans="1:24" s="412" customFormat="1" ht="16.5" hidden="1" customHeight="1">
      <c r="A166" s="871"/>
      <c r="B166" s="820"/>
      <c r="C166" s="822"/>
      <c r="D166" s="870"/>
      <c r="E166" s="827"/>
      <c r="F166" s="819"/>
      <c r="G166" s="820"/>
      <c r="H166" s="411">
        <v>0</v>
      </c>
      <c r="I166" s="411">
        <v>0</v>
      </c>
      <c r="J166" s="818"/>
      <c r="K166" s="816"/>
      <c r="L166" s="816"/>
      <c r="M166" s="814"/>
      <c r="N166" s="814"/>
      <c r="O166" s="816"/>
      <c r="P166" s="816"/>
      <c r="Q166" s="814"/>
      <c r="R166" s="814"/>
      <c r="S166" s="816"/>
      <c r="T166" s="814"/>
      <c r="U166" s="814"/>
      <c r="V166" s="816"/>
      <c r="W166" s="814"/>
      <c r="X166" s="814"/>
    </row>
    <row r="167" spans="1:24" s="412" customFormat="1" ht="16.5" customHeight="1">
      <c r="A167" s="859">
        <v>11</v>
      </c>
      <c r="B167" s="820" t="s">
        <v>558</v>
      </c>
      <c r="C167" s="822" t="s">
        <v>689</v>
      </c>
      <c r="D167" s="870" t="s">
        <v>698</v>
      </c>
      <c r="E167" s="825" t="s">
        <v>656</v>
      </c>
      <c r="F167" s="819" t="s">
        <v>657</v>
      </c>
      <c r="G167" s="820" t="s">
        <v>693</v>
      </c>
      <c r="H167" s="411">
        <f>H168+H169+H170+H171</f>
        <v>20905199</v>
      </c>
      <c r="I167" s="411">
        <f>I168+I169+I170+I171</f>
        <v>5166538</v>
      </c>
      <c r="J167" s="817" t="s">
        <v>5</v>
      </c>
      <c r="K167" s="816">
        <f t="shared" ref="K167" si="318">L167+O167</f>
        <v>15363557</v>
      </c>
      <c r="L167" s="816">
        <f t="shared" ref="L167" si="319">M167+N167</f>
        <v>12052410</v>
      </c>
      <c r="M167" s="814">
        <v>56519</v>
      </c>
      <c r="N167" s="814">
        <v>11995891</v>
      </c>
      <c r="O167" s="816">
        <f t="shared" ref="O167" si="320">P167+S167+V167</f>
        <v>3311147</v>
      </c>
      <c r="P167" s="816">
        <f t="shared" ref="P167" si="321">Q167+R167</f>
        <v>0</v>
      </c>
      <c r="Q167" s="814">
        <v>0</v>
      </c>
      <c r="R167" s="814">
        <v>0</v>
      </c>
      <c r="S167" s="816">
        <f t="shared" ref="S167" si="322">T167+U167</f>
        <v>2198366</v>
      </c>
      <c r="T167" s="814">
        <v>9973</v>
      </c>
      <c r="U167" s="814">
        <v>2188393</v>
      </c>
      <c r="V167" s="816">
        <f t="shared" ref="V167" si="323">W167+X167</f>
        <v>1112781</v>
      </c>
      <c r="W167" s="814">
        <v>0</v>
      </c>
      <c r="X167" s="814">
        <v>1112781</v>
      </c>
    </row>
    <row r="168" spans="1:24" s="412" customFormat="1" ht="16.5" customHeight="1">
      <c r="A168" s="859"/>
      <c r="B168" s="820"/>
      <c r="C168" s="822"/>
      <c r="D168" s="870"/>
      <c r="E168" s="826"/>
      <c r="F168" s="819"/>
      <c r="G168" s="820"/>
      <c r="H168" s="411">
        <v>15751934</v>
      </c>
      <c r="I168" s="411">
        <v>3690766</v>
      </c>
      <c r="J168" s="818"/>
      <c r="K168" s="816"/>
      <c r="L168" s="816"/>
      <c r="M168" s="814"/>
      <c r="N168" s="814"/>
      <c r="O168" s="816"/>
      <c r="P168" s="816"/>
      <c r="Q168" s="814"/>
      <c r="R168" s="814"/>
      <c r="S168" s="816"/>
      <c r="T168" s="814"/>
      <c r="U168" s="814"/>
      <c r="V168" s="816"/>
      <c r="W168" s="814"/>
      <c r="X168" s="814"/>
    </row>
    <row r="169" spans="1:24" s="412" customFormat="1" ht="16.5" customHeight="1">
      <c r="A169" s="859"/>
      <c r="B169" s="820"/>
      <c r="C169" s="822"/>
      <c r="D169" s="870"/>
      <c r="E169" s="826"/>
      <c r="F169" s="819"/>
      <c r="G169" s="820"/>
      <c r="H169" s="411">
        <v>0</v>
      </c>
      <c r="I169" s="411">
        <v>0</v>
      </c>
      <c r="J169" s="411" t="s">
        <v>6</v>
      </c>
      <c r="K169" s="413">
        <f t="shared" ref="K169" si="324">L169+O169</f>
        <v>375104</v>
      </c>
      <c r="L169" s="413">
        <f t="shared" ref="L169" si="325">M169+N169</f>
        <v>8758</v>
      </c>
      <c r="M169" s="414">
        <v>8758</v>
      </c>
      <c r="N169" s="414">
        <v>0</v>
      </c>
      <c r="O169" s="413">
        <f t="shared" ref="O169" si="326">P169+S169+V169</f>
        <v>366346</v>
      </c>
      <c r="P169" s="413">
        <f t="shared" ref="P169" si="327">Q169+R169</f>
        <v>0</v>
      </c>
      <c r="Q169" s="414">
        <v>0</v>
      </c>
      <c r="R169" s="414">
        <v>0</v>
      </c>
      <c r="S169" s="413">
        <f t="shared" ref="S169" si="328">T169+U169</f>
        <v>294346</v>
      </c>
      <c r="T169" s="414">
        <v>1546</v>
      </c>
      <c r="U169" s="414">
        <v>292800</v>
      </c>
      <c r="V169" s="413">
        <f t="shared" ref="V169" si="329">W169+X169</f>
        <v>72000</v>
      </c>
      <c r="W169" s="414">
        <v>0</v>
      </c>
      <c r="X169" s="414">
        <v>72000</v>
      </c>
    </row>
    <row r="170" spans="1:24" s="412" customFormat="1" ht="16.5" customHeight="1">
      <c r="A170" s="859"/>
      <c r="B170" s="820"/>
      <c r="C170" s="822"/>
      <c r="D170" s="870"/>
      <c r="E170" s="826"/>
      <c r="F170" s="819"/>
      <c r="G170" s="820"/>
      <c r="H170" s="411">
        <v>3681615</v>
      </c>
      <c r="I170" s="411">
        <v>1188903</v>
      </c>
      <c r="J170" s="817" t="s">
        <v>7</v>
      </c>
      <c r="K170" s="816">
        <f t="shared" ref="K170:X170" si="330">K167+K169</f>
        <v>15738661</v>
      </c>
      <c r="L170" s="816">
        <f t="shared" si="330"/>
        <v>12061168</v>
      </c>
      <c r="M170" s="814">
        <f t="shared" si="330"/>
        <v>65277</v>
      </c>
      <c r="N170" s="814">
        <f t="shared" si="330"/>
        <v>11995891</v>
      </c>
      <c r="O170" s="816">
        <f t="shared" si="330"/>
        <v>3677493</v>
      </c>
      <c r="P170" s="816">
        <f t="shared" si="330"/>
        <v>0</v>
      </c>
      <c r="Q170" s="814">
        <f t="shared" si="330"/>
        <v>0</v>
      </c>
      <c r="R170" s="814">
        <f t="shared" si="330"/>
        <v>0</v>
      </c>
      <c r="S170" s="816">
        <f t="shared" si="330"/>
        <v>2492712</v>
      </c>
      <c r="T170" s="814">
        <f t="shared" si="330"/>
        <v>11519</v>
      </c>
      <c r="U170" s="814">
        <f t="shared" si="330"/>
        <v>2481193</v>
      </c>
      <c r="V170" s="816">
        <f t="shared" si="330"/>
        <v>1184781</v>
      </c>
      <c r="W170" s="814">
        <f t="shared" si="330"/>
        <v>0</v>
      </c>
      <c r="X170" s="814">
        <f t="shared" si="330"/>
        <v>1184781</v>
      </c>
    </row>
    <row r="171" spans="1:24" s="412" customFormat="1" ht="16.5" customHeight="1">
      <c r="A171" s="859"/>
      <c r="B171" s="820"/>
      <c r="C171" s="822"/>
      <c r="D171" s="870"/>
      <c r="E171" s="827"/>
      <c r="F171" s="819"/>
      <c r="G171" s="820"/>
      <c r="H171" s="411">
        <v>1471650</v>
      </c>
      <c r="I171" s="411">
        <v>286869</v>
      </c>
      <c r="J171" s="818"/>
      <c r="K171" s="816"/>
      <c r="L171" s="816"/>
      <c r="M171" s="814"/>
      <c r="N171" s="814"/>
      <c r="O171" s="816"/>
      <c r="P171" s="816"/>
      <c r="Q171" s="814"/>
      <c r="R171" s="814"/>
      <c r="S171" s="816"/>
      <c r="T171" s="814"/>
      <c r="U171" s="814"/>
      <c r="V171" s="816"/>
      <c r="W171" s="814"/>
      <c r="X171" s="814"/>
    </row>
    <row r="172" spans="1:24" s="412" customFormat="1" ht="16.5" customHeight="1">
      <c r="A172" s="859">
        <v>12</v>
      </c>
      <c r="B172" s="820" t="s">
        <v>558</v>
      </c>
      <c r="C172" s="822" t="s">
        <v>689</v>
      </c>
      <c r="D172" s="842" t="s">
        <v>699</v>
      </c>
      <c r="E172" s="844" t="s">
        <v>656</v>
      </c>
      <c r="F172" s="843" t="s">
        <v>657</v>
      </c>
      <c r="G172" s="843" t="s">
        <v>693</v>
      </c>
      <c r="H172" s="411">
        <f>H173+H174+H175+H176</f>
        <v>42255715</v>
      </c>
      <c r="I172" s="411">
        <f>I173+I174+I175+I176</f>
        <v>33653434</v>
      </c>
      <c r="J172" s="817" t="s">
        <v>5</v>
      </c>
      <c r="K172" s="816">
        <f t="shared" ref="K172" si="331">L172+O172</f>
        <v>13948248</v>
      </c>
      <c r="L172" s="816">
        <f t="shared" ref="L172" si="332">M172+N172</f>
        <v>13948248</v>
      </c>
      <c r="M172" s="814">
        <v>0</v>
      </c>
      <c r="N172" s="814">
        <v>13948248</v>
      </c>
      <c r="O172" s="816">
        <f t="shared" ref="O172" si="333">P172+S172+V172</f>
        <v>0</v>
      </c>
      <c r="P172" s="816">
        <f t="shared" ref="P172" si="334">Q172+R172</f>
        <v>0</v>
      </c>
      <c r="Q172" s="814">
        <v>0</v>
      </c>
      <c r="R172" s="814">
        <v>0</v>
      </c>
      <c r="S172" s="816">
        <f t="shared" ref="S172" si="335">T172+U172</f>
        <v>0</v>
      </c>
      <c r="T172" s="814">
        <v>0</v>
      </c>
      <c r="U172" s="814">
        <v>0</v>
      </c>
      <c r="V172" s="816">
        <f t="shared" ref="V172" si="336">W172+X172</f>
        <v>0</v>
      </c>
      <c r="W172" s="814">
        <v>0</v>
      </c>
      <c r="X172" s="814">
        <v>0</v>
      </c>
    </row>
    <row r="173" spans="1:24" s="412" customFormat="1" ht="16.5" customHeight="1">
      <c r="A173" s="859"/>
      <c r="B173" s="820"/>
      <c r="C173" s="822"/>
      <c r="D173" s="842"/>
      <c r="E173" s="845"/>
      <c r="F173" s="843"/>
      <c r="G173" s="843"/>
      <c r="H173" s="411">
        <v>35510831</v>
      </c>
      <c r="I173" s="411">
        <v>26908550</v>
      </c>
      <c r="J173" s="818"/>
      <c r="K173" s="816"/>
      <c r="L173" s="816"/>
      <c r="M173" s="814"/>
      <c r="N173" s="814"/>
      <c r="O173" s="816"/>
      <c r="P173" s="816"/>
      <c r="Q173" s="814"/>
      <c r="R173" s="814"/>
      <c r="S173" s="816"/>
      <c r="T173" s="814"/>
      <c r="U173" s="814"/>
      <c r="V173" s="816"/>
      <c r="W173" s="814"/>
      <c r="X173" s="814"/>
    </row>
    <row r="174" spans="1:24" s="412" customFormat="1" ht="16.5" customHeight="1">
      <c r="A174" s="859"/>
      <c r="B174" s="820"/>
      <c r="C174" s="822"/>
      <c r="D174" s="842"/>
      <c r="E174" s="845"/>
      <c r="F174" s="843"/>
      <c r="G174" s="843"/>
      <c r="H174" s="411">
        <v>0</v>
      </c>
      <c r="I174" s="411">
        <v>0</v>
      </c>
      <c r="J174" s="411" t="s">
        <v>6</v>
      </c>
      <c r="K174" s="413">
        <f t="shared" ref="K174" si="337">L174+O174</f>
        <v>-5345967</v>
      </c>
      <c r="L174" s="413">
        <f t="shared" ref="L174" si="338">M174+N174</f>
        <v>-5345967</v>
      </c>
      <c r="M174" s="414">
        <v>0</v>
      </c>
      <c r="N174" s="414">
        <v>-5345967</v>
      </c>
      <c r="O174" s="413">
        <f t="shared" ref="O174" si="339">P174+S174+V174</f>
        <v>0</v>
      </c>
      <c r="P174" s="413">
        <f t="shared" ref="P174" si="340">Q174+R174</f>
        <v>0</v>
      </c>
      <c r="Q174" s="414">
        <v>0</v>
      </c>
      <c r="R174" s="414">
        <v>0</v>
      </c>
      <c r="S174" s="413">
        <f t="shared" ref="S174" si="341">T174+U174</f>
        <v>0</v>
      </c>
      <c r="T174" s="414">
        <v>0</v>
      </c>
      <c r="U174" s="414">
        <v>0</v>
      </c>
      <c r="V174" s="413">
        <f t="shared" ref="V174" si="342">W174+X174</f>
        <v>0</v>
      </c>
      <c r="W174" s="414">
        <v>0</v>
      </c>
      <c r="X174" s="414">
        <v>0</v>
      </c>
    </row>
    <row r="175" spans="1:24" s="412" customFormat="1" ht="16.5" customHeight="1">
      <c r="A175" s="859"/>
      <c r="B175" s="820"/>
      <c r="C175" s="822"/>
      <c r="D175" s="842"/>
      <c r="E175" s="845"/>
      <c r="F175" s="843"/>
      <c r="G175" s="843"/>
      <c r="H175" s="411">
        <v>5733597</v>
      </c>
      <c r="I175" s="411">
        <v>5733597</v>
      </c>
      <c r="J175" s="817" t="s">
        <v>7</v>
      </c>
      <c r="K175" s="816">
        <f t="shared" ref="K175:X175" si="343">K172+K174</f>
        <v>8602281</v>
      </c>
      <c r="L175" s="816">
        <f t="shared" si="343"/>
        <v>8602281</v>
      </c>
      <c r="M175" s="814">
        <f t="shared" si="343"/>
        <v>0</v>
      </c>
      <c r="N175" s="814">
        <f t="shared" si="343"/>
        <v>8602281</v>
      </c>
      <c r="O175" s="816">
        <f t="shared" si="343"/>
        <v>0</v>
      </c>
      <c r="P175" s="816">
        <f t="shared" si="343"/>
        <v>0</v>
      </c>
      <c r="Q175" s="814">
        <f t="shared" si="343"/>
        <v>0</v>
      </c>
      <c r="R175" s="814">
        <f t="shared" si="343"/>
        <v>0</v>
      </c>
      <c r="S175" s="816">
        <f t="shared" si="343"/>
        <v>0</v>
      </c>
      <c r="T175" s="814">
        <f t="shared" si="343"/>
        <v>0</v>
      </c>
      <c r="U175" s="814">
        <f t="shared" si="343"/>
        <v>0</v>
      </c>
      <c r="V175" s="816">
        <f t="shared" si="343"/>
        <v>0</v>
      </c>
      <c r="W175" s="814">
        <f t="shared" si="343"/>
        <v>0</v>
      </c>
      <c r="X175" s="814">
        <f t="shared" si="343"/>
        <v>0</v>
      </c>
    </row>
    <row r="176" spans="1:24" s="412" customFormat="1" ht="16.5" customHeight="1">
      <c r="A176" s="859"/>
      <c r="B176" s="820"/>
      <c r="C176" s="822"/>
      <c r="D176" s="842"/>
      <c r="E176" s="846"/>
      <c r="F176" s="843"/>
      <c r="G176" s="843"/>
      <c r="H176" s="411">
        <v>1011287</v>
      </c>
      <c r="I176" s="411">
        <v>1011287</v>
      </c>
      <c r="J176" s="818"/>
      <c r="K176" s="816"/>
      <c r="L176" s="816"/>
      <c r="M176" s="814"/>
      <c r="N176" s="814"/>
      <c r="O176" s="816"/>
      <c r="P176" s="816"/>
      <c r="Q176" s="814"/>
      <c r="R176" s="814"/>
      <c r="S176" s="816"/>
      <c r="T176" s="814"/>
      <c r="U176" s="814"/>
      <c r="V176" s="816"/>
      <c r="W176" s="814"/>
      <c r="X176" s="814"/>
    </row>
    <row r="177" spans="1:24" s="412" customFormat="1" ht="16.5" hidden="1" customHeight="1">
      <c r="A177" s="863">
        <v>31</v>
      </c>
      <c r="B177" s="822" t="s">
        <v>700</v>
      </c>
      <c r="C177" s="822" t="s">
        <v>701</v>
      </c>
      <c r="D177" s="870" t="s">
        <v>702</v>
      </c>
      <c r="E177" s="819" t="s">
        <v>624</v>
      </c>
      <c r="F177" s="819" t="s">
        <v>703</v>
      </c>
      <c r="G177" s="820" t="s">
        <v>629</v>
      </c>
      <c r="H177" s="411">
        <f>H178+H179+H180+H181</f>
        <v>9999825</v>
      </c>
      <c r="I177" s="411">
        <f>I178+I179+I180+I181</f>
        <v>0</v>
      </c>
      <c r="J177" s="817" t="s">
        <v>5</v>
      </c>
      <c r="K177" s="816">
        <f t="shared" ref="K177" si="344">L177+O177</f>
        <v>999983</v>
      </c>
      <c r="L177" s="816">
        <f t="shared" ref="L177" si="345">M177+N177</f>
        <v>849985</v>
      </c>
      <c r="M177" s="814">
        <v>17033</v>
      </c>
      <c r="N177" s="814">
        <v>832952</v>
      </c>
      <c r="O177" s="816">
        <f t="shared" ref="O177" si="346">P177+S177+V177</f>
        <v>149998</v>
      </c>
      <c r="P177" s="816">
        <f t="shared" ref="P177" si="347">Q177+R177</f>
        <v>0</v>
      </c>
      <c r="Q177" s="814">
        <v>0</v>
      </c>
      <c r="R177" s="814">
        <v>0</v>
      </c>
      <c r="S177" s="816">
        <f t="shared" ref="S177" si="348">T177+U177</f>
        <v>149998</v>
      </c>
      <c r="T177" s="814">
        <v>3007</v>
      </c>
      <c r="U177" s="814">
        <v>146991</v>
      </c>
      <c r="V177" s="816">
        <f t="shared" ref="V177" si="349">W177+X177</f>
        <v>0</v>
      </c>
      <c r="W177" s="814">
        <v>0</v>
      </c>
      <c r="X177" s="814">
        <v>0</v>
      </c>
    </row>
    <row r="178" spans="1:24" s="412" customFormat="1" ht="16.5" hidden="1" customHeight="1">
      <c r="A178" s="863"/>
      <c r="B178" s="822"/>
      <c r="C178" s="822"/>
      <c r="D178" s="870"/>
      <c r="E178" s="819"/>
      <c r="F178" s="819"/>
      <c r="G178" s="820"/>
      <c r="H178" s="411">
        <v>8499850</v>
      </c>
      <c r="I178" s="411">
        <v>0</v>
      </c>
      <c r="J178" s="818"/>
      <c r="K178" s="816"/>
      <c r="L178" s="816"/>
      <c r="M178" s="814"/>
      <c r="N178" s="814"/>
      <c r="O178" s="816"/>
      <c r="P178" s="816"/>
      <c r="Q178" s="814"/>
      <c r="R178" s="814"/>
      <c r="S178" s="816"/>
      <c r="T178" s="814"/>
      <c r="U178" s="814"/>
      <c r="V178" s="816"/>
      <c r="W178" s="814"/>
      <c r="X178" s="814"/>
    </row>
    <row r="179" spans="1:24" s="412" customFormat="1" ht="16.5" hidden="1" customHeight="1">
      <c r="A179" s="863"/>
      <c r="B179" s="822"/>
      <c r="C179" s="822"/>
      <c r="D179" s="870"/>
      <c r="E179" s="819"/>
      <c r="F179" s="819"/>
      <c r="G179" s="820"/>
      <c r="H179" s="411">
        <v>0</v>
      </c>
      <c r="I179" s="411">
        <v>0</v>
      </c>
      <c r="J179" s="411" t="s">
        <v>6</v>
      </c>
      <c r="K179" s="413">
        <f t="shared" ref="K179" si="350">L179+O179</f>
        <v>0</v>
      </c>
      <c r="L179" s="413">
        <f t="shared" ref="L179" si="351">M179+N179</f>
        <v>0</v>
      </c>
      <c r="M179" s="414">
        <v>0</v>
      </c>
      <c r="N179" s="414">
        <v>0</v>
      </c>
      <c r="O179" s="413">
        <f t="shared" ref="O179" si="352">P179+S179+V179</f>
        <v>0</v>
      </c>
      <c r="P179" s="413">
        <f t="shared" ref="P179" si="353">Q179+R179</f>
        <v>0</v>
      </c>
      <c r="Q179" s="414">
        <v>0</v>
      </c>
      <c r="R179" s="414">
        <v>0</v>
      </c>
      <c r="S179" s="413">
        <f t="shared" ref="S179" si="354">T179+U179</f>
        <v>0</v>
      </c>
      <c r="T179" s="414">
        <v>0</v>
      </c>
      <c r="U179" s="414">
        <v>0</v>
      </c>
      <c r="V179" s="413">
        <f t="shared" ref="V179" si="355">W179+X179</f>
        <v>0</v>
      </c>
      <c r="W179" s="414">
        <v>0</v>
      </c>
      <c r="X179" s="414">
        <v>0</v>
      </c>
    </row>
    <row r="180" spans="1:24" s="412" customFormat="1" ht="16.5" hidden="1" customHeight="1">
      <c r="A180" s="863"/>
      <c r="B180" s="822"/>
      <c r="C180" s="822"/>
      <c r="D180" s="870"/>
      <c r="E180" s="819"/>
      <c r="F180" s="819"/>
      <c r="G180" s="820"/>
      <c r="H180" s="411">
        <v>1499975</v>
      </c>
      <c r="I180" s="411">
        <v>0</v>
      </c>
      <c r="J180" s="817" t="s">
        <v>7</v>
      </c>
      <c r="K180" s="816">
        <f t="shared" ref="K180:X180" si="356">K177+K179</f>
        <v>999983</v>
      </c>
      <c r="L180" s="816">
        <f t="shared" si="356"/>
        <v>849985</v>
      </c>
      <c r="M180" s="814">
        <f t="shared" si="356"/>
        <v>17033</v>
      </c>
      <c r="N180" s="814">
        <f t="shared" si="356"/>
        <v>832952</v>
      </c>
      <c r="O180" s="816">
        <f t="shared" si="356"/>
        <v>149998</v>
      </c>
      <c r="P180" s="816">
        <f t="shared" si="356"/>
        <v>0</v>
      </c>
      <c r="Q180" s="814">
        <f t="shared" si="356"/>
        <v>0</v>
      </c>
      <c r="R180" s="814">
        <f t="shared" si="356"/>
        <v>0</v>
      </c>
      <c r="S180" s="816">
        <f t="shared" si="356"/>
        <v>149998</v>
      </c>
      <c r="T180" s="814">
        <f t="shared" si="356"/>
        <v>3007</v>
      </c>
      <c r="U180" s="814">
        <f t="shared" si="356"/>
        <v>146991</v>
      </c>
      <c r="V180" s="816">
        <f t="shared" si="356"/>
        <v>0</v>
      </c>
      <c r="W180" s="814">
        <f t="shared" si="356"/>
        <v>0</v>
      </c>
      <c r="X180" s="814">
        <f t="shared" si="356"/>
        <v>0</v>
      </c>
    </row>
    <row r="181" spans="1:24" s="412" customFormat="1" ht="16.5" hidden="1" customHeight="1">
      <c r="A181" s="863"/>
      <c r="B181" s="822"/>
      <c r="C181" s="822"/>
      <c r="D181" s="870"/>
      <c r="E181" s="819"/>
      <c r="F181" s="819"/>
      <c r="G181" s="820"/>
      <c r="H181" s="411">
        <v>0</v>
      </c>
      <c r="I181" s="411">
        <v>0</v>
      </c>
      <c r="J181" s="818"/>
      <c r="K181" s="816"/>
      <c r="L181" s="816"/>
      <c r="M181" s="814"/>
      <c r="N181" s="814"/>
      <c r="O181" s="816"/>
      <c r="P181" s="816"/>
      <c r="Q181" s="814"/>
      <c r="R181" s="814"/>
      <c r="S181" s="816"/>
      <c r="T181" s="814"/>
      <c r="U181" s="814"/>
      <c r="V181" s="816"/>
      <c r="W181" s="814"/>
      <c r="X181" s="814"/>
    </row>
    <row r="182" spans="1:24" s="412" customFormat="1" ht="15.6" customHeight="1">
      <c r="A182" s="859">
        <v>13</v>
      </c>
      <c r="B182" s="834" t="s">
        <v>704</v>
      </c>
      <c r="C182" s="841" t="s">
        <v>705</v>
      </c>
      <c r="D182" s="872" t="s">
        <v>706</v>
      </c>
      <c r="E182" s="843" t="s">
        <v>624</v>
      </c>
      <c r="F182" s="843" t="s">
        <v>707</v>
      </c>
      <c r="G182" s="873" t="s">
        <v>639</v>
      </c>
      <c r="H182" s="411">
        <f>H183+H184+H185+H186</f>
        <v>75585611</v>
      </c>
      <c r="I182" s="411">
        <f>I183+I184+I185+I186</f>
        <v>11606615</v>
      </c>
      <c r="J182" s="817" t="s">
        <v>5</v>
      </c>
      <c r="K182" s="816">
        <f t="shared" ref="K182" si="357">L182+O182</f>
        <v>63978996</v>
      </c>
      <c r="L182" s="816">
        <f t="shared" ref="L182" si="358">M182+N182</f>
        <v>57581096</v>
      </c>
      <c r="M182" s="814">
        <v>8361590</v>
      </c>
      <c r="N182" s="814">
        <v>49219506</v>
      </c>
      <c r="O182" s="816">
        <f t="shared" ref="O182" si="359">P182+S182+V182</f>
        <v>6397900</v>
      </c>
      <c r="P182" s="816">
        <f t="shared" ref="P182" si="360">Q182+R182</f>
        <v>6397900</v>
      </c>
      <c r="Q182" s="814">
        <v>929065</v>
      </c>
      <c r="R182" s="814">
        <v>5468835</v>
      </c>
      <c r="S182" s="816">
        <f t="shared" ref="S182" si="361">T182+U182</f>
        <v>0</v>
      </c>
      <c r="T182" s="814">
        <v>0</v>
      </c>
      <c r="U182" s="814">
        <v>0</v>
      </c>
      <c r="V182" s="816">
        <f t="shared" ref="V182" si="362">W182+X182</f>
        <v>0</v>
      </c>
      <c r="W182" s="814">
        <v>0</v>
      </c>
      <c r="X182" s="814">
        <v>0</v>
      </c>
    </row>
    <row r="183" spans="1:24" s="412" customFormat="1" ht="15.6" customHeight="1">
      <c r="A183" s="859"/>
      <c r="B183" s="835"/>
      <c r="C183" s="841"/>
      <c r="D183" s="872"/>
      <c r="E183" s="843"/>
      <c r="F183" s="843"/>
      <c r="G183" s="873"/>
      <c r="H183" s="411">
        <v>68027050</v>
      </c>
      <c r="I183" s="411">
        <v>10445954</v>
      </c>
      <c r="J183" s="818"/>
      <c r="K183" s="816"/>
      <c r="L183" s="816"/>
      <c r="M183" s="814"/>
      <c r="N183" s="814"/>
      <c r="O183" s="816"/>
      <c r="P183" s="816"/>
      <c r="Q183" s="814"/>
      <c r="R183" s="814"/>
      <c r="S183" s="816"/>
      <c r="T183" s="814"/>
      <c r="U183" s="814"/>
      <c r="V183" s="816"/>
      <c r="W183" s="814"/>
      <c r="X183" s="814"/>
    </row>
    <row r="184" spans="1:24" s="412" customFormat="1" ht="15.6" customHeight="1">
      <c r="A184" s="859"/>
      <c r="B184" s="835"/>
      <c r="C184" s="841"/>
      <c r="D184" s="872"/>
      <c r="E184" s="843"/>
      <c r="F184" s="843"/>
      <c r="G184" s="873"/>
      <c r="H184" s="411">
        <v>7558561</v>
      </c>
      <c r="I184" s="411">
        <v>1160661</v>
      </c>
      <c r="J184" s="411" t="s">
        <v>6</v>
      </c>
      <c r="K184" s="413">
        <f t="shared" ref="K184" si="363">L184+O184</f>
        <v>0</v>
      </c>
      <c r="L184" s="413">
        <f t="shared" ref="L184" si="364">M184+N184</f>
        <v>0</v>
      </c>
      <c r="M184" s="414">
        <v>-2651646</v>
      </c>
      <c r="N184" s="414">
        <v>2651646</v>
      </c>
      <c r="O184" s="413">
        <f t="shared" ref="O184" si="365">P184+S184+V184</f>
        <v>0</v>
      </c>
      <c r="P184" s="413">
        <f t="shared" ref="P184" si="366">Q184+R184</f>
        <v>0</v>
      </c>
      <c r="Q184" s="414">
        <v>-294627</v>
      </c>
      <c r="R184" s="414">
        <v>294627</v>
      </c>
      <c r="S184" s="413">
        <f t="shared" ref="S184" si="367">T184+U184</f>
        <v>0</v>
      </c>
      <c r="T184" s="414">
        <v>0</v>
      </c>
      <c r="U184" s="414">
        <v>0</v>
      </c>
      <c r="V184" s="413">
        <f t="shared" ref="V184" si="368">W184+X184</f>
        <v>0</v>
      </c>
      <c r="W184" s="414">
        <v>0</v>
      </c>
      <c r="X184" s="414">
        <v>0</v>
      </c>
    </row>
    <row r="185" spans="1:24" s="412" customFormat="1" ht="15.6" customHeight="1">
      <c r="A185" s="859"/>
      <c r="B185" s="835"/>
      <c r="C185" s="841"/>
      <c r="D185" s="872"/>
      <c r="E185" s="843"/>
      <c r="F185" s="843"/>
      <c r="G185" s="873"/>
      <c r="H185" s="411">
        <v>0</v>
      </c>
      <c r="I185" s="411">
        <v>0</v>
      </c>
      <c r="J185" s="817" t="s">
        <v>7</v>
      </c>
      <c r="K185" s="816">
        <f t="shared" ref="K185:X185" si="369">K182+K184</f>
        <v>63978996</v>
      </c>
      <c r="L185" s="816">
        <f t="shared" si="369"/>
        <v>57581096</v>
      </c>
      <c r="M185" s="814">
        <f t="shared" si="369"/>
        <v>5709944</v>
      </c>
      <c r="N185" s="814">
        <f t="shared" si="369"/>
        <v>51871152</v>
      </c>
      <c r="O185" s="816">
        <f t="shared" si="369"/>
        <v>6397900</v>
      </c>
      <c r="P185" s="816">
        <f t="shared" si="369"/>
        <v>6397900</v>
      </c>
      <c r="Q185" s="814">
        <f t="shared" si="369"/>
        <v>634438</v>
      </c>
      <c r="R185" s="814">
        <f t="shared" si="369"/>
        <v>5763462</v>
      </c>
      <c r="S185" s="816">
        <f t="shared" si="369"/>
        <v>0</v>
      </c>
      <c r="T185" s="814">
        <f t="shared" si="369"/>
        <v>0</v>
      </c>
      <c r="U185" s="814">
        <f t="shared" si="369"/>
        <v>0</v>
      </c>
      <c r="V185" s="816">
        <f t="shared" si="369"/>
        <v>0</v>
      </c>
      <c r="W185" s="814">
        <f t="shared" si="369"/>
        <v>0</v>
      </c>
      <c r="X185" s="814">
        <f t="shared" si="369"/>
        <v>0</v>
      </c>
    </row>
    <row r="186" spans="1:24" s="412" customFormat="1" ht="15.6" customHeight="1">
      <c r="A186" s="859"/>
      <c r="B186" s="836"/>
      <c r="C186" s="841"/>
      <c r="D186" s="872"/>
      <c r="E186" s="843"/>
      <c r="F186" s="843"/>
      <c r="G186" s="873"/>
      <c r="H186" s="411">
        <v>0</v>
      </c>
      <c r="I186" s="411">
        <v>0</v>
      </c>
      <c r="J186" s="818"/>
      <c r="K186" s="816"/>
      <c r="L186" s="816"/>
      <c r="M186" s="814"/>
      <c r="N186" s="814"/>
      <c r="O186" s="816"/>
      <c r="P186" s="816"/>
      <c r="Q186" s="814"/>
      <c r="R186" s="814"/>
      <c r="S186" s="816"/>
      <c r="T186" s="814"/>
      <c r="U186" s="814"/>
      <c r="V186" s="816"/>
      <c r="W186" s="814"/>
      <c r="X186" s="814"/>
    </row>
    <row r="187" spans="1:24" s="412" customFormat="1" ht="15.6" customHeight="1">
      <c r="A187" s="859">
        <v>14</v>
      </c>
      <c r="B187" s="834" t="s">
        <v>704</v>
      </c>
      <c r="C187" s="822" t="s">
        <v>705</v>
      </c>
      <c r="D187" s="870" t="s">
        <v>708</v>
      </c>
      <c r="E187" s="819" t="s">
        <v>709</v>
      </c>
      <c r="F187" s="819" t="s">
        <v>707</v>
      </c>
      <c r="G187" s="820">
        <v>2021</v>
      </c>
      <c r="H187" s="411">
        <f>H188+H189+H190+H191</f>
        <v>42649079</v>
      </c>
      <c r="I187" s="411">
        <f>I188+I189+I190+I191</f>
        <v>0</v>
      </c>
      <c r="J187" s="817" t="s">
        <v>5</v>
      </c>
      <c r="K187" s="816">
        <f t="shared" ref="K187" si="370">L187+O187</f>
        <v>34006335</v>
      </c>
      <c r="L187" s="816">
        <f t="shared" ref="L187" si="371">M187+N187</f>
        <v>30605701</v>
      </c>
      <c r="M187" s="814">
        <v>3221502</v>
      </c>
      <c r="N187" s="814">
        <v>27384199</v>
      </c>
      <c r="O187" s="816">
        <f t="shared" ref="O187" si="372">P187+S187+V187</f>
        <v>3400634</v>
      </c>
      <c r="P187" s="816">
        <f t="shared" ref="P187" si="373">Q187+R187</f>
        <v>3400634</v>
      </c>
      <c r="Q187" s="814">
        <v>357944</v>
      </c>
      <c r="R187" s="814">
        <v>3042690</v>
      </c>
      <c r="S187" s="816">
        <f t="shared" ref="S187" si="374">T187+U187</f>
        <v>0</v>
      </c>
      <c r="T187" s="814">
        <v>0</v>
      </c>
      <c r="U187" s="814">
        <v>0</v>
      </c>
      <c r="V187" s="816">
        <f t="shared" ref="V187" si="375">W187+X187</f>
        <v>0</v>
      </c>
      <c r="W187" s="814">
        <v>0</v>
      </c>
      <c r="X187" s="814">
        <v>0</v>
      </c>
    </row>
    <row r="188" spans="1:24" s="412" customFormat="1" ht="15.6" customHeight="1">
      <c r="A188" s="859"/>
      <c r="B188" s="835"/>
      <c r="C188" s="822"/>
      <c r="D188" s="870"/>
      <c r="E188" s="819"/>
      <c r="F188" s="819"/>
      <c r="G188" s="820"/>
      <c r="H188" s="411">
        <v>38384171</v>
      </c>
      <c r="I188" s="411">
        <v>0</v>
      </c>
      <c r="J188" s="818"/>
      <c r="K188" s="816"/>
      <c r="L188" s="816"/>
      <c r="M188" s="814"/>
      <c r="N188" s="814"/>
      <c r="O188" s="816"/>
      <c r="P188" s="816"/>
      <c r="Q188" s="814"/>
      <c r="R188" s="814"/>
      <c r="S188" s="816"/>
      <c r="T188" s="814"/>
      <c r="U188" s="814"/>
      <c r="V188" s="816"/>
      <c r="W188" s="814"/>
      <c r="X188" s="814"/>
    </row>
    <row r="189" spans="1:24" s="412" customFormat="1" ht="15.6" customHeight="1">
      <c r="A189" s="859"/>
      <c r="B189" s="835"/>
      <c r="C189" s="822"/>
      <c r="D189" s="870"/>
      <c r="E189" s="819"/>
      <c r="F189" s="819"/>
      <c r="G189" s="820"/>
      <c r="H189" s="411">
        <v>4264908</v>
      </c>
      <c r="I189" s="411">
        <v>0</v>
      </c>
      <c r="J189" s="411" t="s">
        <v>6</v>
      </c>
      <c r="K189" s="413">
        <f t="shared" ref="K189" si="376">L189+O189</f>
        <v>8642744</v>
      </c>
      <c r="L189" s="413">
        <f t="shared" ref="L189" si="377">M189+N189</f>
        <v>7778470</v>
      </c>
      <c r="M189" s="414">
        <v>640714</v>
      </c>
      <c r="N189" s="414">
        <v>7137756</v>
      </c>
      <c r="O189" s="413">
        <f t="shared" ref="O189" si="378">P189+S189+V189</f>
        <v>864274</v>
      </c>
      <c r="P189" s="413">
        <f t="shared" ref="P189" si="379">Q189+R189</f>
        <v>864274</v>
      </c>
      <c r="Q189" s="414">
        <v>71190</v>
      </c>
      <c r="R189" s="414">
        <v>793084</v>
      </c>
      <c r="S189" s="413">
        <f t="shared" ref="S189" si="380">T189+U189</f>
        <v>0</v>
      </c>
      <c r="T189" s="414">
        <v>0</v>
      </c>
      <c r="U189" s="414">
        <v>0</v>
      </c>
      <c r="V189" s="413">
        <f t="shared" ref="V189" si="381">W189+X189</f>
        <v>0</v>
      </c>
      <c r="W189" s="414">
        <v>0</v>
      </c>
      <c r="X189" s="414">
        <v>0</v>
      </c>
    </row>
    <row r="190" spans="1:24" s="412" customFormat="1" ht="15.6" customHeight="1">
      <c r="A190" s="859"/>
      <c r="B190" s="835"/>
      <c r="C190" s="822"/>
      <c r="D190" s="870"/>
      <c r="E190" s="819"/>
      <c r="F190" s="819"/>
      <c r="G190" s="820"/>
      <c r="H190" s="411">
        <v>0</v>
      </c>
      <c r="I190" s="411">
        <v>0</v>
      </c>
      <c r="J190" s="817" t="s">
        <v>7</v>
      </c>
      <c r="K190" s="816">
        <f t="shared" ref="K190:X190" si="382">K187+K189</f>
        <v>42649079</v>
      </c>
      <c r="L190" s="816">
        <f t="shared" si="382"/>
        <v>38384171</v>
      </c>
      <c r="M190" s="814">
        <f t="shared" si="382"/>
        <v>3862216</v>
      </c>
      <c r="N190" s="814">
        <f t="shared" si="382"/>
        <v>34521955</v>
      </c>
      <c r="O190" s="816">
        <f t="shared" si="382"/>
        <v>4264908</v>
      </c>
      <c r="P190" s="816">
        <f t="shared" si="382"/>
        <v>4264908</v>
      </c>
      <c r="Q190" s="814">
        <f t="shared" si="382"/>
        <v>429134</v>
      </c>
      <c r="R190" s="814">
        <f t="shared" si="382"/>
        <v>3835774</v>
      </c>
      <c r="S190" s="816">
        <f t="shared" si="382"/>
        <v>0</v>
      </c>
      <c r="T190" s="814">
        <f t="shared" si="382"/>
        <v>0</v>
      </c>
      <c r="U190" s="814">
        <f t="shared" si="382"/>
        <v>0</v>
      </c>
      <c r="V190" s="816">
        <f t="shared" si="382"/>
        <v>0</v>
      </c>
      <c r="W190" s="814">
        <f t="shared" si="382"/>
        <v>0</v>
      </c>
      <c r="X190" s="814">
        <f t="shared" si="382"/>
        <v>0</v>
      </c>
    </row>
    <row r="191" spans="1:24" s="412" customFormat="1" ht="15.6" customHeight="1">
      <c r="A191" s="859"/>
      <c r="B191" s="836"/>
      <c r="C191" s="822"/>
      <c r="D191" s="870"/>
      <c r="E191" s="819"/>
      <c r="F191" s="819"/>
      <c r="G191" s="820"/>
      <c r="H191" s="411">
        <v>0</v>
      </c>
      <c r="I191" s="411">
        <v>0</v>
      </c>
      <c r="J191" s="818"/>
      <c r="K191" s="816"/>
      <c r="L191" s="816"/>
      <c r="M191" s="814"/>
      <c r="N191" s="814"/>
      <c r="O191" s="816"/>
      <c r="P191" s="816"/>
      <c r="Q191" s="814"/>
      <c r="R191" s="814"/>
      <c r="S191" s="816"/>
      <c r="T191" s="814"/>
      <c r="U191" s="814"/>
      <c r="V191" s="816"/>
      <c r="W191" s="814"/>
      <c r="X191" s="814"/>
    </row>
    <row r="192" spans="1:24" s="412" customFormat="1" ht="15.75" hidden="1" customHeight="1">
      <c r="A192" s="863">
        <v>23</v>
      </c>
      <c r="B192" s="820" t="s">
        <v>710</v>
      </c>
      <c r="C192" s="822" t="s">
        <v>711</v>
      </c>
      <c r="D192" s="870" t="s">
        <v>712</v>
      </c>
      <c r="E192" s="819" t="s">
        <v>624</v>
      </c>
      <c r="F192" s="819" t="s">
        <v>713</v>
      </c>
      <c r="G192" s="820" t="s">
        <v>658</v>
      </c>
      <c r="H192" s="411">
        <f>H193+H194+H195+H196</f>
        <v>7809884</v>
      </c>
      <c r="I192" s="411">
        <f>I193+I194+I195+I196</f>
        <v>6621699</v>
      </c>
      <c r="J192" s="817" t="s">
        <v>5</v>
      </c>
      <c r="K192" s="816">
        <f t="shared" ref="K192" si="383">L192+O192</f>
        <v>1188185</v>
      </c>
      <c r="L192" s="816">
        <f t="shared" ref="L192" si="384">M192+N192</f>
        <v>1010268</v>
      </c>
      <c r="M192" s="814">
        <v>62876</v>
      </c>
      <c r="N192" s="814">
        <v>947392</v>
      </c>
      <c r="O192" s="816">
        <f t="shared" ref="O192" si="385">P192+S192+V192</f>
        <v>177917</v>
      </c>
      <c r="P192" s="816">
        <f t="shared" ref="P192" si="386">Q192+R192</f>
        <v>0</v>
      </c>
      <c r="Q192" s="814">
        <v>0</v>
      </c>
      <c r="R192" s="814">
        <v>0</v>
      </c>
      <c r="S192" s="816">
        <f t="shared" ref="S192" si="387">T192+U192</f>
        <v>177917</v>
      </c>
      <c r="T192" s="814">
        <v>11094</v>
      </c>
      <c r="U192" s="814">
        <v>166823</v>
      </c>
      <c r="V192" s="816">
        <f t="shared" ref="V192" si="388">W192+X192</f>
        <v>0</v>
      </c>
      <c r="W192" s="814">
        <v>0</v>
      </c>
      <c r="X192" s="814">
        <v>0</v>
      </c>
    </row>
    <row r="193" spans="1:24" s="412" customFormat="1" ht="15.75" hidden="1" customHeight="1">
      <c r="A193" s="863"/>
      <c r="B193" s="820"/>
      <c r="C193" s="822"/>
      <c r="D193" s="870"/>
      <c r="E193" s="819"/>
      <c r="F193" s="819"/>
      <c r="G193" s="820"/>
      <c r="H193" s="411">
        <v>4395978</v>
      </c>
      <c r="I193" s="411">
        <v>3385710</v>
      </c>
      <c r="J193" s="818"/>
      <c r="K193" s="816"/>
      <c r="L193" s="816"/>
      <c r="M193" s="814"/>
      <c r="N193" s="814"/>
      <c r="O193" s="816"/>
      <c r="P193" s="816"/>
      <c r="Q193" s="814"/>
      <c r="R193" s="814"/>
      <c r="S193" s="816"/>
      <c r="T193" s="814"/>
      <c r="U193" s="814"/>
      <c r="V193" s="816"/>
      <c r="W193" s="814"/>
      <c r="X193" s="814"/>
    </row>
    <row r="194" spans="1:24" s="412" customFormat="1" ht="15.75" hidden="1" customHeight="1">
      <c r="A194" s="863"/>
      <c r="B194" s="820"/>
      <c r="C194" s="822"/>
      <c r="D194" s="870"/>
      <c r="E194" s="819"/>
      <c r="F194" s="819"/>
      <c r="G194" s="820"/>
      <c r="H194" s="411">
        <v>0</v>
      </c>
      <c r="I194" s="411">
        <v>0</v>
      </c>
      <c r="J194" s="411" t="s">
        <v>6</v>
      </c>
      <c r="K194" s="413">
        <f t="shared" ref="K194" si="389">L194+O194</f>
        <v>0</v>
      </c>
      <c r="L194" s="413">
        <f t="shared" ref="L194" si="390">M194+N194</f>
        <v>0</v>
      </c>
      <c r="M194" s="414">
        <v>0</v>
      </c>
      <c r="N194" s="414">
        <v>0</v>
      </c>
      <c r="O194" s="413">
        <f t="shared" ref="O194" si="391">P194+S194+V194</f>
        <v>0</v>
      </c>
      <c r="P194" s="413">
        <f t="shared" ref="P194" si="392">Q194+R194</f>
        <v>0</v>
      </c>
      <c r="Q194" s="414">
        <v>0</v>
      </c>
      <c r="R194" s="414">
        <v>0</v>
      </c>
      <c r="S194" s="413">
        <f t="shared" ref="S194" si="393">T194+U194</f>
        <v>0</v>
      </c>
      <c r="T194" s="414">
        <v>0</v>
      </c>
      <c r="U194" s="414">
        <v>0</v>
      </c>
      <c r="V194" s="413">
        <f t="shared" ref="V194" si="394">W194+X194</f>
        <v>0</v>
      </c>
      <c r="W194" s="414">
        <v>0</v>
      </c>
      <c r="X194" s="414">
        <v>0</v>
      </c>
    </row>
    <row r="195" spans="1:24" s="412" customFormat="1" ht="15.75" hidden="1" customHeight="1">
      <c r="A195" s="863"/>
      <c r="B195" s="820"/>
      <c r="C195" s="822"/>
      <c r="D195" s="870"/>
      <c r="E195" s="819"/>
      <c r="F195" s="819"/>
      <c r="G195" s="820"/>
      <c r="H195" s="411">
        <v>3413906</v>
      </c>
      <c r="I195" s="411">
        <v>3235989</v>
      </c>
      <c r="J195" s="817" t="s">
        <v>7</v>
      </c>
      <c r="K195" s="816">
        <f t="shared" ref="K195:X195" si="395">K192+K194</f>
        <v>1188185</v>
      </c>
      <c r="L195" s="816">
        <f t="shared" si="395"/>
        <v>1010268</v>
      </c>
      <c r="M195" s="814">
        <f t="shared" si="395"/>
        <v>62876</v>
      </c>
      <c r="N195" s="814">
        <f t="shared" si="395"/>
        <v>947392</v>
      </c>
      <c r="O195" s="816">
        <f t="shared" si="395"/>
        <v>177917</v>
      </c>
      <c r="P195" s="816">
        <f t="shared" si="395"/>
        <v>0</v>
      </c>
      <c r="Q195" s="814">
        <f t="shared" si="395"/>
        <v>0</v>
      </c>
      <c r="R195" s="814">
        <f t="shared" si="395"/>
        <v>0</v>
      </c>
      <c r="S195" s="816">
        <f t="shared" si="395"/>
        <v>177917</v>
      </c>
      <c r="T195" s="814">
        <f t="shared" si="395"/>
        <v>11094</v>
      </c>
      <c r="U195" s="814">
        <f t="shared" si="395"/>
        <v>166823</v>
      </c>
      <c r="V195" s="816">
        <f t="shared" si="395"/>
        <v>0</v>
      </c>
      <c r="W195" s="814">
        <f t="shared" si="395"/>
        <v>0</v>
      </c>
      <c r="X195" s="814">
        <f t="shared" si="395"/>
        <v>0</v>
      </c>
    </row>
    <row r="196" spans="1:24" s="412" customFormat="1" ht="15.75" hidden="1" customHeight="1">
      <c r="A196" s="863"/>
      <c r="B196" s="820"/>
      <c r="C196" s="822"/>
      <c r="D196" s="870"/>
      <c r="E196" s="819"/>
      <c r="F196" s="819"/>
      <c r="G196" s="820"/>
      <c r="H196" s="411">
        <v>0</v>
      </c>
      <c r="I196" s="411">
        <v>0</v>
      </c>
      <c r="J196" s="818"/>
      <c r="K196" s="816"/>
      <c r="L196" s="816"/>
      <c r="M196" s="814"/>
      <c r="N196" s="814"/>
      <c r="O196" s="816"/>
      <c r="P196" s="816"/>
      <c r="Q196" s="814"/>
      <c r="R196" s="814"/>
      <c r="S196" s="816"/>
      <c r="T196" s="814"/>
      <c r="U196" s="814"/>
      <c r="V196" s="816"/>
      <c r="W196" s="814"/>
      <c r="X196" s="814"/>
    </row>
    <row r="197" spans="1:24" s="412" customFormat="1" ht="15.75" customHeight="1">
      <c r="A197" s="859">
        <v>15</v>
      </c>
      <c r="B197" s="820" t="s">
        <v>710</v>
      </c>
      <c r="C197" s="822" t="s">
        <v>711</v>
      </c>
      <c r="D197" s="870" t="s">
        <v>714</v>
      </c>
      <c r="E197" s="819" t="s">
        <v>624</v>
      </c>
      <c r="F197" s="819" t="s">
        <v>713</v>
      </c>
      <c r="G197" s="820" t="s">
        <v>631</v>
      </c>
      <c r="H197" s="411">
        <f>H198+H199+H200+H201</f>
        <v>5537885</v>
      </c>
      <c r="I197" s="411">
        <f>I198+I199+I200+I201</f>
        <v>38487</v>
      </c>
      <c r="J197" s="817" t="s">
        <v>5</v>
      </c>
      <c r="K197" s="816">
        <f t="shared" ref="K197" si="396">L197+O197</f>
        <v>2012856</v>
      </c>
      <c r="L197" s="816">
        <f t="shared" ref="L197" si="397">M197+N197</f>
        <v>1710928</v>
      </c>
      <c r="M197" s="814">
        <v>92045</v>
      </c>
      <c r="N197" s="814">
        <v>1618883</v>
      </c>
      <c r="O197" s="816">
        <f t="shared" ref="O197" si="398">P197+S197+V197</f>
        <v>301928</v>
      </c>
      <c r="P197" s="816">
        <f t="shared" ref="P197" si="399">Q197+R197</f>
        <v>201286</v>
      </c>
      <c r="Q197" s="814">
        <v>10829</v>
      </c>
      <c r="R197" s="814">
        <v>190457</v>
      </c>
      <c r="S197" s="816">
        <f t="shared" ref="S197" si="400">T197+U197</f>
        <v>100642</v>
      </c>
      <c r="T197" s="814">
        <v>5414</v>
      </c>
      <c r="U197" s="814">
        <v>95228</v>
      </c>
      <c r="V197" s="816">
        <f t="shared" ref="V197" si="401">W197+X197</f>
        <v>0</v>
      </c>
      <c r="W197" s="814">
        <v>0</v>
      </c>
      <c r="X197" s="814">
        <v>0</v>
      </c>
    </row>
    <row r="198" spans="1:24" s="412" customFormat="1" ht="16.5" customHeight="1">
      <c r="A198" s="859"/>
      <c r="B198" s="820"/>
      <c r="C198" s="822"/>
      <c r="D198" s="870"/>
      <c r="E198" s="819"/>
      <c r="F198" s="819"/>
      <c r="G198" s="820"/>
      <c r="H198" s="411">
        <v>4152967</v>
      </c>
      <c r="I198" s="411">
        <v>32714</v>
      </c>
      <c r="J198" s="818"/>
      <c r="K198" s="816"/>
      <c r="L198" s="816"/>
      <c r="M198" s="814"/>
      <c r="N198" s="814"/>
      <c r="O198" s="816"/>
      <c r="P198" s="816"/>
      <c r="Q198" s="814"/>
      <c r="R198" s="814"/>
      <c r="S198" s="816"/>
      <c r="T198" s="814"/>
      <c r="U198" s="814"/>
      <c r="V198" s="816"/>
      <c r="W198" s="814"/>
      <c r="X198" s="814"/>
    </row>
    <row r="199" spans="1:24" s="412" customFormat="1" ht="16.5" customHeight="1">
      <c r="A199" s="859"/>
      <c r="B199" s="820"/>
      <c r="C199" s="822"/>
      <c r="D199" s="870"/>
      <c r="E199" s="819"/>
      <c r="F199" s="819"/>
      <c r="G199" s="820"/>
      <c r="H199" s="411">
        <v>488586</v>
      </c>
      <c r="I199" s="411">
        <v>3849</v>
      </c>
      <c r="J199" s="411" t="s">
        <v>6</v>
      </c>
      <c r="K199" s="413">
        <f t="shared" ref="K199" si="402">L199+O199</f>
        <v>-1657047</v>
      </c>
      <c r="L199" s="413">
        <f t="shared" ref="L199" si="403">M199+N199</f>
        <v>-1561380</v>
      </c>
      <c r="M199" s="414">
        <v>0</v>
      </c>
      <c r="N199" s="414">
        <v>-1561380</v>
      </c>
      <c r="O199" s="413">
        <f t="shared" ref="O199" si="404">P199+S199+V199</f>
        <v>-95667</v>
      </c>
      <c r="P199" s="413">
        <f t="shared" ref="P199" si="405">Q199+R199</f>
        <v>-183692</v>
      </c>
      <c r="Q199" s="414">
        <v>0</v>
      </c>
      <c r="R199" s="414">
        <v>-183692</v>
      </c>
      <c r="S199" s="413">
        <f t="shared" ref="S199" si="406">T199+U199</f>
        <v>88025</v>
      </c>
      <c r="T199" s="414">
        <v>0</v>
      </c>
      <c r="U199" s="414">
        <v>88025</v>
      </c>
      <c r="V199" s="413">
        <f t="shared" ref="V199" si="407">W199+X199</f>
        <v>0</v>
      </c>
      <c r="W199" s="414">
        <v>0</v>
      </c>
      <c r="X199" s="414">
        <v>0</v>
      </c>
    </row>
    <row r="200" spans="1:24" s="412" customFormat="1" ht="16.5" customHeight="1">
      <c r="A200" s="859"/>
      <c r="B200" s="820"/>
      <c r="C200" s="822"/>
      <c r="D200" s="870"/>
      <c r="E200" s="819"/>
      <c r="F200" s="819"/>
      <c r="G200" s="820"/>
      <c r="H200" s="411">
        <v>896332</v>
      </c>
      <c r="I200" s="411">
        <v>1924</v>
      </c>
      <c r="J200" s="817" t="s">
        <v>7</v>
      </c>
      <c r="K200" s="816">
        <f t="shared" ref="K200:X200" si="408">K197+K199</f>
        <v>355809</v>
      </c>
      <c r="L200" s="816">
        <f t="shared" si="408"/>
        <v>149548</v>
      </c>
      <c r="M200" s="814">
        <f t="shared" si="408"/>
        <v>92045</v>
      </c>
      <c r="N200" s="814">
        <f t="shared" si="408"/>
        <v>57503</v>
      </c>
      <c r="O200" s="816">
        <f t="shared" si="408"/>
        <v>206261</v>
      </c>
      <c r="P200" s="816">
        <f t="shared" si="408"/>
        <v>17594</v>
      </c>
      <c r="Q200" s="814">
        <f t="shared" si="408"/>
        <v>10829</v>
      </c>
      <c r="R200" s="814">
        <f t="shared" si="408"/>
        <v>6765</v>
      </c>
      <c r="S200" s="816">
        <f t="shared" si="408"/>
        <v>188667</v>
      </c>
      <c r="T200" s="814">
        <f t="shared" si="408"/>
        <v>5414</v>
      </c>
      <c r="U200" s="814">
        <f t="shared" si="408"/>
        <v>183253</v>
      </c>
      <c r="V200" s="816">
        <f t="shared" si="408"/>
        <v>0</v>
      </c>
      <c r="W200" s="814">
        <f t="shared" si="408"/>
        <v>0</v>
      </c>
      <c r="X200" s="814">
        <f t="shared" si="408"/>
        <v>0</v>
      </c>
    </row>
    <row r="201" spans="1:24" s="412" customFormat="1" ht="16.5" customHeight="1">
      <c r="A201" s="859"/>
      <c r="B201" s="820"/>
      <c r="C201" s="822"/>
      <c r="D201" s="870"/>
      <c r="E201" s="819"/>
      <c r="F201" s="819"/>
      <c r="G201" s="820"/>
      <c r="H201" s="411">
        <v>0</v>
      </c>
      <c r="I201" s="411">
        <v>0</v>
      </c>
      <c r="J201" s="818"/>
      <c r="K201" s="816"/>
      <c r="L201" s="816"/>
      <c r="M201" s="814"/>
      <c r="N201" s="814"/>
      <c r="O201" s="816"/>
      <c r="P201" s="816"/>
      <c r="Q201" s="814"/>
      <c r="R201" s="814"/>
      <c r="S201" s="816"/>
      <c r="T201" s="814"/>
      <c r="U201" s="814"/>
      <c r="V201" s="816"/>
      <c r="W201" s="814"/>
      <c r="X201" s="814"/>
    </row>
    <row r="202" spans="1:24" s="412" customFormat="1" ht="16.5" customHeight="1">
      <c r="A202" s="859">
        <v>16</v>
      </c>
      <c r="B202" s="820" t="s">
        <v>715</v>
      </c>
      <c r="C202" s="822" t="s">
        <v>57</v>
      </c>
      <c r="D202" s="870" t="s">
        <v>716</v>
      </c>
      <c r="E202" s="819" t="s">
        <v>624</v>
      </c>
      <c r="F202" s="819" t="s">
        <v>713</v>
      </c>
      <c r="G202" s="820" t="s">
        <v>658</v>
      </c>
      <c r="H202" s="411">
        <f>H203+H204+H205+H206</f>
        <v>27378307</v>
      </c>
      <c r="I202" s="411">
        <f>I203+I204+I205+I206</f>
        <v>16512269</v>
      </c>
      <c r="J202" s="817" t="s">
        <v>5</v>
      </c>
      <c r="K202" s="816">
        <f t="shared" ref="K202" si="409">L202+O202</f>
        <v>9596553</v>
      </c>
      <c r="L202" s="816">
        <f t="shared" ref="L202" si="410">M202+N202</f>
        <v>2633225</v>
      </c>
      <c r="M202" s="814">
        <v>275825</v>
      </c>
      <c r="N202" s="814">
        <v>2357400</v>
      </c>
      <c r="O202" s="816">
        <f t="shared" ref="O202" si="411">P202+S202+V202</f>
        <v>6963328</v>
      </c>
      <c r="P202" s="816">
        <f t="shared" ref="P202" si="412">Q202+R202</f>
        <v>0</v>
      </c>
      <c r="Q202" s="814">
        <v>0</v>
      </c>
      <c r="R202" s="814">
        <v>0</v>
      </c>
      <c r="S202" s="816">
        <f t="shared" ref="S202" si="413">T202+U202</f>
        <v>6963328</v>
      </c>
      <c r="T202" s="814">
        <v>48675</v>
      </c>
      <c r="U202" s="814">
        <v>6914653</v>
      </c>
      <c r="V202" s="816">
        <f t="shared" ref="V202" si="414">W202+X202</f>
        <v>0</v>
      </c>
      <c r="W202" s="814">
        <v>0</v>
      </c>
      <c r="X202" s="814">
        <v>0</v>
      </c>
    </row>
    <row r="203" spans="1:24" s="412" customFormat="1" ht="16.5" customHeight="1">
      <c r="A203" s="859"/>
      <c r="B203" s="820"/>
      <c r="C203" s="822"/>
      <c r="D203" s="870"/>
      <c r="E203" s="819"/>
      <c r="F203" s="819"/>
      <c r="G203" s="820"/>
      <c r="H203" s="411">
        <v>7574485</v>
      </c>
      <c r="I203" s="411">
        <v>4941260</v>
      </c>
      <c r="J203" s="818"/>
      <c r="K203" s="816"/>
      <c r="L203" s="816"/>
      <c r="M203" s="814"/>
      <c r="N203" s="814"/>
      <c r="O203" s="816"/>
      <c r="P203" s="816"/>
      <c r="Q203" s="814"/>
      <c r="R203" s="814"/>
      <c r="S203" s="816"/>
      <c r="T203" s="814"/>
      <c r="U203" s="814"/>
      <c r="V203" s="816"/>
      <c r="W203" s="814"/>
      <c r="X203" s="814"/>
    </row>
    <row r="204" spans="1:24" s="412" customFormat="1" ht="16.5" customHeight="1">
      <c r="A204" s="859"/>
      <c r="B204" s="820"/>
      <c r="C204" s="822"/>
      <c r="D204" s="870"/>
      <c r="E204" s="819"/>
      <c r="F204" s="819"/>
      <c r="G204" s="820"/>
      <c r="H204" s="411">
        <v>0</v>
      </c>
      <c r="I204" s="411">
        <v>0</v>
      </c>
      <c r="J204" s="411" t="s">
        <v>6</v>
      </c>
      <c r="K204" s="413">
        <f t="shared" ref="K204" si="415">L204+O204</f>
        <v>1269485</v>
      </c>
      <c r="L204" s="413">
        <f t="shared" ref="L204" si="416">M204+N204</f>
        <v>0</v>
      </c>
      <c r="M204" s="414">
        <v>0</v>
      </c>
      <c r="N204" s="414">
        <v>0</v>
      </c>
      <c r="O204" s="413">
        <f t="shared" ref="O204" si="417">P204+S204+V204</f>
        <v>1269485</v>
      </c>
      <c r="P204" s="413">
        <f t="shared" ref="P204" si="418">Q204+R204</f>
        <v>0</v>
      </c>
      <c r="Q204" s="414">
        <v>0</v>
      </c>
      <c r="R204" s="414">
        <v>0</v>
      </c>
      <c r="S204" s="413">
        <f t="shared" ref="S204" si="419">T204+U204</f>
        <v>1269485</v>
      </c>
      <c r="T204" s="414">
        <v>0</v>
      </c>
      <c r="U204" s="414">
        <v>1269485</v>
      </c>
      <c r="V204" s="413">
        <f t="shared" ref="V204" si="420">W204+X204</f>
        <v>0</v>
      </c>
      <c r="W204" s="414">
        <v>0</v>
      </c>
      <c r="X204" s="414">
        <v>0</v>
      </c>
    </row>
    <row r="205" spans="1:24" s="412" customFormat="1" ht="16.5" customHeight="1">
      <c r="A205" s="859"/>
      <c r="B205" s="820"/>
      <c r="C205" s="822"/>
      <c r="D205" s="870"/>
      <c r="E205" s="819"/>
      <c r="F205" s="819"/>
      <c r="G205" s="820"/>
      <c r="H205" s="411">
        <v>19803822</v>
      </c>
      <c r="I205" s="411">
        <v>11571009</v>
      </c>
      <c r="J205" s="817" t="s">
        <v>7</v>
      </c>
      <c r="K205" s="816">
        <f t="shared" ref="K205:X205" si="421">K202+K204</f>
        <v>10866038</v>
      </c>
      <c r="L205" s="816">
        <f t="shared" si="421"/>
        <v>2633225</v>
      </c>
      <c r="M205" s="814">
        <f t="shared" si="421"/>
        <v>275825</v>
      </c>
      <c r="N205" s="814">
        <f t="shared" si="421"/>
        <v>2357400</v>
      </c>
      <c r="O205" s="816">
        <f t="shared" si="421"/>
        <v>8232813</v>
      </c>
      <c r="P205" s="816">
        <f t="shared" si="421"/>
        <v>0</v>
      </c>
      <c r="Q205" s="814">
        <f t="shared" si="421"/>
        <v>0</v>
      </c>
      <c r="R205" s="814">
        <f t="shared" si="421"/>
        <v>0</v>
      </c>
      <c r="S205" s="816">
        <f t="shared" si="421"/>
        <v>8232813</v>
      </c>
      <c r="T205" s="814">
        <f t="shared" si="421"/>
        <v>48675</v>
      </c>
      <c r="U205" s="814">
        <f t="shared" si="421"/>
        <v>8184138</v>
      </c>
      <c r="V205" s="816">
        <f t="shared" si="421"/>
        <v>0</v>
      </c>
      <c r="W205" s="814">
        <f t="shared" si="421"/>
        <v>0</v>
      </c>
      <c r="X205" s="814">
        <f t="shared" si="421"/>
        <v>0</v>
      </c>
    </row>
    <row r="206" spans="1:24" s="412" customFormat="1" ht="16.5" customHeight="1">
      <c r="A206" s="859"/>
      <c r="B206" s="820"/>
      <c r="C206" s="822"/>
      <c r="D206" s="870"/>
      <c r="E206" s="819"/>
      <c r="F206" s="819"/>
      <c r="G206" s="820"/>
      <c r="H206" s="411">
        <v>0</v>
      </c>
      <c r="I206" s="411">
        <v>0</v>
      </c>
      <c r="J206" s="818"/>
      <c r="K206" s="816"/>
      <c r="L206" s="816"/>
      <c r="M206" s="814"/>
      <c r="N206" s="814"/>
      <c r="O206" s="816"/>
      <c r="P206" s="816"/>
      <c r="Q206" s="814"/>
      <c r="R206" s="814"/>
      <c r="S206" s="816"/>
      <c r="T206" s="814"/>
      <c r="U206" s="814"/>
      <c r="V206" s="816"/>
      <c r="W206" s="814"/>
      <c r="X206" s="814"/>
    </row>
    <row r="207" spans="1:24" s="412" customFormat="1" ht="16.5" hidden="1" customHeight="1">
      <c r="A207" s="863">
        <v>26</v>
      </c>
      <c r="B207" s="820" t="s">
        <v>715</v>
      </c>
      <c r="C207" s="822" t="s">
        <v>57</v>
      </c>
      <c r="D207" s="870" t="s">
        <v>717</v>
      </c>
      <c r="E207" s="819" t="s">
        <v>624</v>
      </c>
      <c r="F207" s="819" t="s">
        <v>713</v>
      </c>
      <c r="G207" s="820" t="s">
        <v>658</v>
      </c>
      <c r="H207" s="411">
        <f>H208+H209+H210+H211</f>
        <v>11218462</v>
      </c>
      <c r="I207" s="411">
        <f>I208+I209+I210+I211</f>
        <v>8466126</v>
      </c>
      <c r="J207" s="817" t="s">
        <v>5</v>
      </c>
      <c r="K207" s="816">
        <f t="shared" ref="K207" si="422">L207+O207</f>
        <v>2752336</v>
      </c>
      <c r="L207" s="816">
        <f t="shared" ref="L207" si="423">M207+N207</f>
        <v>1728743</v>
      </c>
      <c r="M207" s="814">
        <v>186424</v>
      </c>
      <c r="N207" s="814">
        <v>1542319</v>
      </c>
      <c r="O207" s="816">
        <f t="shared" ref="O207" si="424">P207+S207+V207</f>
        <v>1023593</v>
      </c>
      <c r="P207" s="816">
        <f t="shared" ref="P207" si="425">Q207+R207</f>
        <v>0</v>
      </c>
      <c r="Q207" s="814">
        <v>0</v>
      </c>
      <c r="R207" s="814">
        <v>0</v>
      </c>
      <c r="S207" s="816">
        <f t="shared" ref="S207" si="426">T207+U207</f>
        <v>1023593</v>
      </c>
      <c r="T207" s="814">
        <v>110381</v>
      </c>
      <c r="U207" s="814">
        <v>913212</v>
      </c>
      <c r="V207" s="816">
        <f t="shared" ref="V207" si="427">W207+X207</f>
        <v>0</v>
      </c>
      <c r="W207" s="814">
        <v>0</v>
      </c>
      <c r="X207" s="814">
        <v>0</v>
      </c>
    </row>
    <row r="208" spans="1:24" s="412" customFormat="1" ht="16.5" hidden="1" customHeight="1">
      <c r="A208" s="863"/>
      <c r="B208" s="820"/>
      <c r="C208" s="822"/>
      <c r="D208" s="870"/>
      <c r="E208" s="819"/>
      <c r="F208" s="819"/>
      <c r="G208" s="820"/>
      <c r="H208" s="411">
        <v>7046316</v>
      </c>
      <c r="I208" s="411">
        <v>5317573</v>
      </c>
      <c r="J208" s="818"/>
      <c r="K208" s="816"/>
      <c r="L208" s="816"/>
      <c r="M208" s="814"/>
      <c r="N208" s="814"/>
      <c r="O208" s="816"/>
      <c r="P208" s="816"/>
      <c r="Q208" s="814"/>
      <c r="R208" s="814"/>
      <c r="S208" s="816"/>
      <c r="T208" s="814"/>
      <c r="U208" s="814"/>
      <c r="V208" s="816"/>
      <c r="W208" s="814"/>
      <c r="X208" s="814"/>
    </row>
    <row r="209" spans="1:24" s="412" customFormat="1" ht="16.5" hidden="1" customHeight="1">
      <c r="A209" s="863"/>
      <c r="B209" s="820"/>
      <c r="C209" s="822"/>
      <c r="D209" s="870"/>
      <c r="E209" s="819"/>
      <c r="F209" s="819"/>
      <c r="G209" s="820"/>
      <c r="H209" s="411">
        <v>0</v>
      </c>
      <c r="I209" s="411">
        <v>0</v>
      </c>
      <c r="J209" s="411" t="s">
        <v>6</v>
      </c>
      <c r="K209" s="413">
        <f t="shared" ref="K209" si="428">L209+O209</f>
        <v>0</v>
      </c>
      <c r="L209" s="413">
        <f t="shared" ref="L209" si="429">M209+N209</f>
        <v>0</v>
      </c>
      <c r="M209" s="414">
        <v>0</v>
      </c>
      <c r="N209" s="414">
        <v>0</v>
      </c>
      <c r="O209" s="413">
        <f t="shared" ref="O209" si="430">P209+S209+V209</f>
        <v>0</v>
      </c>
      <c r="P209" s="413">
        <f t="shared" ref="P209" si="431">Q209+R209</f>
        <v>0</v>
      </c>
      <c r="Q209" s="414">
        <v>0</v>
      </c>
      <c r="R209" s="414">
        <v>0</v>
      </c>
      <c r="S209" s="413">
        <f t="shared" ref="S209" si="432">T209+U209</f>
        <v>0</v>
      </c>
      <c r="T209" s="414">
        <v>0</v>
      </c>
      <c r="U209" s="414">
        <v>0</v>
      </c>
      <c r="V209" s="413">
        <f t="shared" ref="V209" si="433">W209+X209</f>
        <v>0</v>
      </c>
      <c r="W209" s="414">
        <v>0</v>
      </c>
      <c r="X209" s="414">
        <v>0</v>
      </c>
    </row>
    <row r="210" spans="1:24" s="412" customFormat="1" ht="16.5" hidden="1" customHeight="1">
      <c r="A210" s="863"/>
      <c r="B210" s="820"/>
      <c r="C210" s="822"/>
      <c r="D210" s="870"/>
      <c r="E210" s="819"/>
      <c r="F210" s="819"/>
      <c r="G210" s="820"/>
      <c r="H210" s="411">
        <v>4172146</v>
      </c>
      <c r="I210" s="411">
        <v>3148553</v>
      </c>
      <c r="J210" s="817" t="s">
        <v>7</v>
      </c>
      <c r="K210" s="816">
        <f t="shared" ref="K210:X210" si="434">K207+K209</f>
        <v>2752336</v>
      </c>
      <c r="L210" s="816">
        <f t="shared" si="434"/>
        <v>1728743</v>
      </c>
      <c r="M210" s="814">
        <f t="shared" si="434"/>
        <v>186424</v>
      </c>
      <c r="N210" s="814">
        <f t="shared" si="434"/>
        <v>1542319</v>
      </c>
      <c r="O210" s="816">
        <f t="shared" si="434"/>
        <v>1023593</v>
      </c>
      <c r="P210" s="816">
        <f t="shared" si="434"/>
        <v>0</v>
      </c>
      <c r="Q210" s="814">
        <f t="shared" si="434"/>
        <v>0</v>
      </c>
      <c r="R210" s="814">
        <f t="shared" si="434"/>
        <v>0</v>
      </c>
      <c r="S210" s="816">
        <f t="shared" si="434"/>
        <v>1023593</v>
      </c>
      <c r="T210" s="814">
        <f t="shared" si="434"/>
        <v>110381</v>
      </c>
      <c r="U210" s="814">
        <f t="shared" si="434"/>
        <v>913212</v>
      </c>
      <c r="V210" s="816">
        <f t="shared" si="434"/>
        <v>0</v>
      </c>
      <c r="W210" s="814">
        <f t="shared" si="434"/>
        <v>0</v>
      </c>
      <c r="X210" s="814">
        <f t="shared" si="434"/>
        <v>0</v>
      </c>
    </row>
    <row r="211" spans="1:24" s="412" customFormat="1" ht="16.5" hidden="1" customHeight="1">
      <c r="A211" s="863"/>
      <c r="B211" s="820"/>
      <c r="C211" s="822"/>
      <c r="D211" s="870"/>
      <c r="E211" s="819"/>
      <c r="F211" s="819"/>
      <c r="G211" s="820"/>
      <c r="H211" s="411">
        <v>0</v>
      </c>
      <c r="I211" s="411">
        <v>0</v>
      </c>
      <c r="J211" s="818"/>
      <c r="K211" s="816"/>
      <c r="L211" s="816"/>
      <c r="M211" s="814"/>
      <c r="N211" s="814"/>
      <c r="O211" s="816"/>
      <c r="P211" s="816"/>
      <c r="Q211" s="814"/>
      <c r="R211" s="814"/>
      <c r="S211" s="816"/>
      <c r="T211" s="814"/>
      <c r="U211" s="814"/>
      <c r="V211" s="816"/>
      <c r="W211" s="814"/>
      <c r="X211" s="814"/>
    </row>
    <row r="212" spans="1:24" s="412" customFormat="1" ht="16.5" customHeight="1">
      <c r="A212" s="859">
        <v>17</v>
      </c>
      <c r="B212" s="820" t="s">
        <v>715</v>
      </c>
      <c r="C212" s="822" t="s">
        <v>57</v>
      </c>
      <c r="D212" s="870" t="s">
        <v>718</v>
      </c>
      <c r="E212" s="819" t="s">
        <v>624</v>
      </c>
      <c r="F212" s="819" t="s">
        <v>719</v>
      </c>
      <c r="G212" s="820" t="s">
        <v>631</v>
      </c>
      <c r="H212" s="411">
        <f>H213+H214+H215+H216</f>
        <v>12349070</v>
      </c>
      <c r="I212" s="411">
        <f>I213+I214+I215+I216</f>
        <v>363214</v>
      </c>
      <c r="J212" s="817" t="s">
        <v>5</v>
      </c>
      <c r="K212" s="816">
        <f t="shared" ref="K212" si="435">L212+O212</f>
        <v>10708618</v>
      </c>
      <c r="L212" s="816">
        <f t="shared" ref="L212" si="436">M212+N212</f>
        <v>7281161</v>
      </c>
      <c r="M212" s="814">
        <v>168603</v>
      </c>
      <c r="N212" s="814">
        <v>7112558</v>
      </c>
      <c r="O212" s="816">
        <f t="shared" ref="O212" si="437">P212+S212+V212</f>
        <v>3427457</v>
      </c>
      <c r="P212" s="816">
        <f t="shared" ref="P212" si="438">Q212+R212</f>
        <v>0</v>
      </c>
      <c r="Q212" s="814">
        <v>0</v>
      </c>
      <c r="R212" s="814">
        <v>0</v>
      </c>
      <c r="S212" s="816">
        <f t="shared" ref="S212" si="439">T212+U212</f>
        <v>3427457</v>
      </c>
      <c r="T212" s="814">
        <v>29753</v>
      </c>
      <c r="U212" s="814">
        <v>3397704</v>
      </c>
      <c r="V212" s="816">
        <f t="shared" ref="V212" si="440">W212+X212</f>
        <v>0</v>
      </c>
      <c r="W212" s="814">
        <v>0</v>
      </c>
      <c r="X212" s="814">
        <v>0</v>
      </c>
    </row>
    <row r="213" spans="1:24" s="412" customFormat="1" ht="16.5" customHeight="1">
      <c r="A213" s="859"/>
      <c r="B213" s="820"/>
      <c r="C213" s="822"/>
      <c r="D213" s="870"/>
      <c r="E213" s="819"/>
      <c r="F213" s="819"/>
      <c r="G213" s="820"/>
      <c r="H213" s="411">
        <v>7423868</v>
      </c>
      <c r="I213" s="411">
        <v>77055</v>
      </c>
      <c r="J213" s="818"/>
      <c r="K213" s="816"/>
      <c r="L213" s="816"/>
      <c r="M213" s="814"/>
      <c r="N213" s="814"/>
      <c r="O213" s="816"/>
      <c r="P213" s="816"/>
      <c r="Q213" s="814"/>
      <c r="R213" s="814"/>
      <c r="S213" s="816"/>
      <c r="T213" s="814"/>
      <c r="U213" s="814"/>
      <c r="V213" s="816"/>
      <c r="W213" s="814"/>
      <c r="X213" s="814"/>
    </row>
    <row r="214" spans="1:24" s="412" customFormat="1" ht="16.5" customHeight="1">
      <c r="A214" s="859"/>
      <c r="B214" s="820"/>
      <c r="C214" s="822"/>
      <c r="D214" s="870"/>
      <c r="E214" s="819"/>
      <c r="F214" s="819"/>
      <c r="G214" s="820"/>
      <c r="H214" s="411">
        <v>0</v>
      </c>
      <c r="I214" s="411">
        <v>0</v>
      </c>
      <c r="J214" s="411" t="s">
        <v>6</v>
      </c>
      <c r="K214" s="413">
        <f t="shared" ref="K214" si="441">L214+O214</f>
        <v>1200000</v>
      </c>
      <c r="L214" s="413">
        <f t="shared" ref="L214" si="442">M214+N214</f>
        <v>0</v>
      </c>
      <c r="M214" s="414">
        <v>0</v>
      </c>
      <c r="N214" s="414">
        <v>0</v>
      </c>
      <c r="O214" s="413">
        <f t="shared" ref="O214" si="443">P214+S214+V214</f>
        <v>1200000</v>
      </c>
      <c r="P214" s="413">
        <f t="shared" ref="P214" si="444">Q214+R214</f>
        <v>0</v>
      </c>
      <c r="Q214" s="414">
        <v>0</v>
      </c>
      <c r="R214" s="414">
        <v>0</v>
      </c>
      <c r="S214" s="413">
        <f t="shared" ref="S214" si="445">T214+U214</f>
        <v>1200000</v>
      </c>
      <c r="T214" s="414">
        <v>0</v>
      </c>
      <c r="U214" s="414">
        <v>1200000</v>
      </c>
      <c r="V214" s="413">
        <f t="shared" ref="V214" si="446">W214+X214</f>
        <v>0</v>
      </c>
      <c r="W214" s="414">
        <v>0</v>
      </c>
      <c r="X214" s="414">
        <v>0</v>
      </c>
    </row>
    <row r="215" spans="1:24" s="412" customFormat="1" ht="16.5" customHeight="1">
      <c r="A215" s="859"/>
      <c r="B215" s="820"/>
      <c r="C215" s="822"/>
      <c r="D215" s="870"/>
      <c r="E215" s="819"/>
      <c r="F215" s="819"/>
      <c r="G215" s="820"/>
      <c r="H215" s="411">
        <v>4925202</v>
      </c>
      <c r="I215" s="411">
        <v>286159</v>
      </c>
      <c r="J215" s="817" t="s">
        <v>7</v>
      </c>
      <c r="K215" s="816">
        <f t="shared" ref="K215:X215" si="447">K212+K214</f>
        <v>11908618</v>
      </c>
      <c r="L215" s="816">
        <f t="shared" si="447"/>
        <v>7281161</v>
      </c>
      <c r="M215" s="814">
        <f t="shared" si="447"/>
        <v>168603</v>
      </c>
      <c r="N215" s="814">
        <f t="shared" si="447"/>
        <v>7112558</v>
      </c>
      <c r="O215" s="816">
        <f t="shared" si="447"/>
        <v>4627457</v>
      </c>
      <c r="P215" s="816">
        <f t="shared" si="447"/>
        <v>0</v>
      </c>
      <c r="Q215" s="814">
        <f t="shared" si="447"/>
        <v>0</v>
      </c>
      <c r="R215" s="814">
        <f t="shared" si="447"/>
        <v>0</v>
      </c>
      <c r="S215" s="816">
        <f t="shared" si="447"/>
        <v>4627457</v>
      </c>
      <c r="T215" s="814">
        <f t="shared" si="447"/>
        <v>29753</v>
      </c>
      <c r="U215" s="814">
        <f t="shared" si="447"/>
        <v>4597704</v>
      </c>
      <c r="V215" s="816">
        <f t="shared" si="447"/>
        <v>0</v>
      </c>
      <c r="W215" s="814">
        <f t="shared" si="447"/>
        <v>0</v>
      </c>
      <c r="X215" s="814">
        <f t="shared" si="447"/>
        <v>0</v>
      </c>
    </row>
    <row r="216" spans="1:24" s="412" customFormat="1" ht="16.5" customHeight="1">
      <c r="A216" s="859"/>
      <c r="B216" s="820"/>
      <c r="C216" s="822"/>
      <c r="D216" s="870"/>
      <c r="E216" s="819"/>
      <c r="F216" s="819"/>
      <c r="G216" s="820"/>
      <c r="H216" s="411">
        <v>0</v>
      </c>
      <c r="I216" s="411">
        <v>0</v>
      </c>
      <c r="J216" s="818"/>
      <c r="K216" s="816"/>
      <c r="L216" s="816"/>
      <c r="M216" s="814"/>
      <c r="N216" s="814"/>
      <c r="O216" s="816"/>
      <c r="P216" s="816"/>
      <c r="Q216" s="814"/>
      <c r="R216" s="814"/>
      <c r="S216" s="816"/>
      <c r="T216" s="814"/>
      <c r="U216" s="814"/>
      <c r="V216" s="816"/>
      <c r="W216" s="814"/>
      <c r="X216" s="814"/>
    </row>
    <row r="217" spans="1:24" s="412" customFormat="1" ht="16.5" hidden="1" customHeight="1">
      <c r="A217" s="871">
        <v>38</v>
      </c>
      <c r="B217" s="820" t="s">
        <v>720</v>
      </c>
      <c r="C217" s="822" t="s">
        <v>721</v>
      </c>
      <c r="D217" s="870" t="s">
        <v>722</v>
      </c>
      <c r="E217" s="819" t="s">
        <v>723</v>
      </c>
      <c r="F217" s="819" t="s">
        <v>684</v>
      </c>
      <c r="G217" s="820" t="s">
        <v>697</v>
      </c>
      <c r="H217" s="411">
        <f>H218+H219+H220+H221</f>
        <v>3790056</v>
      </c>
      <c r="I217" s="411">
        <f>I218+I219+I220+I221</f>
        <v>1164951</v>
      </c>
      <c r="J217" s="817" t="s">
        <v>5</v>
      </c>
      <c r="K217" s="816">
        <f t="shared" ref="K217" si="448">L217+O217</f>
        <v>2185675</v>
      </c>
      <c r="L217" s="816">
        <f t="shared" ref="L217" si="449">M217+N217</f>
        <v>1853270</v>
      </c>
      <c r="M217" s="814">
        <v>40375</v>
      </c>
      <c r="N217" s="814">
        <v>1812895</v>
      </c>
      <c r="O217" s="816">
        <f t="shared" ref="O217" si="450">P217+S217+V217</f>
        <v>332405</v>
      </c>
      <c r="P217" s="816">
        <f t="shared" ref="P217" si="451">Q217+R217</f>
        <v>0</v>
      </c>
      <c r="Q217" s="814">
        <v>0</v>
      </c>
      <c r="R217" s="814">
        <v>0</v>
      </c>
      <c r="S217" s="816">
        <f t="shared" ref="S217" si="452">T217+U217</f>
        <v>332405</v>
      </c>
      <c r="T217" s="814">
        <v>7125</v>
      </c>
      <c r="U217" s="814">
        <v>325280</v>
      </c>
      <c r="V217" s="816">
        <f t="shared" ref="V217" si="453">W217+X217</f>
        <v>0</v>
      </c>
      <c r="W217" s="814">
        <v>0</v>
      </c>
      <c r="X217" s="814">
        <v>0</v>
      </c>
    </row>
    <row r="218" spans="1:24" s="412" customFormat="1" ht="16.5" hidden="1" customHeight="1">
      <c r="A218" s="871"/>
      <c r="B218" s="820"/>
      <c r="C218" s="822"/>
      <c r="D218" s="870"/>
      <c r="E218" s="819"/>
      <c r="F218" s="819"/>
      <c r="G218" s="820"/>
      <c r="H218" s="411">
        <v>2839143</v>
      </c>
      <c r="I218" s="411">
        <v>985873</v>
      </c>
      <c r="J218" s="818"/>
      <c r="K218" s="816"/>
      <c r="L218" s="816"/>
      <c r="M218" s="814"/>
      <c r="N218" s="814"/>
      <c r="O218" s="816"/>
      <c r="P218" s="816"/>
      <c r="Q218" s="814"/>
      <c r="R218" s="814"/>
      <c r="S218" s="816"/>
      <c r="T218" s="814"/>
      <c r="U218" s="814"/>
      <c r="V218" s="816"/>
      <c r="W218" s="814"/>
      <c r="X218" s="814"/>
    </row>
    <row r="219" spans="1:24" s="412" customFormat="1" ht="16.5" hidden="1" customHeight="1">
      <c r="A219" s="871"/>
      <c r="B219" s="820"/>
      <c r="C219" s="822"/>
      <c r="D219" s="870"/>
      <c r="E219" s="819"/>
      <c r="F219" s="819"/>
      <c r="G219" s="820"/>
      <c r="H219" s="411">
        <v>0</v>
      </c>
      <c r="I219" s="411">
        <v>0</v>
      </c>
      <c r="J219" s="411" t="s">
        <v>6</v>
      </c>
      <c r="K219" s="413">
        <f t="shared" ref="K219" si="454">L219+O219</f>
        <v>0</v>
      </c>
      <c r="L219" s="413">
        <f t="shared" ref="L219" si="455">M219+N219</f>
        <v>0</v>
      </c>
      <c r="M219" s="414">
        <v>0</v>
      </c>
      <c r="N219" s="414">
        <v>0</v>
      </c>
      <c r="O219" s="413">
        <f t="shared" ref="O219" si="456">P219+S219+V219</f>
        <v>0</v>
      </c>
      <c r="P219" s="413">
        <f t="shared" ref="P219" si="457">Q219+R219</f>
        <v>0</v>
      </c>
      <c r="Q219" s="414">
        <v>0</v>
      </c>
      <c r="R219" s="414">
        <v>0</v>
      </c>
      <c r="S219" s="413">
        <f t="shared" ref="S219" si="458">T219+U219</f>
        <v>0</v>
      </c>
      <c r="T219" s="414">
        <v>0</v>
      </c>
      <c r="U219" s="414">
        <v>0</v>
      </c>
      <c r="V219" s="413">
        <f t="shared" ref="V219" si="459">W219+X219</f>
        <v>0</v>
      </c>
      <c r="W219" s="414">
        <v>0</v>
      </c>
      <c r="X219" s="414">
        <v>0</v>
      </c>
    </row>
    <row r="220" spans="1:24" s="412" customFormat="1" ht="16.5" hidden="1" customHeight="1">
      <c r="A220" s="871"/>
      <c r="B220" s="820"/>
      <c r="C220" s="822"/>
      <c r="D220" s="870"/>
      <c r="E220" s="819"/>
      <c r="F220" s="819"/>
      <c r="G220" s="820"/>
      <c r="H220" s="411">
        <v>950913</v>
      </c>
      <c r="I220" s="411">
        <v>179078</v>
      </c>
      <c r="J220" s="817" t="s">
        <v>7</v>
      </c>
      <c r="K220" s="816">
        <f t="shared" ref="K220:X220" si="460">K217+K219</f>
        <v>2185675</v>
      </c>
      <c r="L220" s="816">
        <f t="shared" si="460"/>
        <v>1853270</v>
      </c>
      <c r="M220" s="814">
        <f t="shared" si="460"/>
        <v>40375</v>
      </c>
      <c r="N220" s="814">
        <f t="shared" si="460"/>
        <v>1812895</v>
      </c>
      <c r="O220" s="816">
        <f t="shared" si="460"/>
        <v>332405</v>
      </c>
      <c r="P220" s="816">
        <f t="shared" si="460"/>
        <v>0</v>
      </c>
      <c r="Q220" s="814">
        <f t="shared" si="460"/>
        <v>0</v>
      </c>
      <c r="R220" s="814">
        <f t="shared" si="460"/>
        <v>0</v>
      </c>
      <c r="S220" s="816">
        <f t="shared" si="460"/>
        <v>332405</v>
      </c>
      <c r="T220" s="814">
        <f t="shared" si="460"/>
        <v>7125</v>
      </c>
      <c r="U220" s="814">
        <f t="shared" si="460"/>
        <v>325280</v>
      </c>
      <c r="V220" s="816">
        <f t="shared" si="460"/>
        <v>0</v>
      </c>
      <c r="W220" s="814">
        <f t="shared" si="460"/>
        <v>0</v>
      </c>
      <c r="X220" s="814">
        <f t="shared" si="460"/>
        <v>0</v>
      </c>
    </row>
    <row r="221" spans="1:24" s="412" customFormat="1" ht="16.5" hidden="1" customHeight="1">
      <c r="A221" s="871"/>
      <c r="B221" s="820"/>
      <c r="C221" s="822"/>
      <c r="D221" s="870"/>
      <c r="E221" s="819"/>
      <c r="F221" s="819"/>
      <c r="G221" s="820"/>
      <c r="H221" s="411">
        <v>0</v>
      </c>
      <c r="I221" s="411">
        <v>0</v>
      </c>
      <c r="J221" s="818"/>
      <c r="K221" s="816"/>
      <c r="L221" s="816"/>
      <c r="M221" s="814"/>
      <c r="N221" s="814"/>
      <c r="O221" s="816"/>
      <c r="P221" s="816"/>
      <c r="Q221" s="814"/>
      <c r="R221" s="814"/>
      <c r="S221" s="816"/>
      <c r="T221" s="814"/>
      <c r="U221" s="814"/>
      <c r="V221" s="816"/>
      <c r="W221" s="814"/>
      <c r="X221" s="814"/>
    </row>
    <row r="222" spans="1:24" s="412" customFormat="1" ht="15.95" hidden="1" customHeight="1">
      <c r="A222" s="863">
        <v>28</v>
      </c>
      <c r="B222" s="820" t="s">
        <v>724</v>
      </c>
      <c r="C222" s="822" t="s">
        <v>725</v>
      </c>
      <c r="D222" s="870" t="s">
        <v>726</v>
      </c>
      <c r="E222" s="819" t="s">
        <v>650</v>
      </c>
      <c r="F222" s="819" t="s">
        <v>727</v>
      </c>
      <c r="G222" s="820" t="s">
        <v>652</v>
      </c>
      <c r="H222" s="411">
        <f>H223+H224+H225+H226</f>
        <v>12276164</v>
      </c>
      <c r="I222" s="411">
        <f>I223+I224+I225+I226</f>
        <v>7075436</v>
      </c>
      <c r="J222" s="817" t="s">
        <v>5</v>
      </c>
      <c r="K222" s="816">
        <f t="shared" ref="K222" si="461">L222+O222</f>
        <v>5200728</v>
      </c>
      <c r="L222" s="816">
        <f t="shared" ref="L222" si="462">M222+N222</f>
        <v>4653283</v>
      </c>
      <c r="M222" s="814">
        <v>4653283</v>
      </c>
      <c r="N222" s="814">
        <v>0</v>
      </c>
      <c r="O222" s="816">
        <f t="shared" ref="O222" si="463">P222+S222+V222</f>
        <v>547445</v>
      </c>
      <c r="P222" s="816">
        <f t="shared" ref="P222" si="464">Q222+R222</f>
        <v>547445</v>
      </c>
      <c r="Q222" s="814">
        <v>547445</v>
      </c>
      <c r="R222" s="814">
        <v>0</v>
      </c>
      <c r="S222" s="816">
        <f t="shared" ref="S222" si="465">T222+U222</f>
        <v>0</v>
      </c>
      <c r="T222" s="814">
        <v>0</v>
      </c>
      <c r="U222" s="814">
        <v>0</v>
      </c>
      <c r="V222" s="816">
        <f t="shared" ref="V222" si="466">W222+X222</f>
        <v>0</v>
      </c>
      <c r="W222" s="814">
        <v>0</v>
      </c>
      <c r="X222" s="814">
        <v>0</v>
      </c>
    </row>
    <row r="223" spans="1:24" s="412" customFormat="1" ht="15.95" hidden="1" customHeight="1">
      <c r="A223" s="863"/>
      <c r="B223" s="820"/>
      <c r="C223" s="822"/>
      <c r="D223" s="870"/>
      <c r="E223" s="819"/>
      <c r="F223" s="819"/>
      <c r="G223" s="820"/>
      <c r="H223" s="411">
        <v>10983936</v>
      </c>
      <c r="I223" s="411">
        <v>6330653</v>
      </c>
      <c r="J223" s="818"/>
      <c r="K223" s="816"/>
      <c r="L223" s="816"/>
      <c r="M223" s="814"/>
      <c r="N223" s="814"/>
      <c r="O223" s="816"/>
      <c r="P223" s="816"/>
      <c r="Q223" s="814"/>
      <c r="R223" s="814"/>
      <c r="S223" s="816"/>
      <c r="T223" s="814"/>
      <c r="U223" s="814"/>
      <c r="V223" s="816"/>
      <c r="W223" s="814"/>
      <c r="X223" s="814"/>
    </row>
    <row r="224" spans="1:24" s="412" customFormat="1" ht="15.95" hidden="1" customHeight="1">
      <c r="A224" s="863"/>
      <c r="B224" s="820"/>
      <c r="C224" s="822"/>
      <c r="D224" s="870"/>
      <c r="E224" s="819"/>
      <c r="F224" s="819"/>
      <c r="G224" s="820"/>
      <c r="H224" s="411">
        <v>1292228</v>
      </c>
      <c r="I224" s="411">
        <v>744783</v>
      </c>
      <c r="J224" s="411" t="s">
        <v>6</v>
      </c>
      <c r="K224" s="413">
        <f t="shared" ref="K224" si="467">L224+O224</f>
        <v>0</v>
      </c>
      <c r="L224" s="413">
        <f t="shared" ref="L224" si="468">M224+N224</f>
        <v>0</v>
      </c>
      <c r="M224" s="414">
        <v>0</v>
      </c>
      <c r="N224" s="414">
        <v>0</v>
      </c>
      <c r="O224" s="413">
        <f t="shared" ref="O224" si="469">P224+S224+V224</f>
        <v>0</v>
      </c>
      <c r="P224" s="413">
        <f t="shared" ref="P224" si="470">Q224+R224</f>
        <v>0</v>
      </c>
      <c r="Q224" s="414">
        <v>0</v>
      </c>
      <c r="R224" s="414">
        <v>0</v>
      </c>
      <c r="S224" s="413">
        <f t="shared" ref="S224" si="471">T224+U224</f>
        <v>0</v>
      </c>
      <c r="T224" s="414">
        <v>0</v>
      </c>
      <c r="U224" s="414">
        <v>0</v>
      </c>
      <c r="V224" s="413">
        <f t="shared" ref="V224" si="472">W224+X224</f>
        <v>0</v>
      </c>
      <c r="W224" s="414">
        <v>0</v>
      </c>
      <c r="X224" s="414">
        <v>0</v>
      </c>
    </row>
    <row r="225" spans="1:24" s="412" customFormat="1" ht="15.95" hidden="1" customHeight="1">
      <c r="A225" s="863"/>
      <c r="B225" s="820"/>
      <c r="C225" s="822"/>
      <c r="D225" s="870"/>
      <c r="E225" s="819"/>
      <c r="F225" s="819"/>
      <c r="G225" s="820"/>
      <c r="H225" s="411">
        <v>0</v>
      </c>
      <c r="I225" s="411">
        <v>0</v>
      </c>
      <c r="J225" s="817" t="s">
        <v>7</v>
      </c>
      <c r="K225" s="816">
        <f t="shared" ref="K225:X225" si="473">K222+K224</f>
        <v>5200728</v>
      </c>
      <c r="L225" s="816">
        <f t="shared" si="473"/>
        <v>4653283</v>
      </c>
      <c r="M225" s="814">
        <f t="shared" si="473"/>
        <v>4653283</v>
      </c>
      <c r="N225" s="814">
        <f t="shared" si="473"/>
        <v>0</v>
      </c>
      <c r="O225" s="816">
        <f t="shared" si="473"/>
        <v>547445</v>
      </c>
      <c r="P225" s="816">
        <f t="shared" si="473"/>
        <v>547445</v>
      </c>
      <c r="Q225" s="814">
        <f t="shared" si="473"/>
        <v>547445</v>
      </c>
      <c r="R225" s="814">
        <f t="shared" si="473"/>
        <v>0</v>
      </c>
      <c r="S225" s="816">
        <f t="shared" si="473"/>
        <v>0</v>
      </c>
      <c r="T225" s="814">
        <f t="shared" si="473"/>
        <v>0</v>
      </c>
      <c r="U225" s="814">
        <f t="shared" si="473"/>
        <v>0</v>
      </c>
      <c r="V225" s="816">
        <f t="shared" si="473"/>
        <v>0</v>
      </c>
      <c r="W225" s="814">
        <f t="shared" si="473"/>
        <v>0</v>
      </c>
      <c r="X225" s="814">
        <f t="shared" si="473"/>
        <v>0</v>
      </c>
    </row>
    <row r="226" spans="1:24" s="412" customFormat="1" ht="15.95" hidden="1" customHeight="1">
      <c r="A226" s="863"/>
      <c r="B226" s="820"/>
      <c r="C226" s="822"/>
      <c r="D226" s="870"/>
      <c r="E226" s="819"/>
      <c r="F226" s="819"/>
      <c r="G226" s="820"/>
      <c r="H226" s="411">
        <v>0</v>
      </c>
      <c r="I226" s="411">
        <v>0</v>
      </c>
      <c r="J226" s="818"/>
      <c r="K226" s="816"/>
      <c r="L226" s="816"/>
      <c r="M226" s="814"/>
      <c r="N226" s="814"/>
      <c r="O226" s="816"/>
      <c r="P226" s="816"/>
      <c r="Q226" s="814"/>
      <c r="R226" s="814"/>
      <c r="S226" s="816"/>
      <c r="T226" s="814"/>
      <c r="U226" s="814"/>
      <c r="V226" s="816"/>
      <c r="W226" s="814"/>
      <c r="X226" s="814"/>
    </row>
    <row r="227" spans="1:24" s="412" customFormat="1" ht="16.5" hidden="1" customHeight="1">
      <c r="A227" s="863">
        <v>40</v>
      </c>
      <c r="B227" s="820" t="s">
        <v>728</v>
      </c>
      <c r="C227" s="822" t="s">
        <v>729</v>
      </c>
      <c r="D227" s="870" t="s">
        <v>730</v>
      </c>
      <c r="E227" s="819" t="s">
        <v>624</v>
      </c>
      <c r="F227" s="819" t="s">
        <v>707</v>
      </c>
      <c r="G227" s="820" t="s">
        <v>629</v>
      </c>
      <c r="H227" s="411">
        <f>H228+H229+H230+H231</f>
        <v>1484640</v>
      </c>
      <c r="I227" s="411">
        <f>I228+I229+I230+I231</f>
        <v>0</v>
      </c>
      <c r="J227" s="817" t="s">
        <v>5</v>
      </c>
      <c r="K227" s="816">
        <f t="shared" ref="K227" si="474">L227+O227</f>
        <v>431100</v>
      </c>
      <c r="L227" s="816">
        <f t="shared" ref="L227" si="475">M227+N227</f>
        <v>366435</v>
      </c>
      <c r="M227" s="814">
        <v>366435</v>
      </c>
      <c r="N227" s="814">
        <v>0</v>
      </c>
      <c r="O227" s="816">
        <f t="shared" ref="O227" si="476">P227+S227+V227</f>
        <v>64665</v>
      </c>
      <c r="P227" s="816">
        <f t="shared" ref="P227" si="477">Q227+R227</f>
        <v>43110</v>
      </c>
      <c r="Q227" s="814">
        <v>43110</v>
      </c>
      <c r="R227" s="814">
        <v>0</v>
      </c>
      <c r="S227" s="816">
        <f t="shared" ref="S227" si="478">T227+U227</f>
        <v>21555</v>
      </c>
      <c r="T227" s="814">
        <v>21555</v>
      </c>
      <c r="U227" s="814">
        <v>0</v>
      </c>
      <c r="V227" s="816">
        <f t="shared" ref="V227" si="479">W227+X227</f>
        <v>0</v>
      </c>
      <c r="W227" s="814">
        <v>0</v>
      </c>
      <c r="X227" s="814">
        <v>0</v>
      </c>
    </row>
    <row r="228" spans="1:24" s="412" customFormat="1" ht="16.5" hidden="1" customHeight="1">
      <c r="A228" s="863"/>
      <c r="B228" s="820"/>
      <c r="C228" s="822"/>
      <c r="D228" s="870"/>
      <c r="E228" s="819"/>
      <c r="F228" s="819"/>
      <c r="G228" s="820"/>
      <c r="H228" s="411">
        <v>1261944</v>
      </c>
      <c r="I228" s="411">
        <v>0</v>
      </c>
      <c r="J228" s="818"/>
      <c r="K228" s="816"/>
      <c r="L228" s="816"/>
      <c r="M228" s="814"/>
      <c r="N228" s="814"/>
      <c r="O228" s="816"/>
      <c r="P228" s="816"/>
      <c r="Q228" s="814"/>
      <c r="R228" s="814"/>
      <c r="S228" s="816"/>
      <c r="T228" s="814"/>
      <c r="U228" s="814"/>
      <c r="V228" s="816"/>
      <c r="W228" s="814"/>
      <c r="X228" s="814"/>
    </row>
    <row r="229" spans="1:24" s="412" customFormat="1" ht="16.5" hidden="1" customHeight="1">
      <c r="A229" s="863"/>
      <c r="B229" s="820"/>
      <c r="C229" s="822"/>
      <c r="D229" s="870"/>
      <c r="E229" s="819"/>
      <c r="F229" s="819"/>
      <c r="G229" s="820"/>
      <c r="H229" s="411">
        <v>148464</v>
      </c>
      <c r="I229" s="411">
        <v>0</v>
      </c>
      <c r="J229" s="411" t="s">
        <v>6</v>
      </c>
      <c r="K229" s="413">
        <f t="shared" ref="K229" si="480">L229+O229</f>
        <v>0</v>
      </c>
      <c r="L229" s="413">
        <f t="shared" ref="L229" si="481">M229+N229</f>
        <v>0</v>
      </c>
      <c r="M229" s="414">
        <v>0</v>
      </c>
      <c r="N229" s="414">
        <v>0</v>
      </c>
      <c r="O229" s="413">
        <f t="shared" ref="O229" si="482">P229+S229+V229</f>
        <v>0</v>
      </c>
      <c r="P229" s="413">
        <f t="shared" ref="P229" si="483">Q229+R229</f>
        <v>0</v>
      </c>
      <c r="Q229" s="414">
        <v>0</v>
      </c>
      <c r="R229" s="414">
        <v>0</v>
      </c>
      <c r="S229" s="413">
        <f t="shared" ref="S229" si="484">T229+U229</f>
        <v>0</v>
      </c>
      <c r="T229" s="414">
        <v>0</v>
      </c>
      <c r="U229" s="414">
        <v>0</v>
      </c>
      <c r="V229" s="413">
        <f t="shared" ref="V229" si="485">W229+X229</f>
        <v>0</v>
      </c>
      <c r="W229" s="414">
        <v>0</v>
      </c>
      <c r="X229" s="414">
        <v>0</v>
      </c>
    </row>
    <row r="230" spans="1:24" s="412" customFormat="1" ht="16.5" hidden="1" customHeight="1">
      <c r="A230" s="863"/>
      <c r="B230" s="820"/>
      <c r="C230" s="822"/>
      <c r="D230" s="870"/>
      <c r="E230" s="819"/>
      <c r="F230" s="819"/>
      <c r="G230" s="820"/>
      <c r="H230" s="411">
        <v>74232</v>
      </c>
      <c r="I230" s="411">
        <v>0</v>
      </c>
      <c r="J230" s="817" t="s">
        <v>7</v>
      </c>
      <c r="K230" s="816">
        <f t="shared" ref="K230:X230" si="486">K227+K229</f>
        <v>431100</v>
      </c>
      <c r="L230" s="816">
        <f t="shared" si="486"/>
        <v>366435</v>
      </c>
      <c r="M230" s="814">
        <f t="shared" si="486"/>
        <v>366435</v>
      </c>
      <c r="N230" s="814">
        <f t="shared" si="486"/>
        <v>0</v>
      </c>
      <c r="O230" s="816">
        <f t="shared" si="486"/>
        <v>64665</v>
      </c>
      <c r="P230" s="816">
        <f t="shared" si="486"/>
        <v>43110</v>
      </c>
      <c r="Q230" s="814">
        <f t="shared" si="486"/>
        <v>43110</v>
      </c>
      <c r="R230" s="814">
        <f t="shared" si="486"/>
        <v>0</v>
      </c>
      <c r="S230" s="816">
        <f t="shared" si="486"/>
        <v>21555</v>
      </c>
      <c r="T230" s="814">
        <f t="shared" si="486"/>
        <v>21555</v>
      </c>
      <c r="U230" s="814">
        <f t="shared" si="486"/>
        <v>0</v>
      </c>
      <c r="V230" s="816">
        <f t="shared" si="486"/>
        <v>0</v>
      </c>
      <c r="W230" s="814">
        <f t="shared" si="486"/>
        <v>0</v>
      </c>
      <c r="X230" s="814">
        <f t="shared" si="486"/>
        <v>0</v>
      </c>
    </row>
    <row r="231" spans="1:24" s="412" customFormat="1" ht="16.5" hidden="1" customHeight="1">
      <c r="A231" s="863"/>
      <c r="B231" s="820"/>
      <c r="C231" s="822"/>
      <c r="D231" s="870"/>
      <c r="E231" s="819"/>
      <c r="F231" s="819"/>
      <c r="G231" s="820"/>
      <c r="H231" s="411">
        <v>0</v>
      </c>
      <c r="I231" s="411">
        <v>0</v>
      </c>
      <c r="J231" s="818"/>
      <c r="K231" s="816"/>
      <c r="L231" s="816"/>
      <c r="M231" s="814"/>
      <c r="N231" s="814"/>
      <c r="O231" s="816"/>
      <c r="P231" s="816"/>
      <c r="Q231" s="814"/>
      <c r="R231" s="814"/>
      <c r="S231" s="816"/>
      <c r="T231" s="814"/>
      <c r="U231" s="814"/>
      <c r="V231" s="816"/>
      <c r="W231" s="814"/>
      <c r="X231" s="814"/>
    </row>
    <row r="232" spans="1:24" s="412" customFormat="1" ht="16.5" hidden="1" customHeight="1">
      <c r="A232" s="863">
        <v>29</v>
      </c>
      <c r="B232" s="820" t="s">
        <v>728</v>
      </c>
      <c r="C232" s="822" t="s">
        <v>729</v>
      </c>
      <c r="D232" s="860" t="s">
        <v>731</v>
      </c>
      <c r="E232" s="825" t="s">
        <v>732</v>
      </c>
      <c r="F232" s="825" t="s">
        <v>733</v>
      </c>
      <c r="G232" s="828" t="s">
        <v>734</v>
      </c>
      <c r="H232" s="411">
        <f>H233+H234+H235+H236</f>
        <v>427204</v>
      </c>
      <c r="I232" s="411">
        <f>I233+I234+I235+I236</f>
        <v>226232</v>
      </c>
      <c r="J232" s="817" t="s">
        <v>5</v>
      </c>
      <c r="K232" s="816">
        <f t="shared" ref="K232" si="487">L232+O232</f>
        <v>192785</v>
      </c>
      <c r="L232" s="816">
        <f t="shared" ref="L232" si="488">M232+N232</f>
        <v>172492</v>
      </c>
      <c r="M232" s="814">
        <v>172492</v>
      </c>
      <c r="N232" s="814">
        <v>0</v>
      </c>
      <c r="O232" s="816">
        <f t="shared" ref="O232" si="489">P232+S232+V232</f>
        <v>20293</v>
      </c>
      <c r="P232" s="816">
        <f t="shared" ref="P232" si="490">Q232+R232</f>
        <v>20293</v>
      </c>
      <c r="Q232" s="814">
        <v>20293</v>
      </c>
      <c r="R232" s="814">
        <v>0</v>
      </c>
      <c r="S232" s="816">
        <f t="shared" ref="S232" si="491">T232+U232</f>
        <v>0</v>
      </c>
      <c r="T232" s="814">
        <v>0</v>
      </c>
      <c r="U232" s="814">
        <v>0</v>
      </c>
      <c r="V232" s="816">
        <f t="shared" ref="V232" si="492">W232+X232</f>
        <v>0</v>
      </c>
      <c r="W232" s="814">
        <v>0</v>
      </c>
      <c r="X232" s="814">
        <v>0</v>
      </c>
    </row>
    <row r="233" spans="1:24" s="412" customFormat="1" ht="16.5" hidden="1" customHeight="1">
      <c r="A233" s="863"/>
      <c r="B233" s="820"/>
      <c r="C233" s="822"/>
      <c r="D233" s="861"/>
      <c r="E233" s="826"/>
      <c r="F233" s="826"/>
      <c r="G233" s="829"/>
      <c r="H233" s="411">
        <v>382236</v>
      </c>
      <c r="I233" s="411">
        <v>202418</v>
      </c>
      <c r="J233" s="818"/>
      <c r="K233" s="816"/>
      <c r="L233" s="816"/>
      <c r="M233" s="814"/>
      <c r="N233" s="814"/>
      <c r="O233" s="816"/>
      <c r="P233" s="816"/>
      <c r="Q233" s="814"/>
      <c r="R233" s="814"/>
      <c r="S233" s="816"/>
      <c r="T233" s="814"/>
      <c r="U233" s="814"/>
      <c r="V233" s="816"/>
      <c r="W233" s="814"/>
      <c r="X233" s="814"/>
    </row>
    <row r="234" spans="1:24" s="412" customFormat="1" ht="16.5" hidden="1" customHeight="1">
      <c r="A234" s="863"/>
      <c r="B234" s="820"/>
      <c r="C234" s="822"/>
      <c r="D234" s="861"/>
      <c r="E234" s="826"/>
      <c r="F234" s="826"/>
      <c r="G234" s="829"/>
      <c r="H234" s="411">
        <v>44968</v>
      </c>
      <c r="I234" s="411">
        <v>23814</v>
      </c>
      <c r="J234" s="411" t="s">
        <v>6</v>
      </c>
      <c r="K234" s="413">
        <f t="shared" ref="K234" si="493">L234+O234</f>
        <v>0</v>
      </c>
      <c r="L234" s="413">
        <f t="shared" ref="L234" si="494">M234+N234</f>
        <v>0</v>
      </c>
      <c r="M234" s="414">
        <v>0</v>
      </c>
      <c r="N234" s="414">
        <v>0</v>
      </c>
      <c r="O234" s="413">
        <f t="shared" ref="O234" si="495">P234+S234+V234</f>
        <v>0</v>
      </c>
      <c r="P234" s="413">
        <f t="shared" ref="P234" si="496">Q234+R234</f>
        <v>0</v>
      </c>
      <c r="Q234" s="414">
        <v>0</v>
      </c>
      <c r="R234" s="414">
        <v>0</v>
      </c>
      <c r="S234" s="413">
        <f t="shared" ref="S234" si="497">T234+U234</f>
        <v>0</v>
      </c>
      <c r="T234" s="414">
        <v>0</v>
      </c>
      <c r="U234" s="414">
        <v>0</v>
      </c>
      <c r="V234" s="413">
        <f t="shared" ref="V234" si="498">W234+X234</f>
        <v>0</v>
      </c>
      <c r="W234" s="414">
        <v>0</v>
      </c>
      <c r="X234" s="414">
        <v>0</v>
      </c>
    </row>
    <row r="235" spans="1:24" s="412" customFormat="1" ht="16.5" hidden="1" customHeight="1">
      <c r="A235" s="863"/>
      <c r="B235" s="820"/>
      <c r="C235" s="822"/>
      <c r="D235" s="861"/>
      <c r="E235" s="826"/>
      <c r="F235" s="826"/>
      <c r="G235" s="829"/>
      <c r="H235" s="411">
        <v>0</v>
      </c>
      <c r="I235" s="411">
        <v>0</v>
      </c>
      <c r="J235" s="817" t="s">
        <v>7</v>
      </c>
      <c r="K235" s="816">
        <f t="shared" ref="K235:X235" si="499">K232+K234</f>
        <v>192785</v>
      </c>
      <c r="L235" s="816">
        <f t="shared" si="499"/>
        <v>172492</v>
      </c>
      <c r="M235" s="814">
        <f t="shared" si="499"/>
        <v>172492</v>
      </c>
      <c r="N235" s="814">
        <f t="shared" si="499"/>
        <v>0</v>
      </c>
      <c r="O235" s="816">
        <f t="shared" si="499"/>
        <v>20293</v>
      </c>
      <c r="P235" s="816">
        <f t="shared" si="499"/>
        <v>20293</v>
      </c>
      <c r="Q235" s="814">
        <f t="shared" si="499"/>
        <v>20293</v>
      </c>
      <c r="R235" s="814">
        <f t="shared" si="499"/>
        <v>0</v>
      </c>
      <c r="S235" s="816">
        <f t="shared" si="499"/>
        <v>0</v>
      </c>
      <c r="T235" s="814">
        <f t="shared" si="499"/>
        <v>0</v>
      </c>
      <c r="U235" s="814">
        <f t="shared" si="499"/>
        <v>0</v>
      </c>
      <c r="V235" s="816">
        <f t="shared" si="499"/>
        <v>0</v>
      </c>
      <c r="W235" s="814">
        <f t="shared" si="499"/>
        <v>0</v>
      </c>
      <c r="X235" s="814">
        <f t="shared" si="499"/>
        <v>0</v>
      </c>
    </row>
    <row r="236" spans="1:24" s="412" customFormat="1" ht="16.5" hidden="1" customHeight="1">
      <c r="A236" s="863"/>
      <c r="B236" s="820"/>
      <c r="C236" s="822"/>
      <c r="D236" s="862"/>
      <c r="E236" s="827"/>
      <c r="F236" s="827"/>
      <c r="G236" s="830"/>
      <c r="H236" s="411">
        <v>0</v>
      </c>
      <c r="I236" s="411">
        <v>0</v>
      </c>
      <c r="J236" s="818"/>
      <c r="K236" s="816"/>
      <c r="L236" s="816"/>
      <c r="M236" s="814"/>
      <c r="N236" s="814"/>
      <c r="O236" s="816"/>
      <c r="P236" s="816"/>
      <c r="Q236" s="814"/>
      <c r="R236" s="814"/>
      <c r="S236" s="816"/>
      <c r="T236" s="814"/>
      <c r="U236" s="814"/>
      <c r="V236" s="816"/>
      <c r="W236" s="814"/>
      <c r="X236" s="814"/>
    </row>
    <row r="237" spans="1:24" s="412" customFormat="1" ht="16.5" hidden="1" customHeight="1">
      <c r="A237" s="863">
        <v>30</v>
      </c>
      <c r="B237" s="828" t="s">
        <v>735</v>
      </c>
      <c r="C237" s="822" t="s">
        <v>736</v>
      </c>
      <c r="D237" s="860" t="s">
        <v>737</v>
      </c>
      <c r="E237" s="819" t="s">
        <v>650</v>
      </c>
      <c r="F237" s="825" t="s">
        <v>738</v>
      </c>
      <c r="G237" s="828" t="s">
        <v>688</v>
      </c>
      <c r="H237" s="411">
        <f>H238+H239+H240+H241</f>
        <v>4691046</v>
      </c>
      <c r="I237" s="411">
        <f>I238+I239+I240+I241</f>
        <v>2985800</v>
      </c>
      <c r="J237" s="817" t="s">
        <v>5</v>
      </c>
      <c r="K237" s="816">
        <f t="shared" ref="K237" si="500">L237+O237</f>
        <v>1705246</v>
      </c>
      <c r="L237" s="816">
        <f t="shared" ref="L237" si="501">M237+N237</f>
        <v>1525746</v>
      </c>
      <c r="M237" s="814">
        <v>1525746</v>
      </c>
      <c r="N237" s="814">
        <v>0</v>
      </c>
      <c r="O237" s="816">
        <f t="shared" ref="O237" si="502">P237+S237+V237</f>
        <v>179500</v>
      </c>
      <c r="P237" s="816">
        <f t="shared" ref="P237" si="503">Q237+R237</f>
        <v>179500</v>
      </c>
      <c r="Q237" s="814">
        <v>179500</v>
      </c>
      <c r="R237" s="814">
        <v>0</v>
      </c>
      <c r="S237" s="816">
        <f t="shared" ref="S237" si="504">T237+U237</f>
        <v>0</v>
      </c>
      <c r="T237" s="814">
        <v>0</v>
      </c>
      <c r="U237" s="814">
        <v>0</v>
      </c>
      <c r="V237" s="816">
        <f t="shared" ref="V237" si="505">W237+X237</f>
        <v>0</v>
      </c>
      <c r="W237" s="814">
        <v>0</v>
      </c>
      <c r="X237" s="814">
        <v>0</v>
      </c>
    </row>
    <row r="238" spans="1:24" s="412" customFormat="1" ht="16.5" hidden="1" customHeight="1">
      <c r="A238" s="863"/>
      <c r="B238" s="829"/>
      <c r="C238" s="822"/>
      <c r="D238" s="861"/>
      <c r="E238" s="819"/>
      <c r="F238" s="826"/>
      <c r="G238" s="829"/>
      <c r="H238" s="411">
        <v>4197251</v>
      </c>
      <c r="I238" s="411">
        <v>2671505</v>
      </c>
      <c r="J238" s="818"/>
      <c r="K238" s="816"/>
      <c r="L238" s="816"/>
      <c r="M238" s="814"/>
      <c r="N238" s="814"/>
      <c r="O238" s="816"/>
      <c r="P238" s="816"/>
      <c r="Q238" s="814"/>
      <c r="R238" s="814"/>
      <c r="S238" s="816"/>
      <c r="T238" s="814"/>
      <c r="U238" s="814"/>
      <c r="V238" s="816"/>
      <c r="W238" s="814"/>
      <c r="X238" s="814"/>
    </row>
    <row r="239" spans="1:24" s="412" customFormat="1" ht="16.5" hidden="1" customHeight="1">
      <c r="A239" s="863"/>
      <c r="B239" s="829"/>
      <c r="C239" s="822"/>
      <c r="D239" s="861"/>
      <c r="E239" s="819"/>
      <c r="F239" s="826"/>
      <c r="G239" s="829"/>
      <c r="H239" s="411">
        <v>493795</v>
      </c>
      <c r="I239" s="411">
        <v>314295</v>
      </c>
      <c r="J239" s="411" t="s">
        <v>6</v>
      </c>
      <c r="K239" s="413">
        <f t="shared" ref="K239" si="506">L239+O239</f>
        <v>0</v>
      </c>
      <c r="L239" s="413">
        <f t="shared" ref="L239" si="507">M239+N239</f>
        <v>0</v>
      </c>
      <c r="M239" s="414">
        <v>0</v>
      </c>
      <c r="N239" s="414">
        <v>0</v>
      </c>
      <c r="O239" s="413">
        <f t="shared" ref="O239" si="508">P239+S239+V239</f>
        <v>0</v>
      </c>
      <c r="P239" s="413">
        <f t="shared" ref="P239" si="509">Q239+R239</f>
        <v>0</v>
      </c>
      <c r="Q239" s="414">
        <v>0</v>
      </c>
      <c r="R239" s="414">
        <v>0</v>
      </c>
      <c r="S239" s="413">
        <f t="shared" ref="S239" si="510">T239+U239</f>
        <v>0</v>
      </c>
      <c r="T239" s="414">
        <v>0</v>
      </c>
      <c r="U239" s="414">
        <v>0</v>
      </c>
      <c r="V239" s="413">
        <f t="shared" ref="V239" si="511">W239+X239</f>
        <v>0</v>
      </c>
      <c r="W239" s="414">
        <v>0</v>
      </c>
      <c r="X239" s="414">
        <v>0</v>
      </c>
    </row>
    <row r="240" spans="1:24" s="412" customFormat="1" ht="16.5" hidden="1" customHeight="1">
      <c r="A240" s="863"/>
      <c r="B240" s="829"/>
      <c r="C240" s="822"/>
      <c r="D240" s="861"/>
      <c r="E240" s="819"/>
      <c r="F240" s="826"/>
      <c r="G240" s="829"/>
      <c r="H240" s="411">
        <v>0</v>
      </c>
      <c r="I240" s="411">
        <v>0</v>
      </c>
      <c r="J240" s="817" t="s">
        <v>7</v>
      </c>
      <c r="K240" s="816">
        <f t="shared" ref="K240:X240" si="512">K237+K239</f>
        <v>1705246</v>
      </c>
      <c r="L240" s="816">
        <f t="shared" si="512"/>
        <v>1525746</v>
      </c>
      <c r="M240" s="814">
        <f t="shared" si="512"/>
        <v>1525746</v>
      </c>
      <c r="N240" s="814">
        <f t="shared" si="512"/>
        <v>0</v>
      </c>
      <c r="O240" s="816">
        <f t="shared" si="512"/>
        <v>179500</v>
      </c>
      <c r="P240" s="816">
        <f t="shared" si="512"/>
        <v>179500</v>
      </c>
      <c r="Q240" s="814">
        <f t="shared" si="512"/>
        <v>179500</v>
      </c>
      <c r="R240" s="814">
        <f t="shared" si="512"/>
        <v>0</v>
      </c>
      <c r="S240" s="816">
        <f t="shared" si="512"/>
        <v>0</v>
      </c>
      <c r="T240" s="814">
        <f t="shared" si="512"/>
        <v>0</v>
      </c>
      <c r="U240" s="814">
        <f t="shared" si="512"/>
        <v>0</v>
      </c>
      <c r="V240" s="816">
        <f t="shared" si="512"/>
        <v>0</v>
      </c>
      <c r="W240" s="814">
        <f t="shared" si="512"/>
        <v>0</v>
      </c>
      <c r="X240" s="814">
        <f t="shared" si="512"/>
        <v>0</v>
      </c>
    </row>
    <row r="241" spans="1:24" s="412" customFormat="1" ht="16.5" hidden="1" customHeight="1">
      <c r="A241" s="863"/>
      <c r="B241" s="830"/>
      <c r="C241" s="822"/>
      <c r="D241" s="862"/>
      <c r="E241" s="819"/>
      <c r="F241" s="827"/>
      <c r="G241" s="830"/>
      <c r="H241" s="411">
        <v>0</v>
      </c>
      <c r="I241" s="411">
        <v>0</v>
      </c>
      <c r="J241" s="818"/>
      <c r="K241" s="816"/>
      <c r="L241" s="816"/>
      <c r="M241" s="814"/>
      <c r="N241" s="814"/>
      <c r="O241" s="816"/>
      <c r="P241" s="816"/>
      <c r="Q241" s="814"/>
      <c r="R241" s="814"/>
      <c r="S241" s="816"/>
      <c r="T241" s="814"/>
      <c r="U241" s="814"/>
      <c r="V241" s="816"/>
      <c r="W241" s="814"/>
      <c r="X241" s="814"/>
    </row>
    <row r="242" spans="1:24" s="412" customFormat="1" ht="16.5" customHeight="1">
      <c r="A242" s="859">
        <v>18</v>
      </c>
      <c r="B242" s="828" t="s">
        <v>735</v>
      </c>
      <c r="C242" s="822" t="s">
        <v>736</v>
      </c>
      <c r="D242" s="860" t="s">
        <v>739</v>
      </c>
      <c r="E242" s="819" t="s">
        <v>650</v>
      </c>
      <c r="F242" s="825" t="s">
        <v>738</v>
      </c>
      <c r="G242" s="828" t="s">
        <v>688</v>
      </c>
      <c r="H242" s="411">
        <f>H243+H244+H245+H246</f>
        <v>6889816</v>
      </c>
      <c r="I242" s="411">
        <f>I243+I244+I245+I246</f>
        <v>6872594</v>
      </c>
      <c r="J242" s="817" t="s">
        <v>5</v>
      </c>
      <c r="K242" s="816">
        <f t="shared" ref="K242" si="513">L242+O242</f>
        <v>21266</v>
      </c>
      <c r="L242" s="816">
        <f t="shared" ref="L242" si="514">M242+N242</f>
        <v>19027</v>
      </c>
      <c r="M242" s="814">
        <v>19027</v>
      </c>
      <c r="N242" s="814">
        <v>0</v>
      </c>
      <c r="O242" s="816">
        <f t="shared" ref="O242" si="515">P242+S242+V242</f>
        <v>2239</v>
      </c>
      <c r="P242" s="816">
        <f t="shared" ref="P242" si="516">Q242+R242</f>
        <v>2239</v>
      </c>
      <c r="Q242" s="814">
        <v>2239</v>
      </c>
      <c r="R242" s="814">
        <v>0</v>
      </c>
      <c r="S242" s="816">
        <f t="shared" ref="S242" si="517">T242+U242</f>
        <v>0</v>
      </c>
      <c r="T242" s="814">
        <v>0</v>
      </c>
      <c r="U242" s="814">
        <v>0</v>
      </c>
      <c r="V242" s="816">
        <f t="shared" ref="V242" si="518">W242+X242</f>
        <v>0</v>
      </c>
      <c r="W242" s="814">
        <v>0</v>
      </c>
      <c r="X242" s="814">
        <v>0</v>
      </c>
    </row>
    <row r="243" spans="1:24" s="412" customFormat="1" ht="16.5" customHeight="1">
      <c r="A243" s="859"/>
      <c r="B243" s="829"/>
      <c r="C243" s="822"/>
      <c r="D243" s="861"/>
      <c r="E243" s="819"/>
      <c r="F243" s="826"/>
      <c r="G243" s="829"/>
      <c r="H243" s="411">
        <v>6164569</v>
      </c>
      <c r="I243" s="411">
        <v>6149163</v>
      </c>
      <c r="J243" s="818"/>
      <c r="K243" s="816"/>
      <c r="L243" s="816"/>
      <c r="M243" s="814"/>
      <c r="N243" s="814"/>
      <c r="O243" s="816"/>
      <c r="P243" s="816"/>
      <c r="Q243" s="814"/>
      <c r="R243" s="814"/>
      <c r="S243" s="816"/>
      <c r="T243" s="814"/>
      <c r="U243" s="814"/>
      <c r="V243" s="816"/>
      <c r="W243" s="814"/>
      <c r="X243" s="814"/>
    </row>
    <row r="244" spans="1:24" s="412" customFormat="1" ht="16.5" customHeight="1">
      <c r="A244" s="859"/>
      <c r="B244" s="829"/>
      <c r="C244" s="822"/>
      <c r="D244" s="861"/>
      <c r="E244" s="819"/>
      <c r="F244" s="826"/>
      <c r="G244" s="829"/>
      <c r="H244" s="411">
        <v>725247</v>
      </c>
      <c r="I244" s="411">
        <v>723431</v>
      </c>
      <c r="J244" s="411" t="s">
        <v>6</v>
      </c>
      <c r="K244" s="413">
        <f t="shared" ref="K244" si="519">L244+O244</f>
        <v>-4044</v>
      </c>
      <c r="L244" s="413">
        <f t="shared" ref="L244" si="520">M244+N244</f>
        <v>-3621</v>
      </c>
      <c r="M244" s="414">
        <v>-3621</v>
      </c>
      <c r="N244" s="414">
        <v>0</v>
      </c>
      <c r="O244" s="413">
        <f t="shared" ref="O244" si="521">P244+S244+V244</f>
        <v>-423</v>
      </c>
      <c r="P244" s="413">
        <f t="shared" ref="P244" si="522">Q244+R244</f>
        <v>-423</v>
      </c>
      <c r="Q244" s="414">
        <v>-423</v>
      </c>
      <c r="R244" s="414">
        <v>0</v>
      </c>
      <c r="S244" s="413">
        <f t="shared" ref="S244" si="523">T244+U244</f>
        <v>0</v>
      </c>
      <c r="T244" s="414">
        <v>0</v>
      </c>
      <c r="U244" s="414">
        <v>0</v>
      </c>
      <c r="V244" s="413">
        <f t="shared" ref="V244" si="524">W244+X244</f>
        <v>0</v>
      </c>
      <c r="W244" s="414">
        <v>0</v>
      </c>
      <c r="X244" s="414">
        <v>0</v>
      </c>
    </row>
    <row r="245" spans="1:24" s="412" customFormat="1" ht="16.5" customHeight="1">
      <c r="A245" s="859"/>
      <c r="B245" s="829"/>
      <c r="C245" s="822"/>
      <c r="D245" s="861"/>
      <c r="E245" s="819"/>
      <c r="F245" s="826"/>
      <c r="G245" s="829"/>
      <c r="H245" s="411">
        <v>0</v>
      </c>
      <c r="I245" s="411">
        <v>0</v>
      </c>
      <c r="J245" s="817" t="s">
        <v>7</v>
      </c>
      <c r="K245" s="816">
        <f t="shared" ref="K245:X245" si="525">K242+K244</f>
        <v>17222</v>
      </c>
      <c r="L245" s="816">
        <f t="shared" si="525"/>
        <v>15406</v>
      </c>
      <c r="M245" s="814">
        <f t="shared" si="525"/>
        <v>15406</v>
      </c>
      <c r="N245" s="814">
        <f t="shared" si="525"/>
        <v>0</v>
      </c>
      <c r="O245" s="816">
        <f t="shared" si="525"/>
        <v>1816</v>
      </c>
      <c r="P245" s="816">
        <f t="shared" si="525"/>
        <v>1816</v>
      </c>
      <c r="Q245" s="814">
        <f t="shared" si="525"/>
        <v>1816</v>
      </c>
      <c r="R245" s="814">
        <f t="shared" si="525"/>
        <v>0</v>
      </c>
      <c r="S245" s="816">
        <f t="shared" si="525"/>
        <v>0</v>
      </c>
      <c r="T245" s="814">
        <f t="shared" si="525"/>
        <v>0</v>
      </c>
      <c r="U245" s="814">
        <f t="shared" si="525"/>
        <v>0</v>
      </c>
      <c r="V245" s="816">
        <f t="shared" si="525"/>
        <v>0</v>
      </c>
      <c r="W245" s="814">
        <f t="shared" si="525"/>
        <v>0</v>
      </c>
      <c r="X245" s="814">
        <f t="shared" si="525"/>
        <v>0</v>
      </c>
    </row>
    <row r="246" spans="1:24" s="412" customFormat="1" ht="16.5" customHeight="1">
      <c r="A246" s="859"/>
      <c r="B246" s="830"/>
      <c r="C246" s="822"/>
      <c r="D246" s="862"/>
      <c r="E246" s="819"/>
      <c r="F246" s="827"/>
      <c r="G246" s="830"/>
      <c r="H246" s="411">
        <v>0</v>
      </c>
      <c r="I246" s="411">
        <v>0</v>
      </c>
      <c r="J246" s="818"/>
      <c r="K246" s="816"/>
      <c r="L246" s="816"/>
      <c r="M246" s="814"/>
      <c r="N246" s="814"/>
      <c r="O246" s="816"/>
      <c r="P246" s="816"/>
      <c r="Q246" s="814"/>
      <c r="R246" s="814"/>
      <c r="S246" s="816"/>
      <c r="T246" s="814"/>
      <c r="U246" s="814"/>
      <c r="V246" s="816"/>
      <c r="W246" s="814"/>
      <c r="X246" s="814"/>
    </row>
    <row r="247" spans="1:24" s="412" customFormat="1" ht="16.5" hidden="1" customHeight="1">
      <c r="A247" s="863">
        <v>44</v>
      </c>
      <c r="B247" s="828" t="s">
        <v>735</v>
      </c>
      <c r="C247" s="822" t="s">
        <v>736</v>
      </c>
      <c r="D247" s="860" t="s">
        <v>740</v>
      </c>
      <c r="E247" s="819" t="s">
        <v>650</v>
      </c>
      <c r="F247" s="825" t="s">
        <v>738</v>
      </c>
      <c r="G247" s="828" t="s">
        <v>629</v>
      </c>
      <c r="H247" s="411">
        <f>H248+H249+H250+H251</f>
        <v>4909018</v>
      </c>
      <c r="I247" s="411">
        <f>I248+I249+I250+I251</f>
        <v>0</v>
      </c>
      <c r="J247" s="817" t="s">
        <v>5</v>
      </c>
      <c r="K247" s="816">
        <f t="shared" ref="K247" si="526">L247+O247</f>
        <v>2458954</v>
      </c>
      <c r="L247" s="816">
        <f t="shared" ref="L247" si="527">M247+N247</f>
        <v>2200116</v>
      </c>
      <c r="M247" s="814">
        <v>2200116</v>
      </c>
      <c r="N247" s="814">
        <v>0</v>
      </c>
      <c r="O247" s="816">
        <f t="shared" ref="O247" si="528">P247+S247+V247</f>
        <v>258838</v>
      </c>
      <c r="P247" s="816">
        <f t="shared" ref="P247" si="529">Q247+R247</f>
        <v>258838</v>
      </c>
      <c r="Q247" s="814">
        <v>258838</v>
      </c>
      <c r="R247" s="814">
        <v>0</v>
      </c>
      <c r="S247" s="816">
        <f t="shared" ref="S247" si="530">T247+U247</f>
        <v>0</v>
      </c>
      <c r="T247" s="814">
        <v>0</v>
      </c>
      <c r="U247" s="814">
        <v>0</v>
      </c>
      <c r="V247" s="816">
        <f t="shared" ref="V247" si="531">W247+X247</f>
        <v>0</v>
      </c>
      <c r="W247" s="814">
        <v>0</v>
      </c>
      <c r="X247" s="814">
        <v>0</v>
      </c>
    </row>
    <row r="248" spans="1:24" s="412" customFormat="1" ht="16.5" hidden="1" customHeight="1">
      <c r="A248" s="863"/>
      <c r="B248" s="829"/>
      <c r="C248" s="822"/>
      <c r="D248" s="861"/>
      <c r="E248" s="819"/>
      <c r="F248" s="826"/>
      <c r="G248" s="829"/>
      <c r="H248" s="411">
        <v>4392279</v>
      </c>
      <c r="I248" s="411">
        <v>0</v>
      </c>
      <c r="J248" s="818"/>
      <c r="K248" s="816"/>
      <c r="L248" s="816"/>
      <c r="M248" s="814"/>
      <c r="N248" s="814"/>
      <c r="O248" s="816"/>
      <c r="P248" s="816"/>
      <c r="Q248" s="814"/>
      <c r="R248" s="814"/>
      <c r="S248" s="816"/>
      <c r="T248" s="814"/>
      <c r="U248" s="814"/>
      <c r="V248" s="816"/>
      <c r="W248" s="814"/>
      <c r="X248" s="814"/>
    </row>
    <row r="249" spans="1:24" s="412" customFormat="1" ht="16.5" hidden="1" customHeight="1">
      <c r="A249" s="863"/>
      <c r="B249" s="829"/>
      <c r="C249" s="822"/>
      <c r="D249" s="861"/>
      <c r="E249" s="819"/>
      <c r="F249" s="826"/>
      <c r="G249" s="829"/>
      <c r="H249" s="411">
        <v>516739</v>
      </c>
      <c r="I249" s="411">
        <v>0</v>
      </c>
      <c r="J249" s="411" t="s">
        <v>6</v>
      </c>
      <c r="K249" s="413">
        <f t="shared" ref="K249" si="532">L249+O249</f>
        <v>0</v>
      </c>
      <c r="L249" s="413">
        <f t="shared" ref="L249" si="533">M249+N249</f>
        <v>0</v>
      </c>
      <c r="M249" s="414">
        <v>0</v>
      </c>
      <c r="N249" s="414">
        <v>0</v>
      </c>
      <c r="O249" s="413">
        <f t="shared" ref="O249" si="534">P249+S249+V249</f>
        <v>0</v>
      </c>
      <c r="P249" s="413">
        <f t="shared" ref="P249" si="535">Q249+R249</f>
        <v>0</v>
      </c>
      <c r="Q249" s="414">
        <v>0</v>
      </c>
      <c r="R249" s="414">
        <v>0</v>
      </c>
      <c r="S249" s="413">
        <f t="shared" ref="S249" si="536">T249+U249</f>
        <v>0</v>
      </c>
      <c r="T249" s="414">
        <v>0</v>
      </c>
      <c r="U249" s="414">
        <v>0</v>
      </c>
      <c r="V249" s="413">
        <f t="shared" ref="V249" si="537">W249+X249</f>
        <v>0</v>
      </c>
      <c r="W249" s="414">
        <v>0</v>
      </c>
      <c r="X249" s="414">
        <v>0</v>
      </c>
    </row>
    <row r="250" spans="1:24" s="412" customFormat="1" ht="16.5" hidden="1" customHeight="1">
      <c r="A250" s="863"/>
      <c r="B250" s="829"/>
      <c r="C250" s="822"/>
      <c r="D250" s="861"/>
      <c r="E250" s="819"/>
      <c r="F250" s="826"/>
      <c r="G250" s="829"/>
      <c r="H250" s="411">
        <v>0</v>
      </c>
      <c r="I250" s="411">
        <v>0</v>
      </c>
      <c r="J250" s="817" t="s">
        <v>7</v>
      </c>
      <c r="K250" s="816">
        <f t="shared" ref="K250:X250" si="538">K247+K249</f>
        <v>2458954</v>
      </c>
      <c r="L250" s="816">
        <f t="shared" si="538"/>
        <v>2200116</v>
      </c>
      <c r="M250" s="814">
        <f t="shared" si="538"/>
        <v>2200116</v>
      </c>
      <c r="N250" s="814">
        <f t="shared" si="538"/>
        <v>0</v>
      </c>
      <c r="O250" s="816">
        <f t="shared" si="538"/>
        <v>258838</v>
      </c>
      <c r="P250" s="816">
        <f t="shared" si="538"/>
        <v>258838</v>
      </c>
      <c r="Q250" s="814">
        <f t="shared" si="538"/>
        <v>258838</v>
      </c>
      <c r="R250" s="814">
        <f t="shared" si="538"/>
        <v>0</v>
      </c>
      <c r="S250" s="816">
        <f t="shared" si="538"/>
        <v>0</v>
      </c>
      <c r="T250" s="814">
        <f t="shared" si="538"/>
        <v>0</v>
      </c>
      <c r="U250" s="814">
        <f t="shared" si="538"/>
        <v>0</v>
      </c>
      <c r="V250" s="816">
        <f t="shared" si="538"/>
        <v>0</v>
      </c>
      <c r="W250" s="814">
        <f t="shared" si="538"/>
        <v>0</v>
      </c>
      <c r="X250" s="814">
        <f t="shared" si="538"/>
        <v>0</v>
      </c>
    </row>
    <row r="251" spans="1:24" s="412" customFormat="1" ht="16.5" hidden="1" customHeight="1">
      <c r="A251" s="863"/>
      <c r="B251" s="830"/>
      <c r="C251" s="822"/>
      <c r="D251" s="862"/>
      <c r="E251" s="819"/>
      <c r="F251" s="827"/>
      <c r="G251" s="830"/>
      <c r="H251" s="411">
        <v>0</v>
      </c>
      <c r="I251" s="411">
        <v>0</v>
      </c>
      <c r="J251" s="818"/>
      <c r="K251" s="816"/>
      <c r="L251" s="816"/>
      <c r="M251" s="814"/>
      <c r="N251" s="814"/>
      <c r="O251" s="816"/>
      <c r="P251" s="816"/>
      <c r="Q251" s="814"/>
      <c r="R251" s="814"/>
      <c r="S251" s="816"/>
      <c r="T251" s="814"/>
      <c r="U251" s="814"/>
      <c r="V251" s="816"/>
      <c r="W251" s="814"/>
      <c r="X251" s="814"/>
    </row>
    <row r="252" spans="1:24" s="412" customFormat="1" ht="16.5" hidden="1" customHeight="1">
      <c r="A252" s="863">
        <v>31</v>
      </c>
      <c r="B252" s="834" t="s">
        <v>741</v>
      </c>
      <c r="C252" s="822" t="s">
        <v>742</v>
      </c>
      <c r="D252" s="860" t="s">
        <v>743</v>
      </c>
      <c r="E252" s="819" t="s">
        <v>624</v>
      </c>
      <c r="F252" s="825" t="s">
        <v>744</v>
      </c>
      <c r="G252" s="828" t="s">
        <v>639</v>
      </c>
      <c r="H252" s="411">
        <f>H253+H254+H255+H256</f>
        <v>9781200</v>
      </c>
      <c r="I252" s="411">
        <f>I253+I254+I255+I256</f>
        <v>3203368</v>
      </c>
      <c r="J252" s="817" t="s">
        <v>5</v>
      </c>
      <c r="K252" s="816">
        <f t="shared" ref="K252" si="539">L252+O252</f>
        <v>6577832</v>
      </c>
      <c r="L252" s="816">
        <f t="shared" ref="L252" si="540">M252+N252</f>
        <v>5591157</v>
      </c>
      <c r="M252" s="814">
        <v>5591157</v>
      </c>
      <c r="N252" s="814">
        <v>0</v>
      </c>
      <c r="O252" s="816">
        <f t="shared" ref="O252" si="541">P252+S252+V252</f>
        <v>986675</v>
      </c>
      <c r="P252" s="816">
        <f t="shared" ref="P252" si="542">Q252+R252</f>
        <v>657783</v>
      </c>
      <c r="Q252" s="814">
        <v>657783</v>
      </c>
      <c r="R252" s="814">
        <v>0</v>
      </c>
      <c r="S252" s="816">
        <f t="shared" ref="S252" si="543">T252+U252</f>
        <v>328892</v>
      </c>
      <c r="T252" s="814">
        <v>328892</v>
      </c>
      <c r="U252" s="814">
        <v>0</v>
      </c>
      <c r="V252" s="816">
        <f t="shared" ref="V252" si="544">W252+X252</f>
        <v>0</v>
      </c>
      <c r="W252" s="814">
        <v>0</v>
      </c>
      <c r="X252" s="814">
        <v>0</v>
      </c>
    </row>
    <row r="253" spans="1:24" s="412" customFormat="1" ht="16.5" hidden="1" customHeight="1">
      <c r="A253" s="863"/>
      <c r="B253" s="835"/>
      <c r="C253" s="822"/>
      <c r="D253" s="861"/>
      <c r="E253" s="819"/>
      <c r="F253" s="826"/>
      <c r="G253" s="829"/>
      <c r="H253" s="415">
        <v>8314020</v>
      </c>
      <c r="I253" s="411">
        <v>2722863</v>
      </c>
      <c r="J253" s="818"/>
      <c r="K253" s="816"/>
      <c r="L253" s="816"/>
      <c r="M253" s="814"/>
      <c r="N253" s="814"/>
      <c r="O253" s="816"/>
      <c r="P253" s="816"/>
      <c r="Q253" s="814"/>
      <c r="R253" s="814"/>
      <c r="S253" s="816"/>
      <c r="T253" s="814"/>
      <c r="U253" s="814"/>
      <c r="V253" s="816"/>
      <c r="W253" s="814"/>
      <c r="X253" s="814"/>
    </row>
    <row r="254" spans="1:24" s="412" customFormat="1" ht="16.5" hidden="1" customHeight="1">
      <c r="A254" s="863"/>
      <c r="B254" s="835"/>
      <c r="C254" s="822"/>
      <c r="D254" s="861"/>
      <c r="E254" s="819"/>
      <c r="F254" s="826"/>
      <c r="G254" s="829"/>
      <c r="H254" s="415">
        <v>978120</v>
      </c>
      <c r="I254" s="411">
        <v>320337</v>
      </c>
      <c r="J254" s="411" t="s">
        <v>6</v>
      </c>
      <c r="K254" s="413">
        <f t="shared" ref="K254" si="545">L254+O254</f>
        <v>0</v>
      </c>
      <c r="L254" s="413">
        <f t="shared" ref="L254" si="546">M254+N254</f>
        <v>0</v>
      </c>
      <c r="M254" s="414">
        <v>0</v>
      </c>
      <c r="N254" s="414">
        <v>0</v>
      </c>
      <c r="O254" s="413">
        <f t="shared" ref="O254" si="547">P254+S254+V254</f>
        <v>0</v>
      </c>
      <c r="P254" s="413">
        <f t="shared" ref="P254" si="548">Q254+R254</f>
        <v>0</v>
      </c>
      <c r="Q254" s="414">
        <v>0</v>
      </c>
      <c r="R254" s="414">
        <v>0</v>
      </c>
      <c r="S254" s="413">
        <f t="shared" ref="S254" si="549">T254+U254</f>
        <v>0</v>
      </c>
      <c r="T254" s="414">
        <v>0</v>
      </c>
      <c r="U254" s="414">
        <v>0</v>
      </c>
      <c r="V254" s="413">
        <f t="shared" ref="V254" si="550">W254+X254</f>
        <v>0</v>
      </c>
      <c r="W254" s="414">
        <v>0</v>
      </c>
      <c r="X254" s="414">
        <v>0</v>
      </c>
    </row>
    <row r="255" spans="1:24" s="412" customFormat="1" ht="16.5" hidden="1" customHeight="1">
      <c r="A255" s="863"/>
      <c r="B255" s="835"/>
      <c r="C255" s="822"/>
      <c r="D255" s="861"/>
      <c r="E255" s="819"/>
      <c r="F255" s="826"/>
      <c r="G255" s="829"/>
      <c r="H255" s="415">
        <v>489060</v>
      </c>
      <c r="I255" s="411">
        <v>160168</v>
      </c>
      <c r="J255" s="817" t="s">
        <v>7</v>
      </c>
      <c r="K255" s="816">
        <f t="shared" ref="K255:X255" si="551">K252+K254</f>
        <v>6577832</v>
      </c>
      <c r="L255" s="816">
        <f t="shared" si="551"/>
        <v>5591157</v>
      </c>
      <c r="M255" s="814">
        <f t="shared" si="551"/>
        <v>5591157</v>
      </c>
      <c r="N255" s="814">
        <f t="shared" si="551"/>
        <v>0</v>
      </c>
      <c r="O255" s="816">
        <f t="shared" si="551"/>
        <v>986675</v>
      </c>
      <c r="P255" s="816">
        <f t="shared" si="551"/>
        <v>657783</v>
      </c>
      <c r="Q255" s="814">
        <f t="shared" si="551"/>
        <v>657783</v>
      </c>
      <c r="R255" s="814">
        <f t="shared" si="551"/>
        <v>0</v>
      </c>
      <c r="S255" s="816">
        <f t="shared" si="551"/>
        <v>328892</v>
      </c>
      <c r="T255" s="814">
        <f t="shared" si="551"/>
        <v>328892</v>
      </c>
      <c r="U255" s="814">
        <f t="shared" si="551"/>
        <v>0</v>
      </c>
      <c r="V255" s="816">
        <f t="shared" si="551"/>
        <v>0</v>
      </c>
      <c r="W255" s="814">
        <f t="shared" si="551"/>
        <v>0</v>
      </c>
      <c r="X255" s="814">
        <f t="shared" si="551"/>
        <v>0</v>
      </c>
    </row>
    <row r="256" spans="1:24" s="412" customFormat="1" ht="16.5" hidden="1" customHeight="1">
      <c r="A256" s="863"/>
      <c r="B256" s="836"/>
      <c r="C256" s="822"/>
      <c r="D256" s="862"/>
      <c r="E256" s="819"/>
      <c r="F256" s="827"/>
      <c r="G256" s="830"/>
      <c r="H256" s="411">
        <v>0</v>
      </c>
      <c r="I256" s="411">
        <v>0</v>
      </c>
      <c r="J256" s="818"/>
      <c r="K256" s="816"/>
      <c r="L256" s="816"/>
      <c r="M256" s="814"/>
      <c r="N256" s="814"/>
      <c r="O256" s="816"/>
      <c r="P256" s="816"/>
      <c r="Q256" s="814"/>
      <c r="R256" s="814"/>
      <c r="S256" s="816"/>
      <c r="T256" s="814"/>
      <c r="U256" s="814"/>
      <c r="V256" s="816"/>
      <c r="W256" s="814"/>
      <c r="X256" s="814"/>
    </row>
    <row r="257" spans="1:24" s="412" customFormat="1" ht="16.5" customHeight="1">
      <c r="A257" s="859">
        <v>19</v>
      </c>
      <c r="B257" s="834" t="s">
        <v>741</v>
      </c>
      <c r="C257" s="822" t="s">
        <v>742</v>
      </c>
      <c r="D257" s="864" t="s">
        <v>745</v>
      </c>
      <c r="E257" s="843" t="s">
        <v>624</v>
      </c>
      <c r="F257" s="844" t="s">
        <v>744</v>
      </c>
      <c r="G257" s="867" t="s">
        <v>639</v>
      </c>
      <c r="H257" s="411">
        <f>H258+H259+H260+H261</f>
        <v>58687033</v>
      </c>
      <c r="I257" s="411">
        <f>I258+I259+I260+I261</f>
        <v>35515039</v>
      </c>
      <c r="J257" s="817" t="s">
        <v>5</v>
      </c>
      <c r="K257" s="816">
        <f t="shared" ref="K257" si="552">L257+O257</f>
        <v>21671994</v>
      </c>
      <c r="L257" s="816">
        <f t="shared" ref="L257" si="553">M257+N257</f>
        <v>19390731</v>
      </c>
      <c r="M257" s="814">
        <v>18006124</v>
      </c>
      <c r="N257" s="814">
        <v>1384607</v>
      </c>
      <c r="O257" s="816">
        <f t="shared" ref="O257" si="554">P257+S257+V257</f>
        <v>2281263</v>
      </c>
      <c r="P257" s="816">
        <f t="shared" ref="P257" si="555">Q257+R257</f>
        <v>2281263</v>
      </c>
      <c r="Q257" s="814">
        <v>2118370</v>
      </c>
      <c r="R257" s="814">
        <v>162893</v>
      </c>
      <c r="S257" s="816">
        <f t="shared" ref="S257" si="556">T257+U257</f>
        <v>0</v>
      </c>
      <c r="T257" s="814">
        <v>0</v>
      </c>
      <c r="U257" s="814">
        <v>0</v>
      </c>
      <c r="V257" s="816">
        <f t="shared" ref="V257" si="557">W257+X257</f>
        <v>0</v>
      </c>
      <c r="W257" s="814">
        <v>0</v>
      </c>
      <c r="X257" s="814">
        <v>0</v>
      </c>
    </row>
    <row r="258" spans="1:24" s="412" customFormat="1" ht="16.5" customHeight="1">
      <c r="A258" s="859"/>
      <c r="B258" s="835"/>
      <c r="C258" s="822"/>
      <c r="D258" s="865"/>
      <c r="E258" s="843"/>
      <c r="F258" s="845"/>
      <c r="G258" s="868"/>
      <c r="H258" s="411">
        <v>52509450</v>
      </c>
      <c r="I258" s="411">
        <v>31776614</v>
      </c>
      <c r="J258" s="818"/>
      <c r="K258" s="816"/>
      <c r="L258" s="816"/>
      <c r="M258" s="814"/>
      <c r="N258" s="814"/>
      <c r="O258" s="816"/>
      <c r="P258" s="816"/>
      <c r="Q258" s="814"/>
      <c r="R258" s="814"/>
      <c r="S258" s="816"/>
      <c r="T258" s="814"/>
      <c r="U258" s="814"/>
      <c r="V258" s="816"/>
      <c r="W258" s="814"/>
      <c r="X258" s="814"/>
    </row>
    <row r="259" spans="1:24" s="412" customFormat="1" ht="16.5" customHeight="1">
      <c r="A259" s="859"/>
      <c r="B259" s="835"/>
      <c r="C259" s="822"/>
      <c r="D259" s="865"/>
      <c r="E259" s="843"/>
      <c r="F259" s="845"/>
      <c r="G259" s="868"/>
      <c r="H259" s="411">
        <v>6177583</v>
      </c>
      <c r="I259" s="411">
        <v>3738425</v>
      </c>
      <c r="J259" s="411" t="s">
        <v>6</v>
      </c>
      <c r="K259" s="413">
        <f t="shared" ref="K259" si="558">L259+O259</f>
        <v>1500000</v>
      </c>
      <c r="L259" s="413">
        <f t="shared" ref="L259" si="559">M259+N259</f>
        <v>1342105</v>
      </c>
      <c r="M259" s="414">
        <v>1342105</v>
      </c>
      <c r="N259" s="414">
        <v>0</v>
      </c>
      <c r="O259" s="413">
        <f t="shared" ref="O259" si="560">P259+S259+V259</f>
        <v>157895</v>
      </c>
      <c r="P259" s="413">
        <f t="shared" ref="P259" si="561">Q259+R259</f>
        <v>157895</v>
      </c>
      <c r="Q259" s="414">
        <v>157895</v>
      </c>
      <c r="R259" s="414">
        <v>0</v>
      </c>
      <c r="S259" s="413">
        <f t="shared" ref="S259" si="562">T259+U259</f>
        <v>0</v>
      </c>
      <c r="T259" s="414">
        <v>0</v>
      </c>
      <c r="U259" s="414">
        <v>0</v>
      </c>
      <c r="V259" s="413">
        <f t="shared" ref="V259" si="563">W259+X259</f>
        <v>0</v>
      </c>
      <c r="W259" s="414">
        <v>0</v>
      </c>
      <c r="X259" s="414">
        <v>0</v>
      </c>
    </row>
    <row r="260" spans="1:24" s="412" customFormat="1" ht="16.5" customHeight="1">
      <c r="A260" s="859"/>
      <c r="B260" s="835"/>
      <c r="C260" s="822"/>
      <c r="D260" s="865"/>
      <c r="E260" s="843"/>
      <c r="F260" s="845"/>
      <c r="G260" s="868"/>
      <c r="H260" s="411">
        <v>0</v>
      </c>
      <c r="I260" s="411">
        <v>0</v>
      </c>
      <c r="J260" s="817" t="s">
        <v>7</v>
      </c>
      <c r="K260" s="816">
        <f t="shared" ref="K260:X260" si="564">K257+K259</f>
        <v>23171994</v>
      </c>
      <c r="L260" s="816">
        <f t="shared" si="564"/>
        <v>20732836</v>
      </c>
      <c r="M260" s="814">
        <f t="shared" si="564"/>
        <v>19348229</v>
      </c>
      <c r="N260" s="814">
        <f t="shared" si="564"/>
        <v>1384607</v>
      </c>
      <c r="O260" s="816">
        <f t="shared" si="564"/>
        <v>2439158</v>
      </c>
      <c r="P260" s="816">
        <f t="shared" si="564"/>
        <v>2439158</v>
      </c>
      <c r="Q260" s="814">
        <f t="shared" si="564"/>
        <v>2276265</v>
      </c>
      <c r="R260" s="814">
        <f t="shared" si="564"/>
        <v>162893</v>
      </c>
      <c r="S260" s="816">
        <f t="shared" si="564"/>
        <v>0</v>
      </c>
      <c r="T260" s="814">
        <f t="shared" si="564"/>
        <v>0</v>
      </c>
      <c r="U260" s="814">
        <f t="shared" si="564"/>
        <v>0</v>
      </c>
      <c r="V260" s="816">
        <f t="shared" si="564"/>
        <v>0</v>
      </c>
      <c r="W260" s="814">
        <f t="shared" si="564"/>
        <v>0</v>
      </c>
      <c r="X260" s="814">
        <f t="shared" si="564"/>
        <v>0</v>
      </c>
    </row>
    <row r="261" spans="1:24" s="412" customFormat="1" ht="16.5" customHeight="1">
      <c r="A261" s="859"/>
      <c r="B261" s="836"/>
      <c r="C261" s="822"/>
      <c r="D261" s="866"/>
      <c r="E261" s="843"/>
      <c r="F261" s="846"/>
      <c r="G261" s="869"/>
      <c r="H261" s="411">
        <v>0</v>
      </c>
      <c r="I261" s="411">
        <v>0</v>
      </c>
      <c r="J261" s="818"/>
      <c r="K261" s="816"/>
      <c r="L261" s="816"/>
      <c r="M261" s="814"/>
      <c r="N261" s="814"/>
      <c r="O261" s="816"/>
      <c r="P261" s="816"/>
      <c r="Q261" s="814"/>
      <c r="R261" s="814"/>
      <c r="S261" s="816"/>
      <c r="T261" s="814"/>
      <c r="U261" s="814"/>
      <c r="V261" s="816"/>
      <c r="W261" s="814"/>
      <c r="X261" s="814"/>
    </row>
    <row r="262" spans="1:24" s="412" customFormat="1" ht="16.5" hidden="1" customHeight="1">
      <c r="A262" s="863">
        <v>1</v>
      </c>
      <c r="B262" s="834" t="s">
        <v>741</v>
      </c>
      <c r="C262" s="822" t="s">
        <v>742</v>
      </c>
      <c r="D262" s="864" t="s">
        <v>746</v>
      </c>
      <c r="E262" s="843" t="s">
        <v>624</v>
      </c>
      <c r="F262" s="844" t="s">
        <v>744</v>
      </c>
      <c r="G262" s="867">
        <v>2021</v>
      </c>
      <c r="H262" s="411">
        <f>H263+H264+H265+H266</f>
        <v>7040000</v>
      </c>
      <c r="I262" s="411">
        <f>I263+I264+I265+I266</f>
        <v>0</v>
      </c>
      <c r="J262" s="817" t="s">
        <v>5</v>
      </c>
      <c r="K262" s="816">
        <f t="shared" ref="K262" si="565">L262+O262</f>
        <v>7040000</v>
      </c>
      <c r="L262" s="816">
        <f t="shared" ref="L262" si="566">M262+N262</f>
        <v>5984000</v>
      </c>
      <c r="M262" s="814">
        <v>5984000</v>
      </c>
      <c r="N262" s="814">
        <v>0</v>
      </c>
      <c r="O262" s="816">
        <f t="shared" ref="O262" si="567">P262+S262+V262</f>
        <v>1056000</v>
      </c>
      <c r="P262" s="816">
        <f t="shared" ref="P262" si="568">Q262+R262</f>
        <v>1056000</v>
      </c>
      <c r="Q262" s="814">
        <v>1056000</v>
      </c>
      <c r="R262" s="814">
        <v>0</v>
      </c>
      <c r="S262" s="816">
        <f t="shared" ref="S262" si="569">T262+U262</f>
        <v>0</v>
      </c>
      <c r="T262" s="814">
        <v>0</v>
      </c>
      <c r="U262" s="814">
        <v>0</v>
      </c>
      <c r="V262" s="816">
        <f t="shared" ref="V262" si="570">W262+X262</f>
        <v>0</v>
      </c>
      <c r="W262" s="814">
        <v>0</v>
      </c>
      <c r="X262" s="814">
        <v>0</v>
      </c>
    </row>
    <row r="263" spans="1:24" s="412" customFormat="1" ht="16.5" hidden="1" customHeight="1">
      <c r="A263" s="863"/>
      <c r="B263" s="835"/>
      <c r="C263" s="822"/>
      <c r="D263" s="865"/>
      <c r="E263" s="843"/>
      <c r="F263" s="845"/>
      <c r="G263" s="868"/>
      <c r="H263" s="411">
        <v>5984000</v>
      </c>
      <c r="I263" s="411">
        <v>0</v>
      </c>
      <c r="J263" s="818"/>
      <c r="K263" s="816"/>
      <c r="L263" s="816"/>
      <c r="M263" s="814"/>
      <c r="N263" s="814"/>
      <c r="O263" s="816"/>
      <c r="P263" s="816"/>
      <c r="Q263" s="814"/>
      <c r="R263" s="814"/>
      <c r="S263" s="816"/>
      <c r="T263" s="814"/>
      <c r="U263" s="814"/>
      <c r="V263" s="816"/>
      <c r="W263" s="814"/>
      <c r="X263" s="814"/>
    </row>
    <row r="264" spans="1:24" s="412" customFormat="1" ht="16.5" hidden="1" customHeight="1">
      <c r="A264" s="863"/>
      <c r="B264" s="835"/>
      <c r="C264" s="822"/>
      <c r="D264" s="865"/>
      <c r="E264" s="843"/>
      <c r="F264" s="845"/>
      <c r="G264" s="868"/>
      <c r="H264" s="411">
        <v>1056000</v>
      </c>
      <c r="I264" s="411">
        <v>0</v>
      </c>
      <c r="J264" s="411" t="s">
        <v>6</v>
      </c>
      <c r="K264" s="413">
        <f t="shared" ref="K264" si="571">L264+O264</f>
        <v>0</v>
      </c>
      <c r="L264" s="413">
        <f t="shared" ref="L264" si="572">M264+N264</f>
        <v>0</v>
      </c>
      <c r="M264" s="414">
        <v>0</v>
      </c>
      <c r="N264" s="414">
        <v>0</v>
      </c>
      <c r="O264" s="413">
        <f t="shared" ref="O264" si="573">P264+S264+V264</f>
        <v>0</v>
      </c>
      <c r="P264" s="413">
        <f t="shared" ref="P264" si="574">Q264+R264</f>
        <v>0</v>
      </c>
      <c r="Q264" s="414">
        <v>0</v>
      </c>
      <c r="R264" s="414">
        <v>0</v>
      </c>
      <c r="S264" s="413">
        <f t="shared" ref="S264" si="575">T264+U264</f>
        <v>0</v>
      </c>
      <c r="T264" s="414">
        <v>0</v>
      </c>
      <c r="U264" s="414">
        <v>0</v>
      </c>
      <c r="V264" s="413">
        <f t="shared" ref="V264" si="576">W264+X264</f>
        <v>0</v>
      </c>
      <c r="W264" s="414">
        <v>0</v>
      </c>
      <c r="X264" s="414">
        <v>0</v>
      </c>
    </row>
    <row r="265" spans="1:24" s="412" customFormat="1" ht="16.5" hidden="1" customHeight="1">
      <c r="A265" s="863"/>
      <c r="B265" s="835"/>
      <c r="C265" s="822"/>
      <c r="D265" s="865"/>
      <c r="E265" s="843"/>
      <c r="F265" s="845"/>
      <c r="G265" s="868"/>
      <c r="H265" s="411">
        <v>0</v>
      </c>
      <c r="I265" s="411">
        <v>0</v>
      </c>
      <c r="J265" s="817" t="s">
        <v>7</v>
      </c>
      <c r="K265" s="816">
        <f t="shared" ref="K265:X265" si="577">K262+K264</f>
        <v>7040000</v>
      </c>
      <c r="L265" s="816">
        <f t="shared" si="577"/>
        <v>5984000</v>
      </c>
      <c r="M265" s="814">
        <f t="shared" si="577"/>
        <v>5984000</v>
      </c>
      <c r="N265" s="814">
        <f t="shared" si="577"/>
        <v>0</v>
      </c>
      <c r="O265" s="816">
        <f t="shared" si="577"/>
        <v>1056000</v>
      </c>
      <c r="P265" s="816">
        <f t="shared" si="577"/>
        <v>1056000</v>
      </c>
      <c r="Q265" s="814">
        <f t="shared" si="577"/>
        <v>1056000</v>
      </c>
      <c r="R265" s="814">
        <f t="shared" si="577"/>
        <v>0</v>
      </c>
      <c r="S265" s="816">
        <f t="shared" si="577"/>
        <v>0</v>
      </c>
      <c r="T265" s="814">
        <f t="shared" si="577"/>
        <v>0</v>
      </c>
      <c r="U265" s="814">
        <f t="shared" si="577"/>
        <v>0</v>
      </c>
      <c r="V265" s="816">
        <f t="shared" si="577"/>
        <v>0</v>
      </c>
      <c r="W265" s="814">
        <f t="shared" si="577"/>
        <v>0</v>
      </c>
      <c r="X265" s="814">
        <f t="shared" si="577"/>
        <v>0</v>
      </c>
    </row>
    <row r="266" spans="1:24" s="412" customFormat="1" ht="16.5" hidden="1" customHeight="1">
      <c r="A266" s="863"/>
      <c r="B266" s="836"/>
      <c r="C266" s="822"/>
      <c r="D266" s="866"/>
      <c r="E266" s="843"/>
      <c r="F266" s="846"/>
      <c r="G266" s="869"/>
      <c r="H266" s="411">
        <v>0</v>
      </c>
      <c r="I266" s="411">
        <v>0</v>
      </c>
      <c r="J266" s="818"/>
      <c r="K266" s="816"/>
      <c r="L266" s="816"/>
      <c r="M266" s="814"/>
      <c r="N266" s="814"/>
      <c r="O266" s="816"/>
      <c r="P266" s="816"/>
      <c r="Q266" s="814"/>
      <c r="R266" s="814"/>
      <c r="S266" s="816"/>
      <c r="T266" s="814"/>
      <c r="U266" s="814"/>
      <c r="V266" s="816"/>
      <c r="W266" s="814"/>
      <c r="X266" s="814"/>
    </row>
    <row r="267" spans="1:24" s="412" customFormat="1" ht="16.5" hidden="1" customHeight="1">
      <c r="A267" s="863">
        <v>47</v>
      </c>
      <c r="B267" s="828" t="s">
        <v>747</v>
      </c>
      <c r="C267" s="822" t="s">
        <v>742</v>
      </c>
      <c r="D267" s="860" t="s">
        <v>748</v>
      </c>
      <c r="E267" s="819" t="s">
        <v>650</v>
      </c>
      <c r="F267" s="825" t="s">
        <v>749</v>
      </c>
      <c r="G267" s="828" t="s">
        <v>750</v>
      </c>
      <c r="H267" s="411">
        <f>H268+H269+H270+H271</f>
        <v>11681111</v>
      </c>
      <c r="I267" s="411">
        <f>I268+I269+I270+I271</f>
        <v>0</v>
      </c>
      <c r="J267" s="817" t="s">
        <v>5</v>
      </c>
      <c r="K267" s="816">
        <f t="shared" ref="K267" si="578">L267+O267</f>
        <v>8670352</v>
      </c>
      <c r="L267" s="816">
        <f t="shared" ref="L267" si="579">M267+N267</f>
        <v>8188666</v>
      </c>
      <c r="M267" s="814">
        <v>8188666</v>
      </c>
      <c r="N267" s="814">
        <v>0</v>
      </c>
      <c r="O267" s="816">
        <f t="shared" ref="O267" si="580">P267+S267+V267</f>
        <v>481686</v>
      </c>
      <c r="P267" s="816">
        <f t="shared" ref="P267" si="581">Q267+R267</f>
        <v>481686</v>
      </c>
      <c r="Q267" s="814">
        <v>481686</v>
      </c>
      <c r="R267" s="814">
        <v>0</v>
      </c>
      <c r="S267" s="816">
        <f t="shared" ref="S267" si="582">T267+U267</f>
        <v>0</v>
      </c>
      <c r="T267" s="814">
        <v>0</v>
      </c>
      <c r="U267" s="814">
        <v>0</v>
      </c>
      <c r="V267" s="816">
        <f t="shared" ref="V267" si="583">W267+X267</f>
        <v>0</v>
      </c>
      <c r="W267" s="814">
        <v>0</v>
      </c>
      <c r="X267" s="814">
        <v>0</v>
      </c>
    </row>
    <row r="268" spans="1:24" s="412" customFormat="1" ht="16.5" hidden="1" customHeight="1">
      <c r="A268" s="863"/>
      <c r="B268" s="829"/>
      <c r="C268" s="822"/>
      <c r="D268" s="861"/>
      <c r="E268" s="819"/>
      <c r="F268" s="826"/>
      <c r="G268" s="829"/>
      <c r="H268" s="411">
        <v>11032161</v>
      </c>
      <c r="I268" s="411">
        <v>0</v>
      </c>
      <c r="J268" s="818"/>
      <c r="K268" s="816"/>
      <c r="L268" s="816"/>
      <c r="M268" s="814"/>
      <c r="N268" s="814"/>
      <c r="O268" s="816"/>
      <c r="P268" s="816"/>
      <c r="Q268" s="814"/>
      <c r="R268" s="814"/>
      <c r="S268" s="816"/>
      <c r="T268" s="814"/>
      <c r="U268" s="814"/>
      <c r="V268" s="816"/>
      <c r="W268" s="814"/>
      <c r="X268" s="814"/>
    </row>
    <row r="269" spans="1:24" s="412" customFormat="1" ht="16.5" hidden="1" customHeight="1">
      <c r="A269" s="863"/>
      <c r="B269" s="829"/>
      <c r="C269" s="822"/>
      <c r="D269" s="861"/>
      <c r="E269" s="819"/>
      <c r="F269" s="826"/>
      <c r="G269" s="829"/>
      <c r="H269" s="411">
        <v>648950</v>
      </c>
      <c r="I269" s="411">
        <v>0</v>
      </c>
      <c r="J269" s="411" t="s">
        <v>6</v>
      </c>
      <c r="K269" s="413">
        <f t="shared" ref="K269" si="584">L269+O269</f>
        <v>0</v>
      </c>
      <c r="L269" s="413">
        <f t="shared" ref="L269" si="585">M269+N269</f>
        <v>0</v>
      </c>
      <c r="M269" s="414">
        <v>0</v>
      </c>
      <c r="N269" s="414">
        <v>0</v>
      </c>
      <c r="O269" s="413">
        <f t="shared" ref="O269" si="586">P269+S269+V269</f>
        <v>0</v>
      </c>
      <c r="P269" s="413">
        <f t="shared" ref="P269" si="587">Q269+R269</f>
        <v>0</v>
      </c>
      <c r="Q269" s="414">
        <v>0</v>
      </c>
      <c r="R269" s="414">
        <v>0</v>
      </c>
      <c r="S269" s="413">
        <f t="shared" ref="S269" si="588">T269+U269</f>
        <v>0</v>
      </c>
      <c r="T269" s="414">
        <v>0</v>
      </c>
      <c r="U269" s="414">
        <v>0</v>
      </c>
      <c r="V269" s="413">
        <f t="shared" ref="V269" si="589">W269+X269</f>
        <v>0</v>
      </c>
      <c r="W269" s="414">
        <v>0</v>
      </c>
      <c r="X269" s="414">
        <v>0</v>
      </c>
    </row>
    <row r="270" spans="1:24" s="412" customFormat="1" ht="16.5" hidden="1" customHeight="1">
      <c r="A270" s="863"/>
      <c r="B270" s="829"/>
      <c r="C270" s="822"/>
      <c r="D270" s="861"/>
      <c r="E270" s="819"/>
      <c r="F270" s="826"/>
      <c r="G270" s="829"/>
      <c r="H270" s="411">
        <v>0</v>
      </c>
      <c r="I270" s="411">
        <v>0</v>
      </c>
      <c r="J270" s="817" t="s">
        <v>7</v>
      </c>
      <c r="K270" s="816">
        <f t="shared" ref="K270:X270" si="590">K267+K269</f>
        <v>8670352</v>
      </c>
      <c r="L270" s="816">
        <f t="shared" si="590"/>
        <v>8188666</v>
      </c>
      <c r="M270" s="814">
        <f t="shared" si="590"/>
        <v>8188666</v>
      </c>
      <c r="N270" s="814">
        <f t="shared" si="590"/>
        <v>0</v>
      </c>
      <c r="O270" s="816">
        <f t="shared" si="590"/>
        <v>481686</v>
      </c>
      <c r="P270" s="816">
        <f t="shared" si="590"/>
        <v>481686</v>
      </c>
      <c r="Q270" s="814">
        <f t="shared" si="590"/>
        <v>481686</v>
      </c>
      <c r="R270" s="814">
        <f t="shared" si="590"/>
        <v>0</v>
      </c>
      <c r="S270" s="816">
        <f t="shared" si="590"/>
        <v>0</v>
      </c>
      <c r="T270" s="814">
        <f t="shared" si="590"/>
        <v>0</v>
      </c>
      <c r="U270" s="814">
        <f t="shared" si="590"/>
        <v>0</v>
      </c>
      <c r="V270" s="816">
        <f t="shared" si="590"/>
        <v>0</v>
      </c>
      <c r="W270" s="814">
        <f t="shared" si="590"/>
        <v>0</v>
      </c>
      <c r="X270" s="814">
        <f t="shared" si="590"/>
        <v>0</v>
      </c>
    </row>
    <row r="271" spans="1:24" s="412" customFormat="1" ht="16.5" hidden="1" customHeight="1">
      <c r="A271" s="863"/>
      <c r="B271" s="830"/>
      <c r="C271" s="822"/>
      <c r="D271" s="862"/>
      <c r="E271" s="819"/>
      <c r="F271" s="827"/>
      <c r="G271" s="830"/>
      <c r="H271" s="411">
        <v>0</v>
      </c>
      <c r="I271" s="411">
        <v>0</v>
      </c>
      <c r="J271" s="818"/>
      <c r="K271" s="816"/>
      <c r="L271" s="816"/>
      <c r="M271" s="814"/>
      <c r="N271" s="814"/>
      <c r="O271" s="816"/>
      <c r="P271" s="816"/>
      <c r="Q271" s="814"/>
      <c r="R271" s="814"/>
      <c r="S271" s="816"/>
      <c r="T271" s="814"/>
      <c r="U271" s="814"/>
      <c r="V271" s="816"/>
      <c r="W271" s="814"/>
      <c r="X271" s="814"/>
    </row>
    <row r="272" spans="1:24" s="412" customFormat="1" ht="15.6" hidden="1" customHeight="1">
      <c r="A272" s="863">
        <v>2</v>
      </c>
      <c r="B272" s="828" t="s">
        <v>747</v>
      </c>
      <c r="C272" s="822" t="s">
        <v>742</v>
      </c>
      <c r="D272" s="860" t="s">
        <v>751</v>
      </c>
      <c r="E272" s="819" t="s">
        <v>650</v>
      </c>
      <c r="F272" s="825" t="s">
        <v>738</v>
      </c>
      <c r="G272" s="828" t="s">
        <v>688</v>
      </c>
      <c r="H272" s="411">
        <f>H273+H274+H275+H276</f>
        <v>2404648</v>
      </c>
      <c r="I272" s="411">
        <f>I273+I274+I275+I276</f>
        <v>1942670</v>
      </c>
      <c r="J272" s="817" t="s">
        <v>5</v>
      </c>
      <c r="K272" s="816">
        <f t="shared" ref="K272" si="591">L272+O272</f>
        <v>461978</v>
      </c>
      <c r="L272" s="816">
        <f t="shared" ref="L272" si="592">M272+N272</f>
        <v>426454</v>
      </c>
      <c r="M272" s="814">
        <v>426454</v>
      </c>
      <c r="N272" s="814">
        <v>0</v>
      </c>
      <c r="O272" s="816">
        <f t="shared" ref="O272" si="593">P272+S272+V272</f>
        <v>35524</v>
      </c>
      <c r="P272" s="816">
        <f t="shared" ref="P272" si="594">Q272+R272</f>
        <v>35524</v>
      </c>
      <c r="Q272" s="814">
        <v>35524</v>
      </c>
      <c r="R272" s="814">
        <v>0</v>
      </c>
      <c r="S272" s="816">
        <f t="shared" ref="S272" si="595">T272+U272</f>
        <v>0</v>
      </c>
      <c r="T272" s="814">
        <v>0</v>
      </c>
      <c r="U272" s="814">
        <v>0</v>
      </c>
      <c r="V272" s="816">
        <f t="shared" ref="V272" si="596">W272+X272</f>
        <v>0</v>
      </c>
      <c r="W272" s="814">
        <v>0</v>
      </c>
      <c r="X272" s="814">
        <v>0</v>
      </c>
    </row>
    <row r="273" spans="1:24" s="412" customFormat="1" ht="15.6" hidden="1" customHeight="1">
      <c r="A273" s="863"/>
      <c r="B273" s="829"/>
      <c r="C273" s="822"/>
      <c r="D273" s="861"/>
      <c r="E273" s="819"/>
      <c r="F273" s="826"/>
      <c r="G273" s="829"/>
      <c r="H273" s="411">
        <v>2221706</v>
      </c>
      <c r="I273" s="411">
        <v>1795252</v>
      </c>
      <c r="J273" s="818"/>
      <c r="K273" s="816"/>
      <c r="L273" s="816"/>
      <c r="M273" s="814"/>
      <c r="N273" s="814"/>
      <c r="O273" s="816"/>
      <c r="P273" s="816"/>
      <c r="Q273" s="814"/>
      <c r="R273" s="814"/>
      <c r="S273" s="816"/>
      <c r="T273" s="814"/>
      <c r="U273" s="814"/>
      <c r="V273" s="816"/>
      <c r="W273" s="814"/>
      <c r="X273" s="814"/>
    </row>
    <row r="274" spans="1:24" s="412" customFormat="1" ht="15.6" hidden="1" customHeight="1">
      <c r="A274" s="863"/>
      <c r="B274" s="829"/>
      <c r="C274" s="822"/>
      <c r="D274" s="861"/>
      <c r="E274" s="819"/>
      <c r="F274" s="826"/>
      <c r="G274" s="829"/>
      <c r="H274" s="411">
        <v>182942</v>
      </c>
      <c r="I274" s="411">
        <v>147418</v>
      </c>
      <c r="J274" s="411" t="s">
        <v>6</v>
      </c>
      <c r="K274" s="413">
        <f t="shared" ref="K274" si="597">L274+O274</f>
        <v>0</v>
      </c>
      <c r="L274" s="413">
        <f t="shared" ref="L274" si="598">M274+N274</f>
        <v>0</v>
      </c>
      <c r="M274" s="414">
        <v>0</v>
      </c>
      <c r="N274" s="414">
        <v>0</v>
      </c>
      <c r="O274" s="413">
        <f t="shared" ref="O274" si="599">P274+S274+V274</f>
        <v>0</v>
      </c>
      <c r="P274" s="413">
        <f t="shared" ref="P274" si="600">Q274+R274</f>
        <v>0</v>
      </c>
      <c r="Q274" s="414">
        <v>0</v>
      </c>
      <c r="R274" s="414">
        <v>0</v>
      </c>
      <c r="S274" s="413">
        <f t="shared" ref="S274" si="601">T274+U274</f>
        <v>0</v>
      </c>
      <c r="T274" s="414">
        <v>0</v>
      </c>
      <c r="U274" s="414">
        <v>0</v>
      </c>
      <c r="V274" s="413">
        <f t="shared" ref="V274" si="602">W274+X274</f>
        <v>0</v>
      </c>
      <c r="W274" s="414">
        <v>0</v>
      </c>
      <c r="X274" s="414">
        <v>0</v>
      </c>
    </row>
    <row r="275" spans="1:24" s="412" customFormat="1" ht="15.6" hidden="1" customHeight="1">
      <c r="A275" s="863"/>
      <c r="B275" s="829"/>
      <c r="C275" s="822"/>
      <c r="D275" s="861"/>
      <c r="E275" s="819"/>
      <c r="F275" s="826"/>
      <c r="G275" s="829"/>
      <c r="H275" s="411">
        <v>0</v>
      </c>
      <c r="I275" s="411">
        <v>0</v>
      </c>
      <c r="J275" s="817" t="s">
        <v>7</v>
      </c>
      <c r="K275" s="816">
        <f t="shared" ref="K275:X275" si="603">K272+K274</f>
        <v>461978</v>
      </c>
      <c r="L275" s="816">
        <f t="shared" si="603"/>
        <v>426454</v>
      </c>
      <c r="M275" s="814">
        <f t="shared" si="603"/>
        <v>426454</v>
      </c>
      <c r="N275" s="814">
        <f t="shared" si="603"/>
        <v>0</v>
      </c>
      <c r="O275" s="816">
        <f t="shared" si="603"/>
        <v>35524</v>
      </c>
      <c r="P275" s="816">
        <f t="shared" si="603"/>
        <v>35524</v>
      </c>
      <c r="Q275" s="814">
        <f t="shared" si="603"/>
        <v>35524</v>
      </c>
      <c r="R275" s="814">
        <f t="shared" si="603"/>
        <v>0</v>
      </c>
      <c r="S275" s="816">
        <f t="shared" si="603"/>
        <v>0</v>
      </c>
      <c r="T275" s="814">
        <f t="shared" si="603"/>
        <v>0</v>
      </c>
      <c r="U275" s="814">
        <f t="shared" si="603"/>
        <v>0</v>
      </c>
      <c r="V275" s="816">
        <f t="shared" si="603"/>
        <v>0</v>
      </c>
      <c r="W275" s="814">
        <f t="shared" si="603"/>
        <v>0</v>
      </c>
      <c r="X275" s="814">
        <f t="shared" si="603"/>
        <v>0</v>
      </c>
    </row>
    <row r="276" spans="1:24" s="412" customFormat="1" ht="15.6" hidden="1" customHeight="1">
      <c r="A276" s="863"/>
      <c r="B276" s="830"/>
      <c r="C276" s="822"/>
      <c r="D276" s="862"/>
      <c r="E276" s="819"/>
      <c r="F276" s="827"/>
      <c r="G276" s="830"/>
      <c r="H276" s="411">
        <v>0</v>
      </c>
      <c r="I276" s="411">
        <v>0</v>
      </c>
      <c r="J276" s="818"/>
      <c r="K276" s="816"/>
      <c r="L276" s="816"/>
      <c r="M276" s="814"/>
      <c r="N276" s="814"/>
      <c r="O276" s="816"/>
      <c r="P276" s="816"/>
      <c r="Q276" s="814"/>
      <c r="R276" s="814"/>
      <c r="S276" s="816"/>
      <c r="T276" s="814"/>
      <c r="U276" s="814"/>
      <c r="V276" s="816"/>
      <c r="W276" s="814"/>
      <c r="X276" s="814"/>
    </row>
    <row r="277" spans="1:24" s="412" customFormat="1" ht="16.5" hidden="1" customHeight="1">
      <c r="A277" s="863">
        <v>33</v>
      </c>
      <c r="B277" s="828" t="s">
        <v>747</v>
      </c>
      <c r="C277" s="822" t="s">
        <v>742</v>
      </c>
      <c r="D277" s="860" t="s">
        <v>752</v>
      </c>
      <c r="E277" s="819" t="s">
        <v>650</v>
      </c>
      <c r="F277" s="825" t="s">
        <v>738</v>
      </c>
      <c r="G277" s="828" t="s">
        <v>753</v>
      </c>
      <c r="H277" s="411">
        <f>H278+H279+H280+H281</f>
        <v>16207111</v>
      </c>
      <c r="I277" s="411">
        <f>I278+I279+I280+I281</f>
        <v>0</v>
      </c>
      <c r="J277" s="817" t="s">
        <v>5</v>
      </c>
      <c r="K277" s="816">
        <f t="shared" ref="K277" si="604">L277+O277</f>
        <v>8471764</v>
      </c>
      <c r="L277" s="816">
        <f t="shared" ref="L277" si="605">M277+N277</f>
        <v>8471764</v>
      </c>
      <c r="M277" s="814">
        <v>8471764</v>
      </c>
      <c r="N277" s="814">
        <v>0</v>
      </c>
      <c r="O277" s="816">
        <f t="shared" ref="O277" si="606">P277+S277+V277</f>
        <v>0</v>
      </c>
      <c r="P277" s="816">
        <f t="shared" ref="P277" si="607">Q277+R277</f>
        <v>0</v>
      </c>
      <c r="Q277" s="814">
        <v>0</v>
      </c>
      <c r="R277" s="814">
        <v>0</v>
      </c>
      <c r="S277" s="816">
        <f t="shared" ref="S277" si="608">T277+U277</f>
        <v>0</v>
      </c>
      <c r="T277" s="814">
        <v>0</v>
      </c>
      <c r="U277" s="814">
        <v>0</v>
      </c>
      <c r="V277" s="816">
        <f t="shared" ref="V277" si="609">W277+X277</f>
        <v>0</v>
      </c>
      <c r="W277" s="814">
        <v>0</v>
      </c>
      <c r="X277" s="814">
        <v>0</v>
      </c>
    </row>
    <row r="278" spans="1:24" s="412" customFormat="1" ht="16.5" hidden="1" customHeight="1">
      <c r="A278" s="863"/>
      <c r="B278" s="829"/>
      <c r="C278" s="822"/>
      <c r="D278" s="861"/>
      <c r="E278" s="819"/>
      <c r="F278" s="826"/>
      <c r="G278" s="829"/>
      <c r="H278" s="411">
        <v>16207111</v>
      </c>
      <c r="I278" s="411">
        <v>0</v>
      </c>
      <c r="J278" s="818"/>
      <c r="K278" s="816"/>
      <c r="L278" s="816"/>
      <c r="M278" s="814"/>
      <c r="N278" s="814"/>
      <c r="O278" s="816"/>
      <c r="P278" s="816"/>
      <c r="Q278" s="814"/>
      <c r="R278" s="814"/>
      <c r="S278" s="816"/>
      <c r="T278" s="814"/>
      <c r="U278" s="814"/>
      <c r="V278" s="816"/>
      <c r="W278" s="814"/>
      <c r="X278" s="814"/>
    </row>
    <row r="279" spans="1:24" s="412" customFormat="1" ht="16.5" hidden="1" customHeight="1">
      <c r="A279" s="863"/>
      <c r="B279" s="829"/>
      <c r="C279" s="822"/>
      <c r="D279" s="861"/>
      <c r="E279" s="819"/>
      <c r="F279" s="826"/>
      <c r="G279" s="829"/>
      <c r="H279" s="411">
        <v>0</v>
      </c>
      <c r="I279" s="411">
        <v>0</v>
      </c>
      <c r="J279" s="411" t="s">
        <v>6</v>
      </c>
      <c r="K279" s="413">
        <f t="shared" ref="K279" si="610">L279+O279</f>
        <v>0</v>
      </c>
      <c r="L279" s="413">
        <f t="shared" ref="L279" si="611">M279+N279</f>
        <v>0</v>
      </c>
      <c r="M279" s="414">
        <v>0</v>
      </c>
      <c r="N279" s="414">
        <v>0</v>
      </c>
      <c r="O279" s="413">
        <f t="shared" ref="O279" si="612">P279+S279+V279</f>
        <v>0</v>
      </c>
      <c r="P279" s="413">
        <f t="shared" ref="P279" si="613">Q279+R279</f>
        <v>0</v>
      </c>
      <c r="Q279" s="414">
        <v>0</v>
      </c>
      <c r="R279" s="414">
        <v>0</v>
      </c>
      <c r="S279" s="413">
        <f t="shared" ref="S279" si="614">T279+U279</f>
        <v>0</v>
      </c>
      <c r="T279" s="414">
        <v>0</v>
      </c>
      <c r="U279" s="414">
        <v>0</v>
      </c>
      <c r="V279" s="413">
        <f t="shared" ref="V279" si="615">W279+X279</f>
        <v>0</v>
      </c>
      <c r="W279" s="414">
        <v>0</v>
      </c>
      <c r="X279" s="414">
        <v>0</v>
      </c>
    </row>
    <row r="280" spans="1:24" s="412" customFormat="1" ht="16.5" hidden="1" customHeight="1">
      <c r="A280" s="863"/>
      <c r="B280" s="829"/>
      <c r="C280" s="822"/>
      <c r="D280" s="861"/>
      <c r="E280" s="819"/>
      <c r="F280" s="826"/>
      <c r="G280" s="829"/>
      <c r="H280" s="411">
        <v>0</v>
      </c>
      <c r="I280" s="411">
        <v>0</v>
      </c>
      <c r="J280" s="817" t="s">
        <v>7</v>
      </c>
      <c r="K280" s="816">
        <f t="shared" ref="K280:X280" si="616">K277+K279</f>
        <v>8471764</v>
      </c>
      <c r="L280" s="816">
        <f t="shared" si="616"/>
        <v>8471764</v>
      </c>
      <c r="M280" s="814">
        <f t="shared" si="616"/>
        <v>8471764</v>
      </c>
      <c r="N280" s="814">
        <f t="shared" si="616"/>
        <v>0</v>
      </c>
      <c r="O280" s="816">
        <f t="shared" si="616"/>
        <v>0</v>
      </c>
      <c r="P280" s="816">
        <f t="shared" si="616"/>
        <v>0</v>
      </c>
      <c r="Q280" s="814">
        <f t="shared" si="616"/>
        <v>0</v>
      </c>
      <c r="R280" s="814">
        <f t="shared" si="616"/>
        <v>0</v>
      </c>
      <c r="S280" s="816">
        <f t="shared" si="616"/>
        <v>0</v>
      </c>
      <c r="T280" s="814">
        <f t="shared" si="616"/>
        <v>0</v>
      </c>
      <c r="U280" s="814">
        <f t="shared" si="616"/>
        <v>0</v>
      </c>
      <c r="V280" s="816">
        <f t="shared" si="616"/>
        <v>0</v>
      </c>
      <c r="W280" s="814">
        <f t="shared" si="616"/>
        <v>0</v>
      </c>
      <c r="X280" s="814">
        <f t="shared" si="616"/>
        <v>0</v>
      </c>
    </row>
    <row r="281" spans="1:24" s="412" customFormat="1" ht="16.5" hidden="1" customHeight="1">
      <c r="A281" s="863"/>
      <c r="B281" s="830"/>
      <c r="C281" s="822"/>
      <c r="D281" s="862"/>
      <c r="E281" s="819"/>
      <c r="F281" s="827"/>
      <c r="G281" s="830"/>
      <c r="H281" s="411">
        <v>0</v>
      </c>
      <c r="I281" s="411">
        <v>0</v>
      </c>
      <c r="J281" s="818"/>
      <c r="K281" s="816"/>
      <c r="L281" s="816"/>
      <c r="M281" s="814"/>
      <c r="N281" s="814"/>
      <c r="O281" s="816"/>
      <c r="P281" s="816"/>
      <c r="Q281" s="814"/>
      <c r="R281" s="814"/>
      <c r="S281" s="816"/>
      <c r="T281" s="814"/>
      <c r="U281" s="814"/>
      <c r="V281" s="816"/>
      <c r="W281" s="814"/>
      <c r="X281" s="814"/>
    </row>
    <row r="282" spans="1:24" s="412" customFormat="1" ht="16.5" hidden="1" customHeight="1">
      <c r="A282" s="863">
        <v>34</v>
      </c>
      <c r="B282" s="828" t="s">
        <v>747</v>
      </c>
      <c r="C282" s="822" t="s">
        <v>742</v>
      </c>
      <c r="D282" s="864" t="s">
        <v>754</v>
      </c>
      <c r="E282" s="843" t="s">
        <v>650</v>
      </c>
      <c r="F282" s="844" t="s">
        <v>755</v>
      </c>
      <c r="G282" s="867" t="s">
        <v>639</v>
      </c>
      <c r="H282" s="411">
        <f>H283+H284+H285+H286</f>
        <v>34372296</v>
      </c>
      <c r="I282" s="411">
        <f>I283+I284+I285+I286</f>
        <v>25685874</v>
      </c>
      <c r="J282" s="817" t="s">
        <v>5</v>
      </c>
      <c r="K282" s="816">
        <f t="shared" ref="K282" si="617">L282+O282</f>
        <v>8686422</v>
      </c>
      <c r="L282" s="816">
        <f t="shared" ref="L282" si="618">M282+N282</f>
        <v>7772061</v>
      </c>
      <c r="M282" s="814">
        <v>7772061</v>
      </c>
      <c r="N282" s="814">
        <v>0</v>
      </c>
      <c r="O282" s="816">
        <f t="shared" ref="O282" si="619">P282+S282+V282</f>
        <v>914361</v>
      </c>
      <c r="P282" s="816">
        <f t="shared" ref="P282" si="620">Q282+R282</f>
        <v>914361</v>
      </c>
      <c r="Q282" s="814">
        <v>914361</v>
      </c>
      <c r="R282" s="814">
        <v>0</v>
      </c>
      <c r="S282" s="816">
        <f t="shared" ref="S282" si="621">T282+U282</f>
        <v>0</v>
      </c>
      <c r="T282" s="814">
        <v>0</v>
      </c>
      <c r="U282" s="814">
        <v>0</v>
      </c>
      <c r="V282" s="816">
        <f t="shared" ref="V282" si="622">W282+X282</f>
        <v>0</v>
      </c>
      <c r="W282" s="814">
        <v>0</v>
      </c>
      <c r="X282" s="814">
        <v>0</v>
      </c>
    </row>
    <row r="283" spans="1:24" s="412" customFormat="1" ht="16.5" hidden="1" customHeight="1">
      <c r="A283" s="863"/>
      <c r="B283" s="829"/>
      <c r="C283" s="822"/>
      <c r="D283" s="865"/>
      <c r="E283" s="843"/>
      <c r="F283" s="845"/>
      <c r="G283" s="868"/>
      <c r="H283" s="411">
        <v>30754159</v>
      </c>
      <c r="I283" s="411">
        <v>22982098</v>
      </c>
      <c r="J283" s="818"/>
      <c r="K283" s="816"/>
      <c r="L283" s="816"/>
      <c r="M283" s="814"/>
      <c r="N283" s="814"/>
      <c r="O283" s="816"/>
      <c r="P283" s="816"/>
      <c r="Q283" s="814"/>
      <c r="R283" s="814"/>
      <c r="S283" s="816"/>
      <c r="T283" s="814"/>
      <c r="U283" s="814"/>
      <c r="V283" s="816"/>
      <c r="W283" s="814"/>
      <c r="X283" s="814"/>
    </row>
    <row r="284" spans="1:24" s="412" customFormat="1" ht="16.5" hidden="1" customHeight="1">
      <c r="A284" s="863"/>
      <c r="B284" s="829"/>
      <c r="C284" s="822"/>
      <c r="D284" s="865"/>
      <c r="E284" s="843"/>
      <c r="F284" s="845"/>
      <c r="G284" s="868"/>
      <c r="H284" s="411">
        <v>3618137</v>
      </c>
      <c r="I284" s="411">
        <v>2703776</v>
      </c>
      <c r="J284" s="411" t="s">
        <v>6</v>
      </c>
      <c r="K284" s="413">
        <f t="shared" ref="K284" si="623">L284+O284</f>
        <v>0</v>
      </c>
      <c r="L284" s="413">
        <f t="shared" ref="L284" si="624">M284+N284</f>
        <v>0</v>
      </c>
      <c r="M284" s="414">
        <v>0</v>
      </c>
      <c r="N284" s="414">
        <v>0</v>
      </c>
      <c r="O284" s="413">
        <f t="shared" ref="O284" si="625">P284+S284+V284</f>
        <v>0</v>
      </c>
      <c r="P284" s="413">
        <f t="shared" ref="P284" si="626">Q284+R284</f>
        <v>0</v>
      </c>
      <c r="Q284" s="414">
        <v>0</v>
      </c>
      <c r="R284" s="414">
        <v>0</v>
      </c>
      <c r="S284" s="413">
        <f t="shared" ref="S284" si="627">T284+U284</f>
        <v>0</v>
      </c>
      <c r="T284" s="414">
        <v>0</v>
      </c>
      <c r="U284" s="414">
        <v>0</v>
      </c>
      <c r="V284" s="413">
        <f t="shared" ref="V284" si="628">W284+X284</f>
        <v>0</v>
      </c>
      <c r="W284" s="414">
        <v>0</v>
      </c>
      <c r="X284" s="414">
        <v>0</v>
      </c>
    </row>
    <row r="285" spans="1:24" s="412" customFormat="1" ht="16.5" hidden="1" customHeight="1">
      <c r="A285" s="863"/>
      <c r="B285" s="829"/>
      <c r="C285" s="822"/>
      <c r="D285" s="865"/>
      <c r="E285" s="843"/>
      <c r="F285" s="845"/>
      <c r="G285" s="868"/>
      <c r="H285" s="411">
        <v>0</v>
      </c>
      <c r="I285" s="411">
        <v>0</v>
      </c>
      <c r="J285" s="817" t="s">
        <v>7</v>
      </c>
      <c r="K285" s="816">
        <f t="shared" ref="K285:X285" si="629">K282+K284</f>
        <v>8686422</v>
      </c>
      <c r="L285" s="816">
        <f t="shared" si="629"/>
        <v>7772061</v>
      </c>
      <c r="M285" s="814">
        <f t="shared" si="629"/>
        <v>7772061</v>
      </c>
      <c r="N285" s="814">
        <f t="shared" si="629"/>
        <v>0</v>
      </c>
      <c r="O285" s="816">
        <f t="shared" si="629"/>
        <v>914361</v>
      </c>
      <c r="P285" s="816">
        <f t="shared" si="629"/>
        <v>914361</v>
      </c>
      <c r="Q285" s="814">
        <f t="shared" si="629"/>
        <v>914361</v>
      </c>
      <c r="R285" s="814">
        <f t="shared" si="629"/>
        <v>0</v>
      </c>
      <c r="S285" s="816">
        <f t="shared" si="629"/>
        <v>0</v>
      </c>
      <c r="T285" s="814">
        <f t="shared" si="629"/>
        <v>0</v>
      </c>
      <c r="U285" s="814">
        <f t="shared" si="629"/>
        <v>0</v>
      </c>
      <c r="V285" s="816">
        <f t="shared" si="629"/>
        <v>0</v>
      </c>
      <c r="W285" s="814">
        <f t="shared" si="629"/>
        <v>0</v>
      </c>
      <c r="X285" s="814">
        <f t="shared" si="629"/>
        <v>0</v>
      </c>
    </row>
    <row r="286" spans="1:24" s="412" customFormat="1" ht="16.5" hidden="1" customHeight="1">
      <c r="A286" s="863"/>
      <c r="B286" s="830"/>
      <c r="C286" s="822"/>
      <c r="D286" s="866"/>
      <c r="E286" s="843"/>
      <c r="F286" s="846"/>
      <c r="G286" s="869"/>
      <c r="H286" s="411">
        <v>0</v>
      </c>
      <c r="I286" s="411">
        <v>0</v>
      </c>
      <c r="J286" s="818"/>
      <c r="K286" s="816"/>
      <c r="L286" s="816"/>
      <c r="M286" s="814"/>
      <c r="N286" s="814"/>
      <c r="O286" s="816"/>
      <c r="P286" s="816"/>
      <c r="Q286" s="814"/>
      <c r="R286" s="814"/>
      <c r="S286" s="816"/>
      <c r="T286" s="814"/>
      <c r="U286" s="814"/>
      <c r="V286" s="816"/>
      <c r="W286" s="814"/>
      <c r="X286" s="814"/>
    </row>
    <row r="287" spans="1:24" s="412" customFormat="1" ht="16.5" customHeight="1">
      <c r="A287" s="859">
        <v>20</v>
      </c>
      <c r="B287" s="828" t="s">
        <v>747</v>
      </c>
      <c r="C287" s="822" t="s">
        <v>742</v>
      </c>
      <c r="D287" s="860" t="s">
        <v>756</v>
      </c>
      <c r="E287" s="819" t="s">
        <v>624</v>
      </c>
      <c r="F287" s="825" t="s">
        <v>755</v>
      </c>
      <c r="G287" s="828" t="s">
        <v>750</v>
      </c>
      <c r="H287" s="411">
        <f>H288+H289+H290+H291</f>
        <v>5882250</v>
      </c>
      <c r="I287" s="411">
        <f>I288+I289+I290+I291</f>
        <v>0</v>
      </c>
      <c r="J287" s="817" t="s">
        <v>5</v>
      </c>
      <c r="K287" s="816">
        <f t="shared" ref="K287" si="630">L287+O287</f>
        <v>0</v>
      </c>
      <c r="L287" s="816">
        <f t="shared" ref="L287" si="631">M287+N287</f>
        <v>0</v>
      </c>
      <c r="M287" s="814">
        <v>0</v>
      </c>
      <c r="N287" s="814">
        <v>0</v>
      </c>
      <c r="O287" s="816">
        <f t="shared" ref="O287" si="632">P287+S287+V287</f>
        <v>0</v>
      </c>
      <c r="P287" s="816">
        <f t="shared" ref="P287" si="633">Q287+R287</f>
        <v>0</v>
      </c>
      <c r="Q287" s="814">
        <v>0</v>
      </c>
      <c r="R287" s="814">
        <v>0</v>
      </c>
      <c r="S287" s="816">
        <f t="shared" ref="S287" si="634">T287+U287</f>
        <v>0</v>
      </c>
      <c r="T287" s="814">
        <v>0</v>
      </c>
      <c r="U287" s="814">
        <v>0</v>
      </c>
      <c r="V287" s="816">
        <f t="shared" ref="V287" si="635">W287+X287</f>
        <v>0</v>
      </c>
      <c r="W287" s="814">
        <v>0</v>
      </c>
      <c r="X287" s="814">
        <v>0</v>
      </c>
    </row>
    <row r="288" spans="1:24" s="412" customFormat="1" ht="16.5" customHeight="1">
      <c r="A288" s="859"/>
      <c r="B288" s="829"/>
      <c r="C288" s="822"/>
      <c r="D288" s="861"/>
      <c r="E288" s="819"/>
      <c r="F288" s="826"/>
      <c r="G288" s="829"/>
      <c r="H288" s="411">
        <v>4999912</v>
      </c>
      <c r="I288" s="411">
        <v>0</v>
      </c>
      <c r="J288" s="818"/>
      <c r="K288" s="816"/>
      <c r="L288" s="816"/>
      <c r="M288" s="814"/>
      <c r="N288" s="814"/>
      <c r="O288" s="816"/>
      <c r="P288" s="816"/>
      <c r="Q288" s="814"/>
      <c r="R288" s="814"/>
      <c r="S288" s="816"/>
      <c r="T288" s="814"/>
      <c r="U288" s="814"/>
      <c r="V288" s="816"/>
      <c r="W288" s="814"/>
      <c r="X288" s="814"/>
    </row>
    <row r="289" spans="1:24" s="412" customFormat="1" ht="16.5" customHeight="1">
      <c r="A289" s="859"/>
      <c r="B289" s="829"/>
      <c r="C289" s="822"/>
      <c r="D289" s="861"/>
      <c r="E289" s="819"/>
      <c r="F289" s="826"/>
      <c r="G289" s="829"/>
      <c r="H289" s="411">
        <v>882338</v>
      </c>
      <c r="I289" s="411">
        <v>0</v>
      </c>
      <c r="J289" s="411" t="s">
        <v>6</v>
      </c>
      <c r="K289" s="413">
        <f t="shared" ref="K289" si="636">L289+O289</f>
        <v>4452250</v>
      </c>
      <c r="L289" s="413">
        <f t="shared" ref="L289" si="637">M289+N289</f>
        <v>3784412</v>
      </c>
      <c r="M289" s="414">
        <v>3784412</v>
      </c>
      <c r="N289" s="414">
        <v>0</v>
      </c>
      <c r="O289" s="413">
        <f t="shared" ref="O289" si="638">P289+S289+V289</f>
        <v>667838</v>
      </c>
      <c r="P289" s="413">
        <f t="shared" ref="P289" si="639">Q289+R289</f>
        <v>667838</v>
      </c>
      <c r="Q289" s="414">
        <v>667838</v>
      </c>
      <c r="R289" s="414">
        <v>0</v>
      </c>
      <c r="S289" s="413">
        <f t="shared" ref="S289" si="640">T289+U289</f>
        <v>0</v>
      </c>
      <c r="T289" s="414">
        <v>0</v>
      </c>
      <c r="U289" s="414">
        <v>0</v>
      </c>
      <c r="V289" s="413">
        <f t="shared" ref="V289" si="641">W289+X289</f>
        <v>0</v>
      </c>
      <c r="W289" s="414">
        <v>0</v>
      </c>
      <c r="X289" s="414">
        <v>0</v>
      </c>
    </row>
    <row r="290" spans="1:24" s="412" customFormat="1" ht="16.5" customHeight="1">
      <c r="A290" s="859"/>
      <c r="B290" s="829"/>
      <c r="C290" s="822"/>
      <c r="D290" s="861"/>
      <c r="E290" s="819"/>
      <c r="F290" s="826"/>
      <c r="G290" s="829"/>
      <c r="H290" s="411">
        <v>0</v>
      </c>
      <c r="I290" s="411">
        <v>0</v>
      </c>
      <c r="J290" s="817" t="s">
        <v>7</v>
      </c>
      <c r="K290" s="816">
        <f t="shared" ref="K290:X290" si="642">K287+K289</f>
        <v>4452250</v>
      </c>
      <c r="L290" s="816">
        <f t="shared" si="642"/>
        <v>3784412</v>
      </c>
      <c r="M290" s="814">
        <f t="shared" si="642"/>
        <v>3784412</v>
      </c>
      <c r="N290" s="814">
        <f t="shared" si="642"/>
        <v>0</v>
      </c>
      <c r="O290" s="816">
        <f t="shared" si="642"/>
        <v>667838</v>
      </c>
      <c r="P290" s="816">
        <f t="shared" si="642"/>
        <v>667838</v>
      </c>
      <c r="Q290" s="814">
        <f t="shared" si="642"/>
        <v>667838</v>
      </c>
      <c r="R290" s="814">
        <f t="shared" si="642"/>
        <v>0</v>
      </c>
      <c r="S290" s="816">
        <f t="shared" si="642"/>
        <v>0</v>
      </c>
      <c r="T290" s="814">
        <f t="shared" si="642"/>
        <v>0</v>
      </c>
      <c r="U290" s="814">
        <f t="shared" si="642"/>
        <v>0</v>
      </c>
      <c r="V290" s="816">
        <f t="shared" si="642"/>
        <v>0</v>
      </c>
      <c r="W290" s="814">
        <f t="shared" si="642"/>
        <v>0</v>
      </c>
      <c r="X290" s="814">
        <f t="shared" si="642"/>
        <v>0</v>
      </c>
    </row>
    <row r="291" spans="1:24" s="412" customFormat="1" ht="16.5" customHeight="1">
      <c r="A291" s="859"/>
      <c r="B291" s="830"/>
      <c r="C291" s="822"/>
      <c r="D291" s="862"/>
      <c r="E291" s="819"/>
      <c r="F291" s="827"/>
      <c r="G291" s="830"/>
      <c r="H291" s="411">
        <v>0</v>
      </c>
      <c r="I291" s="411">
        <v>0</v>
      </c>
      <c r="J291" s="818"/>
      <c r="K291" s="816"/>
      <c r="L291" s="816"/>
      <c r="M291" s="814"/>
      <c r="N291" s="814"/>
      <c r="O291" s="816"/>
      <c r="P291" s="816"/>
      <c r="Q291" s="814"/>
      <c r="R291" s="814"/>
      <c r="S291" s="816"/>
      <c r="T291" s="814"/>
      <c r="U291" s="814"/>
      <c r="V291" s="816"/>
      <c r="W291" s="814"/>
      <c r="X291" s="814"/>
    </row>
    <row r="292" spans="1:24" s="412" customFormat="1" ht="16.5" hidden="1" customHeight="1">
      <c r="A292" s="863">
        <v>35</v>
      </c>
      <c r="B292" s="828" t="s">
        <v>757</v>
      </c>
      <c r="C292" s="822" t="s">
        <v>758</v>
      </c>
      <c r="D292" s="860" t="s">
        <v>759</v>
      </c>
      <c r="E292" s="819" t="s">
        <v>650</v>
      </c>
      <c r="F292" s="825" t="s">
        <v>738</v>
      </c>
      <c r="G292" s="828" t="s">
        <v>634</v>
      </c>
      <c r="H292" s="411">
        <f>H293+H294+H295+H296</f>
        <v>3240000</v>
      </c>
      <c r="I292" s="411">
        <f>I293+I294+I295+I296</f>
        <v>995547</v>
      </c>
      <c r="J292" s="817" t="s">
        <v>5</v>
      </c>
      <c r="K292" s="816">
        <f t="shared" ref="K292" si="643">L292+O292</f>
        <v>781465</v>
      </c>
      <c r="L292" s="816">
        <f t="shared" ref="L292" si="644">M292+N292</f>
        <v>664245</v>
      </c>
      <c r="M292" s="814">
        <v>664245</v>
      </c>
      <c r="N292" s="814">
        <v>0</v>
      </c>
      <c r="O292" s="816">
        <f t="shared" ref="O292" si="645">P292+S292+V292</f>
        <v>117220</v>
      </c>
      <c r="P292" s="816">
        <f t="shared" ref="P292" si="646">Q292+R292</f>
        <v>0</v>
      </c>
      <c r="Q292" s="814">
        <v>0</v>
      </c>
      <c r="R292" s="814">
        <v>0</v>
      </c>
      <c r="S292" s="816">
        <f t="shared" ref="S292" si="647">T292+U292</f>
        <v>117220</v>
      </c>
      <c r="T292" s="814">
        <v>117220</v>
      </c>
      <c r="U292" s="814">
        <v>0</v>
      </c>
      <c r="V292" s="816">
        <f t="shared" ref="V292" si="648">W292+X292</f>
        <v>0</v>
      </c>
      <c r="W292" s="814">
        <v>0</v>
      </c>
      <c r="X292" s="814">
        <v>0</v>
      </c>
    </row>
    <row r="293" spans="1:24" s="412" customFormat="1" ht="16.5" hidden="1" customHeight="1">
      <c r="A293" s="863"/>
      <c r="B293" s="829"/>
      <c r="C293" s="822"/>
      <c r="D293" s="861"/>
      <c r="E293" s="819"/>
      <c r="F293" s="826"/>
      <c r="G293" s="829"/>
      <c r="H293" s="411">
        <v>2754000</v>
      </c>
      <c r="I293" s="411">
        <v>846215</v>
      </c>
      <c r="J293" s="818"/>
      <c r="K293" s="816"/>
      <c r="L293" s="816"/>
      <c r="M293" s="814"/>
      <c r="N293" s="814"/>
      <c r="O293" s="816"/>
      <c r="P293" s="816"/>
      <c r="Q293" s="814"/>
      <c r="R293" s="814"/>
      <c r="S293" s="816"/>
      <c r="T293" s="814"/>
      <c r="U293" s="814"/>
      <c r="V293" s="816"/>
      <c r="W293" s="814"/>
      <c r="X293" s="814"/>
    </row>
    <row r="294" spans="1:24" s="412" customFormat="1" ht="16.5" hidden="1" customHeight="1">
      <c r="A294" s="863"/>
      <c r="B294" s="829"/>
      <c r="C294" s="822"/>
      <c r="D294" s="861"/>
      <c r="E294" s="819"/>
      <c r="F294" s="826"/>
      <c r="G294" s="829"/>
      <c r="H294" s="411">
        <v>0</v>
      </c>
      <c r="I294" s="411">
        <v>0</v>
      </c>
      <c r="J294" s="411" t="s">
        <v>6</v>
      </c>
      <c r="K294" s="413">
        <f t="shared" ref="K294" si="649">L294+O294</f>
        <v>0</v>
      </c>
      <c r="L294" s="413">
        <f t="shared" ref="L294" si="650">M294+N294</f>
        <v>0</v>
      </c>
      <c r="M294" s="414">
        <v>0</v>
      </c>
      <c r="N294" s="414">
        <v>0</v>
      </c>
      <c r="O294" s="413">
        <f t="shared" ref="O294" si="651">P294+S294+V294</f>
        <v>0</v>
      </c>
      <c r="P294" s="413">
        <f t="shared" ref="P294" si="652">Q294+R294</f>
        <v>0</v>
      </c>
      <c r="Q294" s="414">
        <v>0</v>
      </c>
      <c r="R294" s="414">
        <v>0</v>
      </c>
      <c r="S294" s="413">
        <f t="shared" ref="S294" si="653">T294+U294</f>
        <v>0</v>
      </c>
      <c r="T294" s="414">
        <v>0</v>
      </c>
      <c r="U294" s="414">
        <v>0</v>
      </c>
      <c r="V294" s="413">
        <f t="shared" ref="V294" si="654">W294+X294</f>
        <v>0</v>
      </c>
      <c r="W294" s="414">
        <v>0</v>
      </c>
      <c r="X294" s="414">
        <v>0</v>
      </c>
    </row>
    <row r="295" spans="1:24" s="412" customFormat="1" ht="16.5" hidden="1" customHeight="1">
      <c r="A295" s="863"/>
      <c r="B295" s="829"/>
      <c r="C295" s="822"/>
      <c r="D295" s="861"/>
      <c r="E295" s="819"/>
      <c r="F295" s="826"/>
      <c r="G295" s="829"/>
      <c r="H295" s="411">
        <v>486000</v>
      </c>
      <c r="I295" s="411">
        <v>149332</v>
      </c>
      <c r="J295" s="817" t="s">
        <v>7</v>
      </c>
      <c r="K295" s="816">
        <f t="shared" ref="K295:X295" si="655">K292+K294</f>
        <v>781465</v>
      </c>
      <c r="L295" s="816">
        <f t="shared" si="655"/>
        <v>664245</v>
      </c>
      <c r="M295" s="814">
        <f t="shared" si="655"/>
        <v>664245</v>
      </c>
      <c r="N295" s="814">
        <f t="shared" si="655"/>
        <v>0</v>
      </c>
      <c r="O295" s="816">
        <f t="shared" si="655"/>
        <v>117220</v>
      </c>
      <c r="P295" s="816">
        <f t="shared" si="655"/>
        <v>0</v>
      </c>
      <c r="Q295" s="814">
        <f t="shared" si="655"/>
        <v>0</v>
      </c>
      <c r="R295" s="814">
        <f t="shared" si="655"/>
        <v>0</v>
      </c>
      <c r="S295" s="816">
        <f t="shared" si="655"/>
        <v>117220</v>
      </c>
      <c r="T295" s="814">
        <f t="shared" si="655"/>
        <v>117220</v>
      </c>
      <c r="U295" s="814">
        <f t="shared" si="655"/>
        <v>0</v>
      </c>
      <c r="V295" s="816">
        <f t="shared" si="655"/>
        <v>0</v>
      </c>
      <c r="W295" s="814">
        <f t="shared" si="655"/>
        <v>0</v>
      </c>
      <c r="X295" s="814">
        <f t="shared" si="655"/>
        <v>0</v>
      </c>
    </row>
    <row r="296" spans="1:24" s="412" customFormat="1" ht="16.5" hidden="1" customHeight="1">
      <c r="A296" s="863"/>
      <c r="B296" s="830"/>
      <c r="C296" s="822"/>
      <c r="D296" s="862"/>
      <c r="E296" s="819"/>
      <c r="F296" s="827"/>
      <c r="G296" s="830"/>
      <c r="H296" s="411">
        <v>0</v>
      </c>
      <c r="I296" s="411">
        <v>0</v>
      </c>
      <c r="J296" s="818"/>
      <c r="K296" s="816"/>
      <c r="L296" s="816"/>
      <c r="M296" s="814"/>
      <c r="N296" s="814"/>
      <c r="O296" s="816"/>
      <c r="P296" s="816"/>
      <c r="Q296" s="814"/>
      <c r="R296" s="814"/>
      <c r="S296" s="816"/>
      <c r="T296" s="814"/>
      <c r="U296" s="814"/>
      <c r="V296" s="816"/>
      <c r="W296" s="814"/>
      <c r="X296" s="814"/>
    </row>
    <row r="297" spans="1:24" s="412" customFormat="1" ht="16.5" customHeight="1">
      <c r="A297" s="859">
        <v>21</v>
      </c>
      <c r="B297" s="828" t="s">
        <v>760</v>
      </c>
      <c r="C297" s="822" t="s">
        <v>761</v>
      </c>
      <c r="D297" s="860" t="s">
        <v>762</v>
      </c>
      <c r="E297" s="819" t="s">
        <v>624</v>
      </c>
      <c r="F297" s="825" t="s">
        <v>763</v>
      </c>
      <c r="G297" s="828" t="s">
        <v>734</v>
      </c>
      <c r="H297" s="411">
        <f>H298+H299+H300+H301</f>
        <v>3091940</v>
      </c>
      <c r="I297" s="411">
        <f>I298+I299+I300+I301</f>
        <v>0</v>
      </c>
      <c r="J297" s="817" t="s">
        <v>5</v>
      </c>
      <c r="K297" s="816">
        <f t="shared" ref="K297" si="656">L297+O297</f>
        <v>787480</v>
      </c>
      <c r="L297" s="816">
        <f t="shared" ref="L297" si="657">M297+N297</f>
        <v>669358</v>
      </c>
      <c r="M297" s="814">
        <v>669358</v>
      </c>
      <c r="N297" s="814">
        <v>0</v>
      </c>
      <c r="O297" s="816">
        <f t="shared" ref="O297" si="658">P297+S297+V297</f>
        <v>118122</v>
      </c>
      <c r="P297" s="816">
        <f t="shared" ref="P297" si="659">Q297+R297</f>
        <v>0</v>
      </c>
      <c r="Q297" s="814">
        <v>0</v>
      </c>
      <c r="R297" s="814">
        <v>0</v>
      </c>
      <c r="S297" s="816">
        <f t="shared" ref="S297" si="660">T297+U297</f>
        <v>118122</v>
      </c>
      <c r="T297" s="814">
        <v>118122</v>
      </c>
      <c r="U297" s="814">
        <v>0</v>
      </c>
      <c r="V297" s="816">
        <f t="shared" ref="V297" si="661">W297+X297</f>
        <v>0</v>
      </c>
      <c r="W297" s="814">
        <v>0</v>
      </c>
      <c r="X297" s="814">
        <v>0</v>
      </c>
    </row>
    <row r="298" spans="1:24" s="412" customFormat="1" ht="16.5" customHeight="1">
      <c r="A298" s="859"/>
      <c r="B298" s="829"/>
      <c r="C298" s="822"/>
      <c r="D298" s="861"/>
      <c r="E298" s="819"/>
      <c r="F298" s="826"/>
      <c r="G298" s="829"/>
      <c r="H298" s="411">
        <v>2628149</v>
      </c>
      <c r="I298" s="411">
        <v>0</v>
      </c>
      <c r="J298" s="818"/>
      <c r="K298" s="816"/>
      <c r="L298" s="816"/>
      <c r="M298" s="814"/>
      <c r="N298" s="814"/>
      <c r="O298" s="816"/>
      <c r="P298" s="816"/>
      <c r="Q298" s="814"/>
      <c r="R298" s="814"/>
      <c r="S298" s="816"/>
      <c r="T298" s="814"/>
      <c r="U298" s="814"/>
      <c r="V298" s="816"/>
      <c r="W298" s="814"/>
      <c r="X298" s="814"/>
    </row>
    <row r="299" spans="1:24" s="412" customFormat="1" ht="16.5" customHeight="1">
      <c r="A299" s="859"/>
      <c r="B299" s="829"/>
      <c r="C299" s="822"/>
      <c r="D299" s="861"/>
      <c r="E299" s="819"/>
      <c r="F299" s="826"/>
      <c r="G299" s="829"/>
      <c r="H299" s="411">
        <v>0</v>
      </c>
      <c r="I299" s="411">
        <v>0</v>
      </c>
      <c r="J299" s="411" t="s">
        <v>6</v>
      </c>
      <c r="K299" s="413">
        <f t="shared" ref="K299" si="662">L299+O299</f>
        <v>207681</v>
      </c>
      <c r="L299" s="413">
        <f t="shared" ref="L299" si="663">M299+N299</f>
        <v>176529</v>
      </c>
      <c r="M299" s="414">
        <v>176529</v>
      </c>
      <c r="N299" s="414">
        <v>0</v>
      </c>
      <c r="O299" s="413">
        <f t="shared" ref="O299" si="664">P299+S299+V299</f>
        <v>31152</v>
      </c>
      <c r="P299" s="413">
        <f t="shared" ref="P299" si="665">Q299+R299</f>
        <v>0</v>
      </c>
      <c r="Q299" s="414">
        <v>0</v>
      </c>
      <c r="R299" s="414">
        <v>0</v>
      </c>
      <c r="S299" s="413">
        <f t="shared" ref="S299" si="666">T299+U299</f>
        <v>31152</v>
      </c>
      <c r="T299" s="414">
        <v>31152</v>
      </c>
      <c r="U299" s="414">
        <v>0</v>
      </c>
      <c r="V299" s="413">
        <f t="shared" ref="V299" si="667">W299+X299</f>
        <v>0</v>
      </c>
      <c r="W299" s="414">
        <v>0</v>
      </c>
      <c r="X299" s="414">
        <v>0</v>
      </c>
    </row>
    <row r="300" spans="1:24" s="412" customFormat="1" ht="16.5" customHeight="1">
      <c r="A300" s="859"/>
      <c r="B300" s="829"/>
      <c r="C300" s="822"/>
      <c r="D300" s="861"/>
      <c r="E300" s="819"/>
      <c r="F300" s="826"/>
      <c r="G300" s="829"/>
      <c r="H300" s="411">
        <v>463791</v>
      </c>
      <c r="I300" s="411">
        <v>0</v>
      </c>
      <c r="J300" s="817" t="s">
        <v>7</v>
      </c>
      <c r="K300" s="816">
        <f t="shared" ref="K300:X300" si="668">K297+K299</f>
        <v>995161</v>
      </c>
      <c r="L300" s="816">
        <f t="shared" si="668"/>
        <v>845887</v>
      </c>
      <c r="M300" s="814">
        <f t="shared" si="668"/>
        <v>845887</v>
      </c>
      <c r="N300" s="814">
        <f t="shared" si="668"/>
        <v>0</v>
      </c>
      <c r="O300" s="816">
        <f t="shared" si="668"/>
        <v>149274</v>
      </c>
      <c r="P300" s="816">
        <f t="shared" si="668"/>
        <v>0</v>
      </c>
      <c r="Q300" s="814">
        <f t="shared" si="668"/>
        <v>0</v>
      </c>
      <c r="R300" s="814">
        <f t="shared" si="668"/>
        <v>0</v>
      </c>
      <c r="S300" s="816">
        <f t="shared" si="668"/>
        <v>149274</v>
      </c>
      <c r="T300" s="814">
        <f t="shared" si="668"/>
        <v>149274</v>
      </c>
      <c r="U300" s="814">
        <f t="shared" si="668"/>
        <v>0</v>
      </c>
      <c r="V300" s="816">
        <f t="shared" si="668"/>
        <v>0</v>
      </c>
      <c r="W300" s="814">
        <f t="shared" si="668"/>
        <v>0</v>
      </c>
      <c r="X300" s="814">
        <f t="shared" si="668"/>
        <v>0</v>
      </c>
    </row>
    <row r="301" spans="1:24" s="412" customFormat="1" ht="16.5" customHeight="1">
      <c r="A301" s="859"/>
      <c r="B301" s="830"/>
      <c r="C301" s="822"/>
      <c r="D301" s="862"/>
      <c r="E301" s="819"/>
      <c r="F301" s="827"/>
      <c r="G301" s="830"/>
      <c r="H301" s="411">
        <v>0</v>
      </c>
      <c r="I301" s="411">
        <v>0</v>
      </c>
      <c r="J301" s="818"/>
      <c r="K301" s="816"/>
      <c r="L301" s="816"/>
      <c r="M301" s="814"/>
      <c r="N301" s="814"/>
      <c r="O301" s="816"/>
      <c r="P301" s="816"/>
      <c r="Q301" s="814"/>
      <c r="R301" s="814"/>
      <c r="S301" s="816"/>
      <c r="T301" s="814"/>
      <c r="U301" s="814"/>
      <c r="V301" s="816"/>
      <c r="W301" s="814"/>
      <c r="X301" s="814"/>
    </row>
    <row r="302" spans="1:24" s="412" customFormat="1" ht="15.95" customHeight="1">
      <c r="A302" s="859">
        <v>22</v>
      </c>
      <c r="B302" s="828" t="s">
        <v>764</v>
      </c>
      <c r="C302" s="822" t="s">
        <v>761</v>
      </c>
      <c r="D302" s="860" t="s">
        <v>765</v>
      </c>
      <c r="E302" s="819" t="s">
        <v>624</v>
      </c>
      <c r="F302" s="825" t="s">
        <v>766</v>
      </c>
      <c r="G302" s="828" t="s">
        <v>671</v>
      </c>
      <c r="H302" s="411">
        <f>H303+H304+H305+H306</f>
        <v>2764483</v>
      </c>
      <c r="I302" s="411">
        <f>I303+I304+I305+I306</f>
        <v>1264172</v>
      </c>
      <c r="J302" s="817" t="s">
        <v>5</v>
      </c>
      <c r="K302" s="816">
        <f t="shared" ref="K302" si="669">L302+O302</f>
        <v>973578</v>
      </c>
      <c r="L302" s="816">
        <f t="shared" ref="L302" si="670">M302+N302</f>
        <v>871096</v>
      </c>
      <c r="M302" s="814">
        <v>871096</v>
      </c>
      <c r="N302" s="814">
        <v>0</v>
      </c>
      <c r="O302" s="816">
        <f t="shared" ref="O302" si="671">P302+S302+V302</f>
        <v>102482</v>
      </c>
      <c r="P302" s="816">
        <f t="shared" ref="P302" si="672">Q302+R302</f>
        <v>102482</v>
      </c>
      <c r="Q302" s="814">
        <v>102482</v>
      </c>
      <c r="R302" s="814">
        <v>0</v>
      </c>
      <c r="S302" s="816">
        <f t="shared" ref="S302" si="673">T302+U302</f>
        <v>0</v>
      </c>
      <c r="T302" s="814">
        <v>0</v>
      </c>
      <c r="U302" s="814">
        <v>0</v>
      </c>
      <c r="V302" s="816">
        <f t="shared" ref="V302" si="674">W302+X302</f>
        <v>0</v>
      </c>
      <c r="W302" s="814">
        <v>0</v>
      </c>
      <c r="X302" s="814">
        <v>0</v>
      </c>
    </row>
    <row r="303" spans="1:24" s="412" customFormat="1" ht="15.95" customHeight="1">
      <c r="A303" s="859"/>
      <c r="B303" s="829"/>
      <c r="C303" s="822"/>
      <c r="D303" s="861"/>
      <c r="E303" s="819"/>
      <c r="F303" s="826"/>
      <c r="G303" s="829"/>
      <c r="H303" s="411">
        <v>2473485</v>
      </c>
      <c r="I303" s="411">
        <v>1131100</v>
      </c>
      <c r="J303" s="818"/>
      <c r="K303" s="816"/>
      <c r="L303" s="816"/>
      <c r="M303" s="814"/>
      <c r="N303" s="814"/>
      <c r="O303" s="816"/>
      <c r="P303" s="816"/>
      <c r="Q303" s="814"/>
      <c r="R303" s="814"/>
      <c r="S303" s="816"/>
      <c r="T303" s="814"/>
      <c r="U303" s="814"/>
      <c r="V303" s="816"/>
      <c r="W303" s="814"/>
      <c r="X303" s="814"/>
    </row>
    <row r="304" spans="1:24" s="412" customFormat="1" ht="15.95" customHeight="1">
      <c r="A304" s="859"/>
      <c r="B304" s="829"/>
      <c r="C304" s="822"/>
      <c r="D304" s="861"/>
      <c r="E304" s="819"/>
      <c r="F304" s="826"/>
      <c r="G304" s="829"/>
      <c r="H304" s="411">
        <v>290998</v>
      </c>
      <c r="I304" s="411">
        <v>133072</v>
      </c>
      <c r="J304" s="411" t="s">
        <v>6</v>
      </c>
      <c r="K304" s="413">
        <f t="shared" ref="K304" si="675">L304+O304</f>
        <v>0</v>
      </c>
      <c r="L304" s="413">
        <f t="shared" ref="L304" si="676">M304+N304</f>
        <v>0</v>
      </c>
      <c r="M304" s="414">
        <v>0</v>
      </c>
      <c r="N304" s="414">
        <v>0</v>
      </c>
      <c r="O304" s="413">
        <f t="shared" ref="O304" si="677">P304+S304+V304</f>
        <v>0</v>
      </c>
      <c r="P304" s="413">
        <f t="shared" ref="P304" si="678">Q304+R304</f>
        <v>0</v>
      </c>
      <c r="Q304" s="414">
        <v>0</v>
      </c>
      <c r="R304" s="414">
        <v>0</v>
      </c>
      <c r="S304" s="413">
        <f t="shared" ref="S304" si="679">T304+U304</f>
        <v>0</v>
      </c>
      <c r="T304" s="414">
        <v>0</v>
      </c>
      <c r="U304" s="414">
        <v>0</v>
      </c>
      <c r="V304" s="413">
        <f t="shared" ref="V304" si="680">W304+X304</f>
        <v>0</v>
      </c>
      <c r="W304" s="414">
        <v>0</v>
      </c>
      <c r="X304" s="414">
        <v>0</v>
      </c>
    </row>
    <row r="305" spans="1:24" s="412" customFormat="1" ht="15.95" customHeight="1">
      <c r="A305" s="859"/>
      <c r="B305" s="829"/>
      <c r="C305" s="822"/>
      <c r="D305" s="861"/>
      <c r="E305" s="819"/>
      <c r="F305" s="826"/>
      <c r="G305" s="829"/>
      <c r="H305" s="411">
        <v>0</v>
      </c>
      <c r="I305" s="411">
        <v>0</v>
      </c>
      <c r="J305" s="817" t="s">
        <v>7</v>
      </c>
      <c r="K305" s="816">
        <f t="shared" ref="K305:X305" si="681">K302+K304</f>
        <v>973578</v>
      </c>
      <c r="L305" s="816">
        <f t="shared" si="681"/>
        <v>871096</v>
      </c>
      <c r="M305" s="814">
        <f t="shared" si="681"/>
        <v>871096</v>
      </c>
      <c r="N305" s="814">
        <f t="shared" si="681"/>
        <v>0</v>
      </c>
      <c r="O305" s="816">
        <f t="shared" si="681"/>
        <v>102482</v>
      </c>
      <c r="P305" s="816">
        <f t="shared" si="681"/>
        <v>102482</v>
      </c>
      <c r="Q305" s="814">
        <f t="shared" si="681"/>
        <v>102482</v>
      </c>
      <c r="R305" s="814">
        <f t="shared" si="681"/>
        <v>0</v>
      </c>
      <c r="S305" s="816">
        <f t="shared" si="681"/>
        <v>0</v>
      </c>
      <c r="T305" s="814">
        <f t="shared" si="681"/>
        <v>0</v>
      </c>
      <c r="U305" s="814">
        <f t="shared" si="681"/>
        <v>0</v>
      </c>
      <c r="V305" s="816">
        <f t="shared" si="681"/>
        <v>0</v>
      </c>
      <c r="W305" s="814">
        <f t="shared" si="681"/>
        <v>0</v>
      </c>
      <c r="X305" s="814">
        <f t="shared" si="681"/>
        <v>0</v>
      </c>
    </row>
    <row r="306" spans="1:24" s="412" customFormat="1" ht="15.95" customHeight="1">
      <c r="A306" s="859"/>
      <c r="B306" s="830"/>
      <c r="C306" s="822"/>
      <c r="D306" s="862"/>
      <c r="E306" s="819"/>
      <c r="F306" s="827"/>
      <c r="G306" s="830"/>
      <c r="H306" s="411">
        <v>0</v>
      </c>
      <c r="I306" s="411">
        <v>0</v>
      </c>
      <c r="J306" s="818"/>
      <c r="K306" s="816"/>
      <c r="L306" s="816"/>
      <c r="M306" s="814"/>
      <c r="N306" s="814"/>
      <c r="O306" s="816"/>
      <c r="P306" s="816"/>
      <c r="Q306" s="814"/>
      <c r="R306" s="814"/>
      <c r="S306" s="816"/>
      <c r="T306" s="814"/>
      <c r="U306" s="814"/>
      <c r="V306" s="816"/>
      <c r="W306" s="814"/>
      <c r="X306" s="814"/>
    </row>
    <row r="307" spans="1:24" s="412" customFormat="1" ht="15.6" hidden="1" customHeight="1">
      <c r="A307" s="863">
        <v>36</v>
      </c>
      <c r="B307" s="828" t="s">
        <v>764</v>
      </c>
      <c r="C307" s="822" t="s">
        <v>761</v>
      </c>
      <c r="D307" s="860" t="s">
        <v>767</v>
      </c>
      <c r="E307" s="819" t="s">
        <v>624</v>
      </c>
      <c r="F307" s="825" t="s">
        <v>766</v>
      </c>
      <c r="G307" s="828" t="s">
        <v>634</v>
      </c>
      <c r="H307" s="411">
        <f>H308+H309+H310+H311</f>
        <v>3517126</v>
      </c>
      <c r="I307" s="411">
        <f>I308+I309+I310+I311</f>
        <v>1977469</v>
      </c>
      <c r="J307" s="817" t="s">
        <v>5</v>
      </c>
      <c r="K307" s="816">
        <f t="shared" ref="K307" si="682">L307+O307</f>
        <v>770002</v>
      </c>
      <c r="L307" s="816">
        <f t="shared" ref="L307" si="683">M307+N307</f>
        <v>770002</v>
      </c>
      <c r="M307" s="814">
        <v>770002</v>
      </c>
      <c r="N307" s="814">
        <v>0</v>
      </c>
      <c r="O307" s="816">
        <f t="shared" ref="O307" si="684">P307+S307+V307</f>
        <v>0</v>
      </c>
      <c r="P307" s="816">
        <f t="shared" ref="P307" si="685">Q307+R307</f>
        <v>0</v>
      </c>
      <c r="Q307" s="814">
        <v>0</v>
      </c>
      <c r="R307" s="814">
        <v>0</v>
      </c>
      <c r="S307" s="816">
        <f t="shared" ref="S307" si="686">T307+U307</f>
        <v>0</v>
      </c>
      <c r="T307" s="814">
        <v>0</v>
      </c>
      <c r="U307" s="814">
        <v>0</v>
      </c>
      <c r="V307" s="816">
        <f t="shared" ref="V307" si="687">W307+X307</f>
        <v>0</v>
      </c>
      <c r="W307" s="814">
        <v>0</v>
      </c>
      <c r="X307" s="814">
        <v>0</v>
      </c>
    </row>
    <row r="308" spans="1:24" s="412" customFormat="1" ht="15.6" hidden="1" customHeight="1">
      <c r="A308" s="863"/>
      <c r="B308" s="829"/>
      <c r="C308" s="822"/>
      <c r="D308" s="861"/>
      <c r="E308" s="819"/>
      <c r="F308" s="826"/>
      <c r="G308" s="829"/>
      <c r="H308" s="411">
        <v>3517126</v>
      </c>
      <c r="I308" s="411">
        <v>1977469</v>
      </c>
      <c r="J308" s="818"/>
      <c r="K308" s="816"/>
      <c r="L308" s="816"/>
      <c r="M308" s="814"/>
      <c r="N308" s="814"/>
      <c r="O308" s="816"/>
      <c r="P308" s="816"/>
      <c r="Q308" s="814"/>
      <c r="R308" s="814"/>
      <c r="S308" s="816"/>
      <c r="T308" s="814"/>
      <c r="U308" s="814"/>
      <c r="V308" s="816"/>
      <c r="W308" s="814"/>
      <c r="X308" s="814"/>
    </row>
    <row r="309" spans="1:24" s="412" customFormat="1" ht="15.6" hidden="1" customHeight="1">
      <c r="A309" s="863"/>
      <c r="B309" s="829"/>
      <c r="C309" s="822"/>
      <c r="D309" s="861"/>
      <c r="E309" s="819"/>
      <c r="F309" s="826"/>
      <c r="G309" s="829"/>
      <c r="H309" s="411">
        <v>0</v>
      </c>
      <c r="I309" s="411">
        <v>0</v>
      </c>
      <c r="J309" s="411" t="s">
        <v>6</v>
      </c>
      <c r="K309" s="413">
        <f t="shared" ref="K309" si="688">L309+O309</f>
        <v>0</v>
      </c>
      <c r="L309" s="413">
        <f t="shared" ref="L309" si="689">M309+N309</f>
        <v>0</v>
      </c>
      <c r="M309" s="414">
        <v>0</v>
      </c>
      <c r="N309" s="414">
        <v>0</v>
      </c>
      <c r="O309" s="413">
        <f t="shared" ref="O309" si="690">P309+S309+V309</f>
        <v>0</v>
      </c>
      <c r="P309" s="413">
        <f t="shared" ref="P309" si="691">Q309+R309</f>
        <v>0</v>
      </c>
      <c r="Q309" s="414">
        <v>0</v>
      </c>
      <c r="R309" s="414">
        <v>0</v>
      </c>
      <c r="S309" s="413">
        <f t="shared" ref="S309" si="692">T309+U309</f>
        <v>0</v>
      </c>
      <c r="T309" s="414">
        <v>0</v>
      </c>
      <c r="U309" s="414">
        <v>0</v>
      </c>
      <c r="V309" s="413">
        <f t="shared" ref="V309" si="693">W309+X309</f>
        <v>0</v>
      </c>
      <c r="W309" s="414">
        <v>0</v>
      </c>
      <c r="X309" s="414">
        <v>0</v>
      </c>
    </row>
    <row r="310" spans="1:24" s="412" customFormat="1" ht="15.6" hidden="1" customHeight="1">
      <c r="A310" s="863"/>
      <c r="B310" s="829"/>
      <c r="C310" s="822"/>
      <c r="D310" s="861"/>
      <c r="E310" s="819"/>
      <c r="F310" s="826"/>
      <c r="G310" s="829"/>
      <c r="H310" s="411">
        <v>0</v>
      </c>
      <c r="I310" s="411">
        <v>0</v>
      </c>
      <c r="J310" s="817" t="s">
        <v>7</v>
      </c>
      <c r="K310" s="816">
        <f t="shared" ref="K310:X310" si="694">K307+K309</f>
        <v>770002</v>
      </c>
      <c r="L310" s="816">
        <f t="shared" si="694"/>
        <v>770002</v>
      </c>
      <c r="M310" s="814">
        <f t="shared" si="694"/>
        <v>770002</v>
      </c>
      <c r="N310" s="814">
        <f t="shared" si="694"/>
        <v>0</v>
      </c>
      <c r="O310" s="816">
        <f t="shared" si="694"/>
        <v>0</v>
      </c>
      <c r="P310" s="816">
        <f t="shared" si="694"/>
        <v>0</v>
      </c>
      <c r="Q310" s="814">
        <f t="shared" si="694"/>
        <v>0</v>
      </c>
      <c r="R310" s="814">
        <f t="shared" si="694"/>
        <v>0</v>
      </c>
      <c r="S310" s="816">
        <f t="shared" si="694"/>
        <v>0</v>
      </c>
      <c r="T310" s="814">
        <f t="shared" si="694"/>
        <v>0</v>
      </c>
      <c r="U310" s="814">
        <f t="shared" si="694"/>
        <v>0</v>
      </c>
      <c r="V310" s="816">
        <f t="shared" si="694"/>
        <v>0</v>
      </c>
      <c r="W310" s="814">
        <f t="shared" si="694"/>
        <v>0</v>
      </c>
      <c r="X310" s="814">
        <f t="shared" si="694"/>
        <v>0</v>
      </c>
    </row>
    <row r="311" spans="1:24" s="412" customFormat="1" ht="15.6" hidden="1" customHeight="1">
      <c r="A311" s="863"/>
      <c r="B311" s="830"/>
      <c r="C311" s="822"/>
      <c r="D311" s="862"/>
      <c r="E311" s="819"/>
      <c r="F311" s="827"/>
      <c r="G311" s="830"/>
      <c r="H311" s="411">
        <v>0</v>
      </c>
      <c r="I311" s="411">
        <v>0</v>
      </c>
      <c r="J311" s="818"/>
      <c r="K311" s="816"/>
      <c r="L311" s="816"/>
      <c r="M311" s="814"/>
      <c r="N311" s="814"/>
      <c r="O311" s="816"/>
      <c r="P311" s="816"/>
      <c r="Q311" s="814"/>
      <c r="R311" s="814"/>
      <c r="S311" s="816"/>
      <c r="T311" s="814"/>
      <c r="U311" s="814"/>
      <c r="V311" s="816"/>
      <c r="W311" s="814"/>
      <c r="X311" s="814"/>
    </row>
    <row r="312" spans="1:24" s="412" customFormat="1" ht="15.6" hidden="1" customHeight="1">
      <c r="A312" s="863">
        <v>55</v>
      </c>
      <c r="B312" s="828" t="s">
        <v>768</v>
      </c>
      <c r="C312" s="822" t="s">
        <v>769</v>
      </c>
      <c r="D312" s="860" t="s">
        <v>770</v>
      </c>
      <c r="E312" s="819" t="s">
        <v>624</v>
      </c>
      <c r="F312" s="825" t="s">
        <v>771</v>
      </c>
      <c r="G312" s="828" t="s">
        <v>750</v>
      </c>
      <c r="H312" s="411">
        <f>H313+H314+H315+H316</f>
        <v>1143360</v>
      </c>
      <c r="I312" s="411">
        <f>I313+I314+I315+I316</f>
        <v>0</v>
      </c>
      <c r="J312" s="817" t="s">
        <v>5</v>
      </c>
      <c r="K312" s="816">
        <f t="shared" ref="K312" si="695">L312+O312</f>
        <v>572208</v>
      </c>
      <c r="L312" s="816">
        <f t="shared" ref="L312" si="696">M312+N312</f>
        <v>486377</v>
      </c>
      <c r="M312" s="814">
        <v>486377</v>
      </c>
      <c r="N312" s="814">
        <v>0</v>
      </c>
      <c r="O312" s="816">
        <f t="shared" ref="O312" si="697">P312+S312+V312</f>
        <v>85831</v>
      </c>
      <c r="P312" s="816">
        <f t="shared" ref="P312" si="698">Q312+R312</f>
        <v>28610</v>
      </c>
      <c r="Q312" s="814">
        <v>28610</v>
      </c>
      <c r="R312" s="814">
        <v>0</v>
      </c>
      <c r="S312" s="816">
        <f t="shared" ref="S312" si="699">T312+U312</f>
        <v>57221</v>
      </c>
      <c r="T312" s="814">
        <v>57221</v>
      </c>
      <c r="U312" s="814">
        <v>0</v>
      </c>
      <c r="V312" s="816">
        <f t="shared" ref="V312" si="700">W312+X312</f>
        <v>0</v>
      </c>
      <c r="W312" s="814">
        <v>0</v>
      </c>
      <c r="X312" s="814">
        <v>0</v>
      </c>
    </row>
    <row r="313" spans="1:24" s="412" customFormat="1" ht="15.6" hidden="1" customHeight="1">
      <c r="A313" s="863"/>
      <c r="B313" s="829"/>
      <c r="C313" s="822"/>
      <c r="D313" s="861"/>
      <c r="E313" s="819"/>
      <c r="F313" s="826"/>
      <c r="G313" s="829"/>
      <c r="H313" s="411">
        <v>971856</v>
      </c>
      <c r="I313" s="411">
        <v>0</v>
      </c>
      <c r="J313" s="818"/>
      <c r="K313" s="816"/>
      <c r="L313" s="816"/>
      <c r="M313" s="814"/>
      <c r="N313" s="814"/>
      <c r="O313" s="816"/>
      <c r="P313" s="816"/>
      <c r="Q313" s="814"/>
      <c r="R313" s="814"/>
      <c r="S313" s="816"/>
      <c r="T313" s="814"/>
      <c r="U313" s="814"/>
      <c r="V313" s="816"/>
      <c r="W313" s="814"/>
      <c r="X313" s="814"/>
    </row>
    <row r="314" spans="1:24" s="412" customFormat="1" ht="15.6" hidden="1" customHeight="1">
      <c r="A314" s="863"/>
      <c r="B314" s="829"/>
      <c r="C314" s="822"/>
      <c r="D314" s="861"/>
      <c r="E314" s="819"/>
      <c r="F314" s="826"/>
      <c r="G314" s="829"/>
      <c r="H314" s="411">
        <v>57168</v>
      </c>
      <c r="I314" s="411">
        <v>0</v>
      </c>
      <c r="J314" s="411" t="s">
        <v>6</v>
      </c>
      <c r="K314" s="413">
        <f t="shared" ref="K314" si="701">L314+O314</f>
        <v>0</v>
      </c>
      <c r="L314" s="413">
        <f t="shared" ref="L314" si="702">M314+N314</f>
        <v>0</v>
      </c>
      <c r="M314" s="414">
        <v>0</v>
      </c>
      <c r="N314" s="414">
        <v>0</v>
      </c>
      <c r="O314" s="413">
        <f t="shared" ref="O314" si="703">P314+S314+V314</f>
        <v>0</v>
      </c>
      <c r="P314" s="413">
        <f t="shared" ref="P314" si="704">Q314+R314</f>
        <v>0</v>
      </c>
      <c r="Q314" s="414">
        <v>0</v>
      </c>
      <c r="R314" s="414">
        <v>0</v>
      </c>
      <c r="S314" s="413">
        <f t="shared" ref="S314" si="705">T314+U314</f>
        <v>0</v>
      </c>
      <c r="T314" s="414">
        <v>0</v>
      </c>
      <c r="U314" s="414">
        <v>0</v>
      </c>
      <c r="V314" s="413">
        <f t="shared" ref="V314" si="706">W314+X314</f>
        <v>0</v>
      </c>
      <c r="W314" s="414">
        <v>0</v>
      </c>
      <c r="X314" s="414">
        <v>0</v>
      </c>
    </row>
    <row r="315" spans="1:24" s="412" customFormat="1" ht="15.6" hidden="1" customHeight="1">
      <c r="A315" s="863"/>
      <c r="B315" s="829"/>
      <c r="C315" s="822"/>
      <c r="D315" s="861"/>
      <c r="E315" s="819"/>
      <c r="F315" s="826"/>
      <c r="G315" s="829"/>
      <c r="H315" s="411">
        <v>114336</v>
      </c>
      <c r="I315" s="411">
        <v>0</v>
      </c>
      <c r="J315" s="817" t="s">
        <v>7</v>
      </c>
      <c r="K315" s="816">
        <f t="shared" ref="K315:X315" si="707">K312+K314</f>
        <v>572208</v>
      </c>
      <c r="L315" s="816">
        <f t="shared" si="707"/>
        <v>486377</v>
      </c>
      <c r="M315" s="814">
        <f t="shared" si="707"/>
        <v>486377</v>
      </c>
      <c r="N315" s="814">
        <f t="shared" si="707"/>
        <v>0</v>
      </c>
      <c r="O315" s="816">
        <f t="shared" si="707"/>
        <v>85831</v>
      </c>
      <c r="P315" s="816">
        <f t="shared" si="707"/>
        <v>28610</v>
      </c>
      <c r="Q315" s="814">
        <f t="shared" si="707"/>
        <v>28610</v>
      </c>
      <c r="R315" s="814">
        <f t="shared" si="707"/>
        <v>0</v>
      </c>
      <c r="S315" s="816">
        <f t="shared" si="707"/>
        <v>57221</v>
      </c>
      <c r="T315" s="814">
        <f t="shared" si="707"/>
        <v>57221</v>
      </c>
      <c r="U315" s="814">
        <f t="shared" si="707"/>
        <v>0</v>
      </c>
      <c r="V315" s="816">
        <f t="shared" si="707"/>
        <v>0</v>
      </c>
      <c r="W315" s="814">
        <f t="shared" si="707"/>
        <v>0</v>
      </c>
      <c r="X315" s="814">
        <f t="shared" si="707"/>
        <v>0</v>
      </c>
    </row>
    <row r="316" spans="1:24" s="412" customFormat="1" ht="15.6" hidden="1" customHeight="1">
      <c r="A316" s="863"/>
      <c r="B316" s="830"/>
      <c r="C316" s="822"/>
      <c r="D316" s="862"/>
      <c r="E316" s="819"/>
      <c r="F316" s="827"/>
      <c r="G316" s="830"/>
      <c r="H316" s="411">
        <v>0</v>
      </c>
      <c r="I316" s="411">
        <v>0</v>
      </c>
      <c r="J316" s="818"/>
      <c r="K316" s="816"/>
      <c r="L316" s="816"/>
      <c r="M316" s="814"/>
      <c r="N316" s="814"/>
      <c r="O316" s="816"/>
      <c r="P316" s="816"/>
      <c r="Q316" s="814"/>
      <c r="R316" s="814"/>
      <c r="S316" s="816"/>
      <c r="T316" s="814"/>
      <c r="U316" s="814"/>
      <c r="V316" s="816"/>
      <c r="W316" s="814"/>
      <c r="X316" s="814"/>
    </row>
    <row r="317" spans="1:24" s="412" customFormat="1" ht="15.6" hidden="1" customHeight="1">
      <c r="A317" s="863">
        <v>37</v>
      </c>
      <c r="B317" s="828" t="s">
        <v>768</v>
      </c>
      <c r="C317" s="822" t="s">
        <v>769</v>
      </c>
      <c r="D317" s="860" t="s">
        <v>772</v>
      </c>
      <c r="E317" s="843" t="s">
        <v>773</v>
      </c>
      <c r="F317" s="825" t="s">
        <v>771</v>
      </c>
      <c r="G317" s="828" t="s">
        <v>629</v>
      </c>
      <c r="H317" s="411">
        <f>H318+H319+H320+H321</f>
        <v>1144706</v>
      </c>
      <c r="I317" s="411">
        <f>I318+I319+I320+I321</f>
        <v>0</v>
      </c>
      <c r="J317" s="817" t="s">
        <v>5</v>
      </c>
      <c r="K317" s="816">
        <f t="shared" ref="K317" si="708">L317+O317</f>
        <v>203471</v>
      </c>
      <c r="L317" s="816">
        <f t="shared" ref="L317" si="709">M317+N317</f>
        <v>183761</v>
      </c>
      <c r="M317" s="814">
        <v>183761</v>
      </c>
      <c r="N317" s="814">
        <v>0</v>
      </c>
      <c r="O317" s="816">
        <f t="shared" ref="O317" si="710">P317+S317+V317</f>
        <v>19710</v>
      </c>
      <c r="P317" s="816">
        <f t="shared" ref="P317" si="711">Q317+R317</f>
        <v>10809</v>
      </c>
      <c r="Q317" s="814">
        <v>10809</v>
      </c>
      <c r="R317" s="814">
        <v>0</v>
      </c>
      <c r="S317" s="816">
        <f t="shared" ref="S317" si="712">T317+U317</f>
        <v>8901</v>
      </c>
      <c r="T317" s="814">
        <v>8901</v>
      </c>
      <c r="U317" s="814">
        <v>0</v>
      </c>
      <c r="V317" s="816">
        <f t="shared" ref="V317" si="713">W317+X317</f>
        <v>0</v>
      </c>
      <c r="W317" s="814">
        <v>0</v>
      </c>
      <c r="X317" s="814">
        <v>0</v>
      </c>
    </row>
    <row r="318" spans="1:24" s="412" customFormat="1" ht="15.6" hidden="1" customHeight="1">
      <c r="A318" s="863"/>
      <c r="B318" s="829"/>
      <c r="C318" s="822"/>
      <c r="D318" s="861"/>
      <c r="E318" s="843"/>
      <c r="F318" s="826"/>
      <c r="G318" s="829"/>
      <c r="H318" s="411">
        <v>1033817</v>
      </c>
      <c r="I318" s="411">
        <v>0</v>
      </c>
      <c r="J318" s="818"/>
      <c r="K318" s="816"/>
      <c r="L318" s="816"/>
      <c r="M318" s="814"/>
      <c r="N318" s="814"/>
      <c r="O318" s="816"/>
      <c r="P318" s="816"/>
      <c r="Q318" s="814"/>
      <c r="R318" s="814"/>
      <c r="S318" s="816"/>
      <c r="T318" s="814"/>
      <c r="U318" s="814"/>
      <c r="V318" s="816"/>
      <c r="W318" s="814"/>
      <c r="X318" s="814"/>
    </row>
    <row r="319" spans="1:24" s="412" customFormat="1" ht="15.6" hidden="1" customHeight="1">
      <c r="A319" s="863"/>
      <c r="B319" s="829"/>
      <c r="C319" s="822"/>
      <c r="D319" s="861"/>
      <c r="E319" s="843"/>
      <c r="F319" s="826"/>
      <c r="G319" s="829"/>
      <c r="H319" s="411">
        <v>60813</v>
      </c>
      <c r="I319" s="411">
        <v>0</v>
      </c>
      <c r="J319" s="411" t="s">
        <v>6</v>
      </c>
      <c r="K319" s="413">
        <f t="shared" ref="K319" si="714">L319+O319</f>
        <v>0</v>
      </c>
      <c r="L319" s="413">
        <f t="shared" ref="L319" si="715">M319+N319</f>
        <v>0</v>
      </c>
      <c r="M319" s="414">
        <v>0</v>
      </c>
      <c r="N319" s="414">
        <v>0</v>
      </c>
      <c r="O319" s="413">
        <f t="shared" ref="O319" si="716">P319+S319+V319</f>
        <v>0</v>
      </c>
      <c r="P319" s="413">
        <f t="shared" ref="P319" si="717">Q319+R319</f>
        <v>0</v>
      </c>
      <c r="Q319" s="414">
        <v>0</v>
      </c>
      <c r="R319" s="414">
        <v>0</v>
      </c>
      <c r="S319" s="413">
        <f t="shared" ref="S319" si="718">T319+U319</f>
        <v>0</v>
      </c>
      <c r="T319" s="414">
        <v>0</v>
      </c>
      <c r="U319" s="414">
        <v>0</v>
      </c>
      <c r="V319" s="413">
        <f t="shared" ref="V319" si="719">W319+X319</f>
        <v>0</v>
      </c>
      <c r="W319" s="414">
        <v>0</v>
      </c>
      <c r="X319" s="414">
        <v>0</v>
      </c>
    </row>
    <row r="320" spans="1:24" s="412" customFormat="1" ht="15.6" hidden="1" customHeight="1">
      <c r="A320" s="863"/>
      <c r="B320" s="829"/>
      <c r="C320" s="822"/>
      <c r="D320" s="861"/>
      <c r="E320" s="843"/>
      <c r="F320" s="826"/>
      <c r="G320" s="829"/>
      <c r="H320" s="411">
        <v>50076</v>
      </c>
      <c r="I320" s="411">
        <v>0</v>
      </c>
      <c r="J320" s="817" t="s">
        <v>7</v>
      </c>
      <c r="K320" s="816">
        <f t="shared" ref="K320:X320" si="720">K317+K319</f>
        <v>203471</v>
      </c>
      <c r="L320" s="816">
        <f t="shared" si="720"/>
        <v>183761</v>
      </c>
      <c r="M320" s="814">
        <f t="shared" si="720"/>
        <v>183761</v>
      </c>
      <c r="N320" s="814">
        <f t="shared" si="720"/>
        <v>0</v>
      </c>
      <c r="O320" s="816">
        <f t="shared" si="720"/>
        <v>19710</v>
      </c>
      <c r="P320" s="816">
        <f t="shared" si="720"/>
        <v>10809</v>
      </c>
      <c r="Q320" s="814">
        <f t="shared" si="720"/>
        <v>10809</v>
      </c>
      <c r="R320" s="814">
        <f t="shared" si="720"/>
        <v>0</v>
      </c>
      <c r="S320" s="816">
        <f t="shared" si="720"/>
        <v>8901</v>
      </c>
      <c r="T320" s="814">
        <f t="shared" si="720"/>
        <v>8901</v>
      </c>
      <c r="U320" s="814">
        <f t="shared" si="720"/>
        <v>0</v>
      </c>
      <c r="V320" s="816">
        <f t="shared" si="720"/>
        <v>0</v>
      </c>
      <c r="W320" s="814">
        <f t="shared" si="720"/>
        <v>0</v>
      </c>
      <c r="X320" s="814">
        <f t="shared" si="720"/>
        <v>0</v>
      </c>
    </row>
    <row r="321" spans="1:24" s="412" customFormat="1" ht="15.6" hidden="1" customHeight="1">
      <c r="A321" s="863"/>
      <c r="B321" s="830"/>
      <c r="C321" s="822"/>
      <c r="D321" s="862"/>
      <c r="E321" s="843"/>
      <c r="F321" s="827"/>
      <c r="G321" s="830"/>
      <c r="H321" s="411">
        <v>0</v>
      </c>
      <c r="I321" s="411">
        <v>0</v>
      </c>
      <c r="J321" s="818"/>
      <c r="K321" s="816"/>
      <c r="L321" s="816"/>
      <c r="M321" s="814"/>
      <c r="N321" s="814"/>
      <c r="O321" s="816"/>
      <c r="P321" s="816"/>
      <c r="Q321" s="814"/>
      <c r="R321" s="814"/>
      <c r="S321" s="816"/>
      <c r="T321" s="814"/>
      <c r="U321" s="814"/>
      <c r="V321" s="816"/>
      <c r="W321" s="814"/>
      <c r="X321" s="814"/>
    </row>
    <row r="322" spans="1:24" s="412" customFormat="1" ht="15.6" hidden="1" customHeight="1">
      <c r="A322" s="863">
        <v>38</v>
      </c>
      <c r="B322" s="828" t="s">
        <v>774</v>
      </c>
      <c r="C322" s="822" t="s">
        <v>761</v>
      </c>
      <c r="D322" s="860" t="s">
        <v>775</v>
      </c>
      <c r="E322" s="819" t="s">
        <v>624</v>
      </c>
      <c r="F322" s="825" t="s">
        <v>776</v>
      </c>
      <c r="G322" s="828" t="s">
        <v>626</v>
      </c>
      <c r="H322" s="411">
        <f>H323+H324+H325+H326</f>
        <v>19999350</v>
      </c>
      <c r="I322" s="411">
        <f>I323+I324+I325+I326</f>
        <v>14982575</v>
      </c>
      <c r="J322" s="817" t="s">
        <v>5</v>
      </c>
      <c r="K322" s="816">
        <f t="shared" ref="K322" si="721">L322+O322</f>
        <v>1919200</v>
      </c>
      <c r="L322" s="816">
        <f t="shared" ref="L322" si="722">M322+N322</f>
        <v>1631320</v>
      </c>
      <c r="M322" s="814">
        <v>1631320</v>
      </c>
      <c r="N322" s="814">
        <v>0</v>
      </c>
      <c r="O322" s="816">
        <f t="shared" ref="O322" si="723">P322+S322+V322</f>
        <v>287880</v>
      </c>
      <c r="P322" s="816">
        <f t="shared" ref="P322" si="724">Q322+R322</f>
        <v>287880</v>
      </c>
      <c r="Q322" s="814">
        <v>287880</v>
      </c>
      <c r="R322" s="814">
        <v>0</v>
      </c>
      <c r="S322" s="816">
        <f t="shared" ref="S322" si="725">T322+U322</f>
        <v>0</v>
      </c>
      <c r="T322" s="814">
        <v>0</v>
      </c>
      <c r="U322" s="814">
        <v>0</v>
      </c>
      <c r="V322" s="816">
        <f t="shared" ref="V322" si="726">W322+X322</f>
        <v>0</v>
      </c>
      <c r="W322" s="814">
        <v>0</v>
      </c>
      <c r="X322" s="814">
        <v>0</v>
      </c>
    </row>
    <row r="323" spans="1:24" s="412" customFormat="1" ht="15.6" hidden="1" customHeight="1">
      <c r="A323" s="863"/>
      <c r="B323" s="829"/>
      <c r="C323" s="822"/>
      <c r="D323" s="861"/>
      <c r="E323" s="819"/>
      <c r="F323" s="826"/>
      <c r="G323" s="829"/>
      <c r="H323" s="411">
        <v>16999447</v>
      </c>
      <c r="I323" s="411">
        <v>12735189</v>
      </c>
      <c r="J323" s="818"/>
      <c r="K323" s="816"/>
      <c r="L323" s="816"/>
      <c r="M323" s="814"/>
      <c r="N323" s="814"/>
      <c r="O323" s="816"/>
      <c r="P323" s="816"/>
      <c r="Q323" s="814"/>
      <c r="R323" s="814"/>
      <c r="S323" s="816"/>
      <c r="T323" s="814"/>
      <c r="U323" s="814"/>
      <c r="V323" s="816"/>
      <c r="W323" s="814"/>
      <c r="X323" s="814"/>
    </row>
    <row r="324" spans="1:24" s="412" customFormat="1" ht="15.6" hidden="1" customHeight="1">
      <c r="A324" s="863"/>
      <c r="B324" s="829"/>
      <c r="C324" s="822"/>
      <c r="D324" s="861"/>
      <c r="E324" s="819"/>
      <c r="F324" s="826"/>
      <c r="G324" s="829"/>
      <c r="H324" s="411">
        <v>2999903</v>
      </c>
      <c r="I324" s="411">
        <v>2247386</v>
      </c>
      <c r="J324" s="411" t="s">
        <v>6</v>
      </c>
      <c r="K324" s="413">
        <f t="shared" ref="K324" si="727">L324+O324</f>
        <v>0</v>
      </c>
      <c r="L324" s="413">
        <f t="shared" ref="L324" si="728">M324+N324</f>
        <v>0</v>
      </c>
      <c r="M324" s="414">
        <v>0</v>
      </c>
      <c r="N324" s="414">
        <v>0</v>
      </c>
      <c r="O324" s="413">
        <f t="shared" ref="O324" si="729">P324+S324+V324</f>
        <v>0</v>
      </c>
      <c r="P324" s="413">
        <f t="shared" ref="P324" si="730">Q324+R324</f>
        <v>0</v>
      </c>
      <c r="Q324" s="414">
        <v>0</v>
      </c>
      <c r="R324" s="414">
        <v>0</v>
      </c>
      <c r="S324" s="413">
        <f t="shared" ref="S324" si="731">T324+U324</f>
        <v>0</v>
      </c>
      <c r="T324" s="414">
        <v>0</v>
      </c>
      <c r="U324" s="414">
        <v>0</v>
      </c>
      <c r="V324" s="413">
        <f t="shared" ref="V324" si="732">W324+X324</f>
        <v>0</v>
      </c>
      <c r="W324" s="414">
        <v>0</v>
      </c>
      <c r="X324" s="414">
        <v>0</v>
      </c>
    </row>
    <row r="325" spans="1:24" s="412" customFormat="1" ht="15.6" hidden="1" customHeight="1">
      <c r="A325" s="863"/>
      <c r="B325" s="829"/>
      <c r="C325" s="822"/>
      <c r="D325" s="861"/>
      <c r="E325" s="819"/>
      <c r="F325" s="826"/>
      <c r="G325" s="829"/>
      <c r="H325" s="411">
        <v>0</v>
      </c>
      <c r="I325" s="411">
        <v>0</v>
      </c>
      <c r="J325" s="817" t="s">
        <v>7</v>
      </c>
      <c r="K325" s="816">
        <f t="shared" ref="K325:X325" si="733">K322+K324</f>
        <v>1919200</v>
      </c>
      <c r="L325" s="816">
        <f t="shared" si="733"/>
        <v>1631320</v>
      </c>
      <c r="M325" s="814">
        <f t="shared" si="733"/>
        <v>1631320</v>
      </c>
      <c r="N325" s="814">
        <f t="shared" si="733"/>
        <v>0</v>
      </c>
      <c r="O325" s="816">
        <f t="shared" si="733"/>
        <v>287880</v>
      </c>
      <c r="P325" s="816">
        <f t="shared" si="733"/>
        <v>287880</v>
      </c>
      <c r="Q325" s="814">
        <f t="shared" si="733"/>
        <v>287880</v>
      </c>
      <c r="R325" s="814">
        <f t="shared" si="733"/>
        <v>0</v>
      </c>
      <c r="S325" s="816">
        <f t="shared" si="733"/>
        <v>0</v>
      </c>
      <c r="T325" s="814">
        <f t="shared" si="733"/>
        <v>0</v>
      </c>
      <c r="U325" s="814">
        <f t="shared" si="733"/>
        <v>0</v>
      </c>
      <c r="V325" s="816">
        <f t="shared" si="733"/>
        <v>0</v>
      </c>
      <c r="W325" s="814">
        <f t="shared" si="733"/>
        <v>0</v>
      </c>
      <c r="X325" s="814">
        <f t="shared" si="733"/>
        <v>0</v>
      </c>
    </row>
    <row r="326" spans="1:24" s="412" customFormat="1" ht="15.6" hidden="1" customHeight="1">
      <c r="A326" s="863"/>
      <c r="B326" s="830"/>
      <c r="C326" s="822"/>
      <c r="D326" s="862"/>
      <c r="E326" s="819"/>
      <c r="F326" s="827"/>
      <c r="G326" s="830"/>
      <c r="H326" s="411">
        <v>0</v>
      </c>
      <c r="I326" s="411">
        <v>0</v>
      </c>
      <c r="J326" s="818"/>
      <c r="K326" s="816"/>
      <c r="L326" s="816"/>
      <c r="M326" s="814"/>
      <c r="N326" s="814"/>
      <c r="O326" s="816"/>
      <c r="P326" s="816"/>
      <c r="Q326" s="814"/>
      <c r="R326" s="814"/>
      <c r="S326" s="816"/>
      <c r="T326" s="814"/>
      <c r="U326" s="814"/>
      <c r="V326" s="816"/>
      <c r="W326" s="814"/>
      <c r="X326" s="814"/>
    </row>
    <row r="327" spans="1:24" s="412" customFormat="1" ht="17.25" hidden="1" customHeight="1">
      <c r="A327" s="863">
        <v>39</v>
      </c>
      <c r="B327" s="828" t="s">
        <v>774</v>
      </c>
      <c r="C327" s="822" t="s">
        <v>761</v>
      </c>
      <c r="D327" s="860" t="s">
        <v>777</v>
      </c>
      <c r="E327" s="819" t="s">
        <v>624</v>
      </c>
      <c r="F327" s="825" t="s">
        <v>776</v>
      </c>
      <c r="G327" s="828" t="s">
        <v>671</v>
      </c>
      <c r="H327" s="411">
        <f>H328+H329+H330+H331</f>
        <v>6100050</v>
      </c>
      <c r="I327" s="411">
        <f>I328+I329+I330+I331</f>
        <v>2666554</v>
      </c>
      <c r="J327" s="817" t="s">
        <v>5</v>
      </c>
      <c r="K327" s="816">
        <f t="shared" ref="K327" si="734">L327+O327</f>
        <v>1137400</v>
      </c>
      <c r="L327" s="816">
        <f t="shared" ref="L327" si="735">M327+N327</f>
        <v>966790</v>
      </c>
      <c r="M327" s="814">
        <v>966790</v>
      </c>
      <c r="N327" s="814">
        <v>0</v>
      </c>
      <c r="O327" s="816">
        <f t="shared" ref="O327" si="736">P327+S327+V327</f>
        <v>170610</v>
      </c>
      <c r="P327" s="816">
        <f t="shared" ref="P327" si="737">Q327+R327</f>
        <v>170610</v>
      </c>
      <c r="Q327" s="814">
        <v>170610</v>
      </c>
      <c r="R327" s="814">
        <v>0</v>
      </c>
      <c r="S327" s="816">
        <f t="shared" ref="S327" si="738">T327+U327</f>
        <v>0</v>
      </c>
      <c r="T327" s="814">
        <v>0</v>
      </c>
      <c r="U327" s="814">
        <v>0</v>
      </c>
      <c r="V327" s="816">
        <f t="shared" ref="V327" si="739">W327+X327</f>
        <v>0</v>
      </c>
      <c r="W327" s="814">
        <v>0</v>
      </c>
      <c r="X327" s="814">
        <v>0</v>
      </c>
    </row>
    <row r="328" spans="1:24" s="412" customFormat="1" ht="17.25" hidden="1" customHeight="1">
      <c r="A328" s="863"/>
      <c r="B328" s="829"/>
      <c r="C328" s="822"/>
      <c r="D328" s="861"/>
      <c r="E328" s="819"/>
      <c r="F328" s="826"/>
      <c r="G328" s="829"/>
      <c r="H328" s="411">
        <v>5185043</v>
      </c>
      <c r="I328" s="411">
        <v>2266571</v>
      </c>
      <c r="J328" s="818"/>
      <c r="K328" s="816"/>
      <c r="L328" s="816"/>
      <c r="M328" s="814"/>
      <c r="N328" s="814"/>
      <c r="O328" s="816"/>
      <c r="P328" s="816"/>
      <c r="Q328" s="814"/>
      <c r="R328" s="814"/>
      <c r="S328" s="816"/>
      <c r="T328" s="814"/>
      <c r="U328" s="814"/>
      <c r="V328" s="816"/>
      <c r="W328" s="814"/>
      <c r="X328" s="814"/>
    </row>
    <row r="329" spans="1:24" s="412" customFormat="1" ht="17.25" hidden="1" customHeight="1">
      <c r="A329" s="863"/>
      <c r="B329" s="829"/>
      <c r="C329" s="822"/>
      <c r="D329" s="861"/>
      <c r="E329" s="819"/>
      <c r="F329" s="826"/>
      <c r="G329" s="829"/>
      <c r="H329" s="411">
        <v>915007</v>
      </c>
      <c r="I329" s="411">
        <v>399983</v>
      </c>
      <c r="J329" s="411" t="s">
        <v>6</v>
      </c>
      <c r="K329" s="413">
        <f t="shared" ref="K329" si="740">L329+O329</f>
        <v>0</v>
      </c>
      <c r="L329" s="413">
        <f t="shared" ref="L329" si="741">M329+N329</f>
        <v>0</v>
      </c>
      <c r="M329" s="414">
        <v>0</v>
      </c>
      <c r="N329" s="414">
        <v>0</v>
      </c>
      <c r="O329" s="413">
        <f t="shared" ref="O329" si="742">P329+S329+V329</f>
        <v>0</v>
      </c>
      <c r="P329" s="413">
        <f t="shared" ref="P329" si="743">Q329+R329</f>
        <v>0</v>
      </c>
      <c r="Q329" s="414">
        <v>0</v>
      </c>
      <c r="R329" s="414">
        <v>0</v>
      </c>
      <c r="S329" s="413">
        <f t="shared" ref="S329" si="744">T329+U329</f>
        <v>0</v>
      </c>
      <c r="T329" s="414">
        <v>0</v>
      </c>
      <c r="U329" s="414">
        <v>0</v>
      </c>
      <c r="V329" s="413">
        <f t="shared" ref="V329" si="745">W329+X329</f>
        <v>0</v>
      </c>
      <c r="W329" s="414">
        <v>0</v>
      </c>
      <c r="X329" s="414">
        <v>0</v>
      </c>
    </row>
    <row r="330" spans="1:24" s="412" customFormat="1" ht="17.25" hidden="1" customHeight="1">
      <c r="A330" s="863"/>
      <c r="B330" s="829"/>
      <c r="C330" s="822"/>
      <c r="D330" s="861"/>
      <c r="E330" s="819"/>
      <c r="F330" s="826"/>
      <c r="G330" s="829"/>
      <c r="H330" s="411">
        <v>0</v>
      </c>
      <c r="I330" s="411">
        <v>0</v>
      </c>
      <c r="J330" s="817" t="s">
        <v>7</v>
      </c>
      <c r="K330" s="816">
        <f t="shared" ref="K330:X330" si="746">K327+K329</f>
        <v>1137400</v>
      </c>
      <c r="L330" s="816">
        <f t="shared" si="746"/>
        <v>966790</v>
      </c>
      <c r="M330" s="814">
        <f t="shared" si="746"/>
        <v>966790</v>
      </c>
      <c r="N330" s="814">
        <f t="shared" si="746"/>
        <v>0</v>
      </c>
      <c r="O330" s="816">
        <f t="shared" si="746"/>
        <v>170610</v>
      </c>
      <c r="P330" s="816">
        <f t="shared" si="746"/>
        <v>170610</v>
      </c>
      <c r="Q330" s="814">
        <f t="shared" si="746"/>
        <v>170610</v>
      </c>
      <c r="R330" s="814">
        <f t="shared" si="746"/>
        <v>0</v>
      </c>
      <c r="S330" s="816">
        <f t="shared" si="746"/>
        <v>0</v>
      </c>
      <c r="T330" s="814">
        <f t="shared" si="746"/>
        <v>0</v>
      </c>
      <c r="U330" s="814">
        <f t="shared" si="746"/>
        <v>0</v>
      </c>
      <c r="V330" s="816">
        <f t="shared" si="746"/>
        <v>0</v>
      </c>
      <c r="W330" s="814">
        <f t="shared" si="746"/>
        <v>0</v>
      </c>
      <c r="X330" s="814">
        <f t="shared" si="746"/>
        <v>0</v>
      </c>
    </row>
    <row r="331" spans="1:24" s="412" customFormat="1" ht="17.25" hidden="1" customHeight="1">
      <c r="A331" s="863"/>
      <c r="B331" s="830"/>
      <c r="C331" s="822"/>
      <c r="D331" s="862"/>
      <c r="E331" s="819"/>
      <c r="F331" s="827"/>
      <c r="G331" s="830"/>
      <c r="H331" s="411">
        <v>0</v>
      </c>
      <c r="I331" s="411">
        <v>0</v>
      </c>
      <c r="J331" s="818"/>
      <c r="K331" s="816"/>
      <c r="L331" s="816"/>
      <c r="M331" s="814"/>
      <c r="N331" s="814"/>
      <c r="O331" s="816"/>
      <c r="P331" s="816"/>
      <c r="Q331" s="814"/>
      <c r="R331" s="814"/>
      <c r="S331" s="816"/>
      <c r="T331" s="814"/>
      <c r="U331" s="814"/>
      <c r="V331" s="816"/>
      <c r="W331" s="814"/>
      <c r="X331" s="814"/>
    </row>
    <row r="332" spans="1:24" s="412" customFormat="1" ht="15.75" hidden="1" customHeight="1">
      <c r="A332" s="863">
        <v>40</v>
      </c>
      <c r="B332" s="828" t="s">
        <v>778</v>
      </c>
      <c r="C332" s="822" t="s">
        <v>769</v>
      </c>
      <c r="D332" s="860" t="s">
        <v>779</v>
      </c>
      <c r="E332" s="819" t="s">
        <v>624</v>
      </c>
      <c r="F332" s="825" t="s">
        <v>776</v>
      </c>
      <c r="G332" s="828" t="s">
        <v>634</v>
      </c>
      <c r="H332" s="411">
        <f>H333+H334+H335+H336</f>
        <v>7914500</v>
      </c>
      <c r="I332" s="411">
        <f>I333+I334+I335+I336</f>
        <v>2999044</v>
      </c>
      <c r="J332" s="817" t="s">
        <v>5</v>
      </c>
      <c r="K332" s="816">
        <f t="shared" ref="K332" si="747">L332+O332</f>
        <v>1537250</v>
      </c>
      <c r="L332" s="816">
        <f t="shared" ref="L332" si="748">M332+N332</f>
        <v>1306662</v>
      </c>
      <c r="M332" s="814">
        <v>1306662</v>
      </c>
      <c r="N332" s="814">
        <v>0</v>
      </c>
      <c r="O332" s="816">
        <f t="shared" ref="O332" si="749">P332+S332+V332</f>
        <v>230588</v>
      </c>
      <c r="P332" s="816">
        <f t="shared" ref="P332" si="750">Q332+R332</f>
        <v>230588</v>
      </c>
      <c r="Q332" s="814">
        <v>230588</v>
      </c>
      <c r="R332" s="814">
        <v>0</v>
      </c>
      <c r="S332" s="816">
        <f t="shared" ref="S332" si="751">T332+U332</f>
        <v>0</v>
      </c>
      <c r="T332" s="814">
        <v>0</v>
      </c>
      <c r="U332" s="814">
        <v>0</v>
      </c>
      <c r="V332" s="816">
        <f t="shared" ref="V332" si="752">W332+X332</f>
        <v>0</v>
      </c>
      <c r="W332" s="814">
        <v>0</v>
      </c>
      <c r="X332" s="814">
        <v>0</v>
      </c>
    </row>
    <row r="333" spans="1:24" s="412" customFormat="1" ht="15.75" hidden="1" customHeight="1">
      <c r="A333" s="863"/>
      <c r="B333" s="829"/>
      <c r="C333" s="822"/>
      <c r="D333" s="861"/>
      <c r="E333" s="819"/>
      <c r="F333" s="826"/>
      <c r="G333" s="829"/>
      <c r="H333" s="411">
        <v>6727325</v>
      </c>
      <c r="I333" s="411">
        <v>2549187</v>
      </c>
      <c r="J333" s="818"/>
      <c r="K333" s="816"/>
      <c r="L333" s="816"/>
      <c r="M333" s="814"/>
      <c r="N333" s="814"/>
      <c r="O333" s="816"/>
      <c r="P333" s="816"/>
      <c r="Q333" s="814"/>
      <c r="R333" s="814"/>
      <c r="S333" s="816"/>
      <c r="T333" s="814"/>
      <c r="U333" s="814"/>
      <c r="V333" s="816"/>
      <c r="W333" s="814"/>
      <c r="X333" s="814"/>
    </row>
    <row r="334" spans="1:24" s="412" customFormat="1" ht="15.75" hidden="1" customHeight="1">
      <c r="A334" s="863"/>
      <c r="B334" s="829"/>
      <c r="C334" s="822"/>
      <c r="D334" s="861"/>
      <c r="E334" s="819"/>
      <c r="F334" s="826"/>
      <c r="G334" s="829"/>
      <c r="H334" s="411">
        <v>1187175</v>
      </c>
      <c r="I334" s="411">
        <v>449857</v>
      </c>
      <c r="J334" s="411" t="s">
        <v>6</v>
      </c>
      <c r="K334" s="413">
        <f t="shared" ref="K334" si="753">L334+O334</f>
        <v>0</v>
      </c>
      <c r="L334" s="413">
        <f t="shared" ref="L334" si="754">M334+N334</f>
        <v>0</v>
      </c>
      <c r="M334" s="414">
        <v>0</v>
      </c>
      <c r="N334" s="414">
        <v>0</v>
      </c>
      <c r="O334" s="413">
        <f t="shared" ref="O334" si="755">P334+S334+V334</f>
        <v>0</v>
      </c>
      <c r="P334" s="413">
        <f t="shared" ref="P334" si="756">Q334+R334</f>
        <v>0</v>
      </c>
      <c r="Q334" s="414">
        <v>0</v>
      </c>
      <c r="R334" s="414">
        <v>0</v>
      </c>
      <c r="S334" s="413">
        <f t="shared" ref="S334" si="757">T334+U334</f>
        <v>0</v>
      </c>
      <c r="T334" s="414">
        <v>0</v>
      </c>
      <c r="U334" s="414">
        <v>0</v>
      </c>
      <c r="V334" s="413">
        <f t="shared" ref="V334" si="758">W334+X334</f>
        <v>0</v>
      </c>
      <c r="W334" s="414">
        <v>0</v>
      </c>
      <c r="X334" s="414">
        <v>0</v>
      </c>
    </row>
    <row r="335" spans="1:24" s="412" customFormat="1" ht="15.75" hidden="1" customHeight="1">
      <c r="A335" s="863"/>
      <c r="B335" s="829"/>
      <c r="C335" s="822"/>
      <c r="D335" s="861"/>
      <c r="E335" s="819"/>
      <c r="F335" s="826"/>
      <c r="G335" s="829"/>
      <c r="H335" s="411">
        <v>0</v>
      </c>
      <c r="I335" s="411">
        <v>0</v>
      </c>
      <c r="J335" s="817" t="s">
        <v>7</v>
      </c>
      <c r="K335" s="816">
        <f t="shared" ref="K335:X335" si="759">K332+K334</f>
        <v>1537250</v>
      </c>
      <c r="L335" s="816">
        <f t="shared" si="759"/>
        <v>1306662</v>
      </c>
      <c r="M335" s="814">
        <f t="shared" si="759"/>
        <v>1306662</v>
      </c>
      <c r="N335" s="814">
        <f t="shared" si="759"/>
        <v>0</v>
      </c>
      <c r="O335" s="816">
        <f t="shared" si="759"/>
        <v>230588</v>
      </c>
      <c r="P335" s="816">
        <f t="shared" si="759"/>
        <v>230588</v>
      </c>
      <c r="Q335" s="814">
        <f t="shared" si="759"/>
        <v>230588</v>
      </c>
      <c r="R335" s="814">
        <f t="shared" si="759"/>
        <v>0</v>
      </c>
      <c r="S335" s="816">
        <f t="shared" si="759"/>
        <v>0</v>
      </c>
      <c r="T335" s="814">
        <f t="shared" si="759"/>
        <v>0</v>
      </c>
      <c r="U335" s="814">
        <f t="shared" si="759"/>
        <v>0</v>
      </c>
      <c r="V335" s="816">
        <f t="shared" si="759"/>
        <v>0</v>
      </c>
      <c r="W335" s="814">
        <f t="shared" si="759"/>
        <v>0</v>
      </c>
      <c r="X335" s="814">
        <f t="shared" si="759"/>
        <v>0</v>
      </c>
    </row>
    <row r="336" spans="1:24" s="412" customFormat="1" ht="15.75" hidden="1" customHeight="1">
      <c r="A336" s="863"/>
      <c r="B336" s="830"/>
      <c r="C336" s="822"/>
      <c r="D336" s="862"/>
      <c r="E336" s="819"/>
      <c r="F336" s="827"/>
      <c r="G336" s="830"/>
      <c r="H336" s="411">
        <v>0</v>
      </c>
      <c r="I336" s="411">
        <v>0</v>
      </c>
      <c r="J336" s="818"/>
      <c r="K336" s="816"/>
      <c r="L336" s="816"/>
      <c r="M336" s="814"/>
      <c r="N336" s="814"/>
      <c r="O336" s="816"/>
      <c r="P336" s="816"/>
      <c r="Q336" s="814"/>
      <c r="R336" s="814"/>
      <c r="S336" s="816"/>
      <c r="T336" s="814"/>
      <c r="U336" s="814"/>
      <c r="V336" s="816"/>
      <c r="W336" s="814"/>
      <c r="X336" s="814"/>
    </row>
    <row r="337" spans="1:25" s="412" customFormat="1" ht="15" customHeight="1">
      <c r="A337" s="859">
        <v>23</v>
      </c>
      <c r="B337" s="828" t="s">
        <v>780</v>
      </c>
      <c r="C337" s="822" t="s">
        <v>781</v>
      </c>
      <c r="D337" s="860" t="s">
        <v>782</v>
      </c>
      <c r="E337" s="819" t="s">
        <v>624</v>
      </c>
      <c r="F337" s="825" t="s">
        <v>783</v>
      </c>
      <c r="G337" s="828" t="s">
        <v>671</v>
      </c>
      <c r="H337" s="411">
        <f>H338+H339+H340+H341</f>
        <v>26644347</v>
      </c>
      <c r="I337" s="411">
        <f>I338+I339+I340+I341</f>
        <v>7021613</v>
      </c>
      <c r="J337" s="817" t="s">
        <v>5</v>
      </c>
      <c r="K337" s="816">
        <f t="shared" ref="K337" si="760">L337+O337</f>
        <v>19511146</v>
      </c>
      <c r="L337" s="816">
        <f t="shared" ref="L337" si="761">M337+N337</f>
        <v>18362679</v>
      </c>
      <c r="M337" s="814">
        <v>18362679</v>
      </c>
      <c r="N337" s="814">
        <v>0</v>
      </c>
      <c r="O337" s="816">
        <f t="shared" ref="O337" si="762">P337+S337+V337</f>
        <v>1148467</v>
      </c>
      <c r="P337" s="816">
        <f t="shared" ref="P337" si="763">Q337+R337</f>
        <v>1077287</v>
      </c>
      <c r="Q337" s="814">
        <v>1077287</v>
      </c>
      <c r="R337" s="814">
        <v>0</v>
      </c>
      <c r="S337" s="816">
        <f t="shared" ref="S337" si="764">T337+U337</f>
        <v>71180</v>
      </c>
      <c r="T337" s="814">
        <v>71180</v>
      </c>
      <c r="U337" s="814">
        <v>0</v>
      </c>
      <c r="V337" s="816">
        <f t="shared" ref="V337" si="765">W337+X337</f>
        <v>0</v>
      </c>
      <c r="W337" s="814">
        <v>0</v>
      </c>
      <c r="X337" s="814">
        <v>0</v>
      </c>
    </row>
    <row r="338" spans="1:25" s="412" customFormat="1" ht="15" customHeight="1">
      <c r="A338" s="859"/>
      <c r="B338" s="829"/>
      <c r="C338" s="822"/>
      <c r="D338" s="861"/>
      <c r="E338" s="819"/>
      <c r="F338" s="826"/>
      <c r="G338" s="829"/>
      <c r="H338" s="411">
        <v>24793944</v>
      </c>
      <c r="I338" s="411">
        <v>6341211</v>
      </c>
      <c r="J338" s="818"/>
      <c r="K338" s="816"/>
      <c r="L338" s="816"/>
      <c r="M338" s="814"/>
      <c r="N338" s="814"/>
      <c r="O338" s="816"/>
      <c r="P338" s="816"/>
      <c r="Q338" s="814"/>
      <c r="R338" s="814"/>
      <c r="S338" s="816"/>
      <c r="T338" s="814"/>
      <c r="U338" s="814"/>
      <c r="V338" s="816"/>
      <c r="W338" s="814"/>
      <c r="X338" s="814"/>
    </row>
    <row r="339" spans="1:25" s="412" customFormat="1" ht="15" customHeight="1">
      <c r="A339" s="859"/>
      <c r="B339" s="829"/>
      <c r="C339" s="822"/>
      <c r="D339" s="861"/>
      <c r="E339" s="819"/>
      <c r="F339" s="826"/>
      <c r="G339" s="829"/>
      <c r="H339" s="411">
        <v>1458468</v>
      </c>
      <c r="I339" s="411">
        <v>372590</v>
      </c>
      <c r="J339" s="411" t="s">
        <v>6</v>
      </c>
      <c r="K339" s="413">
        <f t="shared" ref="K339" si="766">L339+O339</f>
        <v>-12258056</v>
      </c>
      <c r="L339" s="413">
        <f t="shared" ref="L339" si="767">M339+N339</f>
        <v>-11591988</v>
      </c>
      <c r="M339" s="414">
        <v>-11591988</v>
      </c>
      <c r="N339" s="414">
        <v>0</v>
      </c>
      <c r="O339" s="413">
        <f t="shared" ref="O339" si="768">P339+S339+V339</f>
        <v>-666068</v>
      </c>
      <c r="P339" s="413">
        <f t="shared" ref="P339" si="769">Q339+R339</f>
        <v>-679011</v>
      </c>
      <c r="Q339" s="414">
        <v>-679011</v>
      </c>
      <c r="R339" s="414">
        <v>0</v>
      </c>
      <c r="S339" s="413">
        <f t="shared" ref="S339" si="770">T339+U339</f>
        <v>12943</v>
      </c>
      <c r="T339" s="414">
        <v>12943</v>
      </c>
      <c r="U339" s="414">
        <v>0</v>
      </c>
      <c r="V339" s="413">
        <f t="shared" ref="V339" si="771">W339+X339</f>
        <v>0</v>
      </c>
      <c r="W339" s="414">
        <v>0</v>
      </c>
      <c r="X339" s="414">
        <v>0</v>
      </c>
    </row>
    <row r="340" spans="1:25" s="412" customFormat="1" ht="15" customHeight="1">
      <c r="A340" s="859"/>
      <c r="B340" s="829"/>
      <c r="C340" s="822"/>
      <c r="D340" s="861"/>
      <c r="E340" s="819"/>
      <c r="F340" s="826"/>
      <c r="G340" s="829"/>
      <c r="H340" s="411">
        <v>391935</v>
      </c>
      <c r="I340" s="411">
        <v>307812</v>
      </c>
      <c r="J340" s="817" t="s">
        <v>7</v>
      </c>
      <c r="K340" s="816">
        <f t="shared" ref="K340:X340" si="772">K337+K339</f>
        <v>7253090</v>
      </c>
      <c r="L340" s="816">
        <f t="shared" si="772"/>
        <v>6770691</v>
      </c>
      <c r="M340" s="814">
        <f t="shared" si="772"/>
        <v>6770691</v>
      </c>
      <c r="N340" s="814">
        <f t="shared" si="772"/>
        <v>0</v>
      </c>
      <c r="O340" s="816">
        <f t="shared" si="772"/>
        <v>482399</v>
      </c>
      <c r="P340" s="816">
        <f t="shared" si="772"/>
        <v>398276</v>
      </c>
      <c r="Q340" s="814">
        <f t="shared" si="772"/>
        <v>398276</v>
      </c>
      <c r="R340" s="814">
        <f t="shared" si="772"/>
        <v>0</v>
      </c>
      <c r="S340" s="816">
        <f t="shared" si="772"/>
        <v>84123</v>
      </c>
      <c r="T340" s="814">
        <f t="shared" si="772"/>
        <v>84123</v>
      </c>
      <c r="U340" s="814">
        <f t="shared" si="772"/>
        <v>0</v>
      </c>
      <c r="V340" s="816">
        <f t="shared" si="772"/>
        <v>0</v>
      </c>
      <c r="W340" s="814">
        <f t="shared" si="772"/>
        <v>0</v>
      </c>
      <c r="X340" s="814">
        <f t="shared" si="772"/>
        <v>0</v>
      </c>
    </row>
    <row r="341" spans="1:25" s="412" customFormat="1" ht="15" customHeight="1">
      <c r="A341" s="859"/>
      <c r="B341" s="830"/>
      <c r="C341" s="822"/>
      <c r="D341" s="862"/>
      <c r="E341" s="819"/>
      <c r="F341" s="827"/>
      <c r="G341" s="830"/>
      <c r="H341" s="411">
        <v>0</v>
      </c>
      <c r="I341" s="411">
        <v>0</v>
      </c>
      <c r="J341" s="818"/>
      <c r="K341" s="816"/>
      <c r="L341" s="816"/>
      <c r="M341" s="814"/>
      <c r="N341" s="814"/>
      <c r="O341" s="816"/>
      <c r="P341" s="816"/>
      <c r="Q341" s="814"/>
      <c r="R341" s="814"/>
      <c r="S341" s="816"/>
      <c r="T341" s="814"/>
      <c r="U341" s="814"/>
      <c r="V341" s="816"/>
      <c r="W341" s="814"/>
      <c r="X341" s="814"/>
    </row>
    <row r="342" spans="1:25" s="417" customFormat="1" ht="14.1" customHeight="1">
      <c r="A342" s="815" t="s">
        <v>784</v>
      </c>
      <c r="B342" s="815"/>
      <c r="C342" s="815"/>
      <c r="D342" s="815"/>
      <c r="E342" s="815"/>
      <c r="F342" s="815"/>
      <c r="G342" s="815"/>
      <c r="H342" s="416">
        <f>H17+H22+H27+H32+H37+H47+H52+H57+H62+H67+H72+H77+H82+H87+H92+H97+H102+H107+H127+H132+H137+H142+H147+H152+H157+H162+H167+H177+H192+H197+H202+H207+H212+H217+H222+H227+H232+H237+H242+H247+H252+H267+H272+H277+H292+H297+H302+H307+H312+H322+H327+H332+H337+H172+H282+H257+H182+H112+H117+H42+H262+H317+H187+H122+H287</f>
        <v>1389195641</v>
      </c>
      <c r="I342" s="416">
        <f>I17+I22+I27+I32+I37+I47+I52+I57+I62+I67+I72+I77+I82+I87+I92+I97+I102+I107+I127+I132+I137+I142+I147+I152+I157+I162+I167+I177+I192+I197+I202+I207+I212+I217+I222+I227+I232+I237+I242+I247+I252+I267+I272+I277+I292+I297+I302+I307+I312+I322+I327+I332+I337+I172+I282+I257+I182+I112+I117+I42+I262+I317+I187+I122+I287</f>
        <v>434509677</v>
      </c>
      <c r="J342" s="811" t="s">
        <v>5</v>
      </c>
      <c r="K342" s="810">
        <f>K17+K22+K27+K37+K47+K52+K57+K62+K67+K72+K77+K82+K87+K92+K97+K102+K107+K112+K117+K127+K132+K137+K142+K147+K152+K157+K162+K167+K172+K177+K182+K192+K197+K202+K207+K212+K217+K222+K227+K232+K237+K242+K247+K252+K257+K267+K272+K277+K282+K292+K297+K302+K307+K312+K322+K327+K332+K337+K32+K42+K262+K317+K187+K122+K287</f>
        <v>576795857</v>
      </c>
      <c r="L342" s="810">
        <f t="shared" ref="L342:X342" si="773">L17+L22+L27+L37+L47+L52+L57+L62+L67+L72+L77+L82+L87+L92+L97+L102+L107+L112+L117+L127+L132+L137+L142+L147+L152+L157+L162+L167+L172+L177+L182+L192+L197+L202+L207+L212+L217+L222+L227+L232+L237+L242+L247+L252+L257+L267+L272+L277+L282+L292+L297+L302+L307+L312+L322+L327+L332+L337+L32+L42+L262+L317+L187+L122+L287</f>
        <v>491013225</v>
      </c>
      <c r="M342" s="810">
        <f t="shared" si="773"/>
        <v>134635983</v>
      </c>
      <c r="N342" s="810">
        <f t="shared" si="773"/>
        <v>356377242</v>
      </c>
      <c r="O342" s="810">
        <f t="shared" si="773"/>
        <v>85782632</v>
      </c>
      <c r="P342" s="810">
        <f t="shared" si="773"/>
        <v>21106481</v>
      </c>
      <c r="Q342" s="810">
        <f t="shared" si="773"/>
        <v>10884901</v>
      </c>
      <c r="R342" s="810">
        <f t="shared" si="773"/>
        <v>10221580</v>
      </c>
      <c r="S342" s="810">
        <f t="shared" si="773"/>
        <v>49576642</v>
      </c>
      <c r="T342" s="810">
        <f t="shared" si="773"/>
        <v>3792419</v>
      </c>
      <c r="U342" s="810">
        <f t="shared" si="773"/>
        <v>45784223</v>
      </c>
      <c r="V342" s="810">
        <f t="shared" si="773"/>
        <v>15099509</v>
      </c>
      <c r="W342" s="810">
        <f t="shared" si="773"/>
        <v>1151697</v>
      </c>
      <c r="X342" s="810">
        <f t="shared" si="773"/>
        <v>13947812</v>
      </c>
    </row>
    <row r="343" spans="1:25" s="417" customFormat="1" ht="14.1" customHeight="1">
      <c r="A343" s="815"/>
      <c r="B343" s="815"/>
      <c r="C343" s="815"/>
      <c r="D343" s="815"/>
      <c r="E343" s="815"/>
      <c r="F343" s="815"/>
      <c r="G343" s="815"/>
      <c r="H343" s="416">
        <f t="shared" ref="H343:I346" si="774">H18+H23+H28+H33+H38+H48+H53+H58+H63+H68+H73+H78+H83+H88+H93+H98+H103+H108+H128+H133+H138+H143+H148+H153+H158+H163+H168+H178+H193+H198+H203+H208+H213+H218+H223+H228+H233+H238+H243+H248+H253+H268+H273+H278+H293+H298+H303+H308+H313+H323+H328+H333+H338+H173+H283+H258+H183+H113+H118+H43+H263+H318+H188+H123+H288</f>
        <v>1151166862</v>
      </c>
      <c r="I343" s="416">
        <f t="shared" si="774"/>
        <v>350845662</v>
      </c>
      <c r="J343" s="812"/>
      <c r="K343" s="810"/>
      <c r="L343" s="810"/>
      <c r="M343" s="810"/>
      <c r="N343" s="810"/>
      <c r="O343" s="810"/>
      <c r="P343" s="810"/>
      <c r="Q343" s="810"/>
      <c r="R343" s="810"/>
      <c r="S343" s="810"/>
      <c r="T343" s="810"/>
      <c r="U343" s="810"/>
      <c r="V343" s="810"/>
      <c r="W343" s="810"/>
      <c r="X343" s="810"/>
    </row>
    <row r="344" spans="1:25" s="417" customFormat="1" ht="14.1" customHeight="1">
      <c r="A344" s="815"/>
      <c r="B344" s="815"/>
      <c r="C344" s="815"/>
      <c r="D344" s="815"/>
      <c r="E344" s="815"/>
      <c r="F344" s="815"/>
      <c r="G344" s="815"/>
      <c r="H344" s="416">
        <f t="shared" si="774"/>
        <v>51978986</v>
      </c>
      <c r="I344" s="416">
        <f t="shared" si="774"/>
        <v>15212183</v>
      </c>
      <c r="J344" s="418" t="s">
        <v>6</v>
      </c>
      <c r="K344" s="419">
        <f>K19+K24+K29+K34+K39+K49+K54+K59+K64+K69+K74+K79+K84+K89+K94+K99+K104+K109+K114+K119+K129+K134+K139+K144+K149+K154+K159+K164+K169+K174+K179+K184+K194+K199+K204+K209+K214+K219+K224+K229+K234+K239+K244+K249+K254+K259+K269+K274+K279+K284+K294+K299+K304+K309+K314+K324+K329+K334+K339+K44+K264+K319+K189+K124+K289</f>
        <v>490452</v>
      </c>
      <c r="L344" s="419">
        <f t="shared" ref="L344:X344" si="775">L19+L24+L29+L34+L39+L49+L54+L59+L64+L69+L74+L79+L84+L89+L94+L99+L104+L109+L114+L119+L129+L134+L139+L144+L149+L154+L159+L164+L169+L174+L179+L184+L194+L199+L204+L209+L214+L219+L224+L229+L234+L239+L244+L249+L254+L259+L269+L274+L279+L284+L294+L299+L304+L309+L314+L324+L329+L334+L339+L44+L264+L319+L189+L124+L289</f>
        <v>-4652756</v>
      </c>
      <c r="M344" s="419">
        <f t="shared" si="775"/>
        <v>-8477819</v>
      </c>
      <c r="N344" s="419">
        <f t="shared" si="775"/>
        <v>3825063</v>
      </c>
      <c r="O344" s="419">
        <f t="shared" si="775"/>
        <v>5143208</v>
      </c>
      <c r="P344" s="419">
        <f t="shared" si="775"/>
        <v>826881</v>
      </c>
      <c r="Q344" s="419">
        <f t="shared" si="775"/>
        <v>-77138</v>
      </c>
      <c r="R344" s="419">
        <f t="shared" si="775"/>
        <v>904019</v>
      </c>
      <c r="S344" s="419">
        <f t="shared" si="775"/>
        <v>3026107</v>
      </c>
      <c r="T344" s="419">
        <f t="shared" si="775"/>
        <v>-3588</v>
      </c>
      <c r="U344" s="419">
        <f t="shared" si="775"/>
        <v>3029695</v>
      </c>
      <c r="V344" s="419">
        <f t="shared" si="775"/>
        <v>1290220</v>
      </c>
      <c r="W344" s="419">
        <f t="shared" si="775"/>
        <v>0</v>
      </c>
      <c r="X344" s="419">
        <f t="shared" si="775"/>
        <v>1290220</v>
      </c>
    </row>
    <row r="345" spans="1:25" s="417" customFormat="1" ht="14.1" customHeight="1">
      <c r="A345" s="815"/>
      <c r="B345" s="815"/>
      <c r="C345" s="815"/>
      <c r="D345" s="815"/>
      <c r="E345" s="815"/>
      <c r="F345" s="815"/>
      <c r="G345" s="815"/>
      <c r="H345" s="416">
        <f t="shared" si="774"/>
        <v>163051957</v>
      </c>
      <c r="I345" s="416">
        <f t="shared" si="774"/>
        <v>64275621</v>
      </c>
      <c r="J345" s="811" t="s">
        <v>7</v>
      </c>
      <c r="K345" s="810">
        <f>K342+K344</f>
        <v>577286309</v>
      </c>
      <c r="L345" s="810">
        <f t="shared" ref="L345:X345" si="776">L342+L344</f>
        <v>486360469</v>
      </c>
      <c r="M345" s="810">
        <f t="shared" si="776"/>
        <v>126158164</v>
      </c>
      <c r="N345" s="810">
        <f t="shared" si="776"/>
        <v>360202305</v>
      </c>
      <c r="O345" s="810">
        <f t="shared" si="776"/>
        <v>90925840</v>
      </c>
      <c r="P345" s="810">
        <f t="shared" si="776"/>
        <v>21933362</v>
      </c>
      <c r="Q345" s="810">
        <f t="shared" si="776"/>
        <v>10807763</v>
      </c>
      <c r="R345" s="810">
        <f t="shared" si="776"/>
        <v>11125599</v>
      </c>
      <c r="S345" s="810">
        <f t="shared" si="776"/>
        <v>52602749</v>
      </c>
      <c r="T345" s="810">
        <f t="shared" si="776"/>
        <v>3788831</v>
      </c>
      <c r="U345" s="810">
        <f t="shared" si="776"/>
        <v>48813918</v>
      </c>
      <c r="V345" s="810">
        <f t="shared" si="776"/>
        <v>16389729</v>
      </c>
      <c r="W345" s="810">
        <f t="shared" si="776"/>
        <v>1151697</v>
      </c>
      <c r="X345" s="810">
        <f t="shared" si="776"/>
        <v>15238032</v>
      </c>
    </row>
    <row r="346" spans="1:25" s="417" customFormat="1" ht="14.1" customHeight="1">
      <c r="A346" s="815"/>
      <c r="B346" s="815"/>
      <c r="C346" s="815"/>
      <c r="D346" s="815"/>
      <c r="E346" s="815"/>
      <c r="F346" s="815"/>
      <c r="G346" s="815"/>
      <c r="H346" s="416">
        <f t="shared" si="774"/>
        <v>22997836</v>
      </c>
      <c r="I346" s="416">
        <f t="shared" si="774"/>
        <v>4176211</v>
      </c>
      <c r="J346" s="812"/>
      <c r="K346" s="810"/>
      <c r="L346" s="810"/>
      <c r="M346" s="810"/>
      <c r="N346" s="810"/>
      <c r="O346" s="810"/>
      <c r="P346" s="810"/>
      <c r="Q346" s="810"/>
      <c r="R346" s="810"/>
      <c r="S346" s="810"/>
      <c r="T346" s="810"/>
      <c r="U346" s="810"/>
      <c r="V346" s="810"/>
      <c r="W346" s="810"/>
      <c r="X346" s="810"/>
    </row>
    <row r="347" spans="1:25" ht="3.75" customHeight="1">
      <c r="A347" s="420"/>
      <c r="B347" s="421"/>
      <c r="C347" s="421"/>
      <c r="D347" s="421"/>
      <c r="E347" s="421"/>
      <c r="F347" s="421"/>
      <c r="G347" s="421"/>
      <c r="H347" s="421"/>
      <c r="I347" s="421"/>
      <c r="J347" s="421"/>
      <c r="K347" s="421"/>
      <c r="L347" s="421"/>
      <c r="M347" s="421"/>
      <c r="N347" s="421"/>
      <c r="O347" s="421"/>
      <c r="P347" s="421"/>
      <c r="Q347" s="421"/>
      <c r="R347" s="421"/>
      <c r="S347" s="421"/>
      <c r="T347" s="421"/>
      <c r="U347" s="421"/>
      <c r="V347" s="421"/>
      <c r="W347" s="421"/>
      <c r="X347" s="422"/>
    </row>
    <row r="348" spans="1:25" s="408" customFormat="1" ht="19.5" customHeight="1">
      <c r="A348" s="851" t="s">
        <v>785</v>
      </c>
      <c r="B348" s="852"/>
      <c r="C348" s="852"/>
      <c r="D348" s="852"/>
      <c r="E348" s="852"/>
      <c r="F348" s="852"/>
      <c r="G348" s="852"/>
      <c r="H348" s="852"/>
      <c r="I348" s="852"/>
      <c r="J348" s="852"/>
      <c r="K348" s="852"/>
      <c r="L348" s="852"/>
      <c r="M348" s="852"/>
      <c r="N348" s="852"/>
      <c r="O348" s="852"/>
      <c r="P348" s="852"/>
      <c r="Q348" s="852"/>
      <c r="R348" s="852"/>
      <c r="S348" s="852"/>
      <c r="T348" s="852"/>
      <c r="U348" s="852"/>
      <c r="V348" s="852"/>
      <c r="W348" s="852"/>
      <c r="X348" s="853"/>
      <c r="Y348" s="409"/>
    </row>
    <row r="349" spans="1:25" ht="3.75" customHeight="1">
      <c r="A349" s="858"/>
      <c r="B349" s="858"/>
      <c r="C349" s="858"/>
      <c r="D349" s="858"/>
      <c r="E349" s="858"/>
      <c r="F349" s="858"/>
      <c r="G349" s="858"/>
      <c r="H349" s="858"/>
      <c r="I349" s="858"/>
      <c r="J349" s="858"/>
      <c r="K349" s="858"/>
      <c r="L349" s="858"/>
      <c r="M349" s="858"/>
      <c r="N349" s="858"/>
      <c r="O349" s="858"/>
      <c r="P349" s="858"/>
      <c r="Q349" s="858"/>
      <c r="R349" s="858"/>
      <c r="S349" s="858"/>
      <c r="T349" s="858"/>
      <c r="U349" s="858"/>
      <c r="V349" s="858"/>
      <c r="W349" s="858"/>
      <c r="X349" s="858"/>
    </row>
    <row r="350" spans="1:25" ht="14.25" customHeight="1">
      <c r="A350" s="824">
        <v>1</v>
      </c>
      <c r="B350" s="821" t="s">
        <v>786</v>
      </c>
      <c r="C350" s="820" t="s">
        <v>787</v>
      </c>
      <c r="D350" s="823" t="s">
        <v>788</v>
      </c>
      <c r="E350" s="819" t="s">
        <v>624</v>
      </c>
      <c r="F350" s="819" t="s">
        <v>789</v>
      </c>
      <c r="G350" s="819" t="s">
        <v>631</v>
      </c>
      <c r="H350" s="411">
        <f>H351+H353+H352+H354</f>
        <v>206287922</v>
      </c>
      <c r="I350" s="411">
        <f>I351+I353+I352+I354</f>
        <v>106442024</v>
      </c>
      <c r="J350" s="817" t="s">
        <v>5</v>
      </c>
      <c r="K350" s="816">
        <f t="shared" ref="K350" si="777">L350+O350</f>
        <v>50155000</v>
      </c>
      <c r="L350" s="816">
        <f t="shared" ref="L350" si="778">M350+N350</f>
        <v>42631750</v>
      </c>
      <c r="M350" s="814">
        <v>42478750</v>
      </c>
      <c r="N350" s="814">
        <v>153000</v>
      </c>
      <c r="O350" s="816">
        <f t="shared" ref="O350" si="779">P350+S350+V350</f>
        <v>7523250</v>
      </c>
      <c r="P350" s="816">
        <f t="shared" ref="P350" si="780">Q350+R350</f>
        <v>0</v>
      </c>
      <c r="Q350" s="814">
        <v>0</v>
      </c>
      <c r="R350" s="814">
        <v>0</v>
      </c>
      <c r="S350" s="816">
        <f t="shared" ref="S350" si="781">T350+U350</f>
        <v>7523250</v>
      </c>
      <c r="T350" s="814">
        <v>7496250</v>
      </c>
      <c r="U350" s="814">
        <v>27000</v>
      </c>
      <c r="V350" s="816">
        <f t="shared" ref="V350" si="782">W350+X350</f>
        <v>0</v>
      </c>
      <c r="W350" s="814">
        <v>0</v>
      </c>
      <c r="X350" s="814">
        <v>0</v>
      </c>
    </row>
    <row r="351" spans="1:25" ht="14.25" customHeight="1">
      <c r="A351" s="824"/>
      <c r="B351" s="821"/>
      <c r="C351" s="820"/>
      <c r="D351" s="823"/>
      <c r="E351" s="819"/>
      <c r="F351" s="819"/>
      <c r="G351" s="819"/>
      <c r="H351" s="411">
        <v>175344733</v>
      </c>
      <c r="I351" s="411">
        <v>90475720</v>
      </c>
      <c r="J351" s="818"/>
      <c r="K351" s="816"/>
      <c r="L351" s="816"/>
      <c r="M351" s="814"/>
      <c r="N351" s="814"/>
      <c r="O351" s="816"/>
      <c r="P351" s="816"/>
      <c r="Q351" s="814"/>
      <c r="R351" s="814"/>
      <c r="S351" s="816"/>
      <c r="T351" s="814"/>
      <c r="U351" s="814"/>
      <c r="V351" s="816"/>
      <c r="W351" s="814"/>
      <c r="X351" s="814"/>
    </row>
    <row r="352" spans="1:25" ht="14.25" customHeight="1">
      <c r="A352" s="824"/>
      <c r="B352" s="821"/>
      <c r="C352" s="820"/>
      <c r="D352" s="823"/>
      <c r="E352" s="819"/>
      <c r="F352" s="819"/>
      <c r="G352" s="819"/>
      <c r="H352" s="411">
        <v>0</v>
      </c>
      <c r="I352" s="411">
        <v>0</v>
      </c>
      <c r="J352" s="411" t="s">
        <v>6</v>
      </c>
      <c r="K352" s="413">
        <f t="shared" ref="K352" si="783">L352+O352</f>
        <v>588240</v>
      </c>
      <c r="L352" s="413">
        <f t="shared" ref="L352" si="784">M352+N352</f>
        <v>500004</v>
      </c>
      <c r="M352" s="414">
        <v>500004</v>
      </c>
      <c r="N352" s="414">
        <v>0</v>
      </c>
      <c r="O352" s="413">
        <f t="shared" ref="O352" si="785">P352+S352+V352</f>
        <v>88236</v>
      </c>
      <c r="P352" s="413">
        <f t="shared" ref="P352" si="786">Q352+R352</f>
        <v>0</v>
      </c>
      <c r="Q352" s="414">
        <v>0</v>
      </c>
      <c r="R352" s="414">
        <v>0</v>
      </c>
      <c r="S352" s="413">
        <f t="shared" ref="S352" si="787">T352+U352</f>
        <v>88236</v>
      </c>
      <c r="T352" s="414">
        <v>88236</v>
      </c>
      <c r="U352" s="414">
        <v>0</v>
      </c>
      <c r="V352" s="413">
        <f t="shared" ref="V352" si="788">W352+X352</f>
        <v>0</v>
      </c>
      <c r="W352" s="414">
        <v>0</v>
      </c>
      <c r="X352" s="414">
        <v>0</v>
      </c>
    </row>
    <row r="353" spans="1:24" ht="14.25" customHeight="1">
      <c r="A353" s="824"/>
      <c r="B353" s="821"/>
      <c r="C353" s="820"/>
      <c r="D353" s="823"/>
      <c r="E353" s="819"/>
      <c r="F353" s="819"/>
      <c r="G353" s="819"/>
      <c r="H353" s="411">
        <v>30943189</v>
      </c>
      <c r="I353" s="411">
        <v>15966304</v>
      </c>
      <c r="J353" s="817" t="s">
        <v>7</v>
      </c>
      <c r="K353" s="816">
        <f t="shared" ref="K353:X353" si="789">K350+K352</f>
        <v>50743240</v>
      </c>
      <c r="L353" s="816">
        <f t="shared" si="789"/>
        <v>43131754</v>
      </c>
      <c r="M353" s="814">
        <f t="shared" si="789"/>
        <v>42978754</v>
      </c>
      <c r="N353" s="814">
        <f t="shared" si="789"/>
        <v>153000</v>
      </c>
      <c r="O353" s="816">
        <f t="shared" si="789"/>
        <v>7611486</v>
      </c>
      <c r="P353" s="816">
        <f t="shared" si="789"/>
        <v>0</v>
      </c>
      <c r="Q353" s="814">
        <f t="shared" si="789"/>
        <v>0</v>
      </c>
      <c r="R353" s="814">
        <f t="shared" si="789"/>
        <v>0</v>
      </c>
      <c r="S353" s="816">
        <f t="shared" si="789"/>
        <v>7611486</v>
      </c>
      <c r="T353" s="814">
        <f t="shared" si="789"/>
        <v>7584486</v>
      </c>
      <c r="U353" s="814">
        <f t="shared" si="789"/>
        <v>27000</v>
      </c>
      <c r="V353" s="816">
        <f t="shared" si="789"/>
        <v>0</v>
      </c>
      <c r="W353" s="814">
        <f t="shared" si="789"/>
        <v>0</v>
      </c>
      <c r="X353" s="814">
        <f t="shared" si="789"/>
        <v>0</v>
      </c>
    </row>
    <row r="354" spans="1:24" ht="14.25" customHeight="1">
      <c r="A354" s="824"/>
      <c r="B354" s="821"/>
      <c r="C354" s="820"/>
      <c r="D354" s="823"/>
      <c r="E354" s="819"/>
      <c r="F354" s="819"/>
      <c r="G354" s="819"/>
      <c r="H354" s="411">
        <v>0</v>
      </c>
      <c r="I354" s="411">
        <v>0</v>
      </c>
      <c r="J354" s="818"/>
      <c r="K354" s="816"/>
      <c r="L354" s="816"/>
      <c r="M354" s="814"/>
      <c r="N354" s="814"/>
      <c r="O354" s="816"/>
      <c r="P354" s="816"/>
      <c r="Q354" s="814"/>
      <c r="R354" s="814"/>
      <c r="S354" s="816"/>
      <c r="T354" s="814"/>
      <c r="U354" s="814"/>
      <c r="V354" s="816"/>
      <c r="W354" s="814"/>
      <c r="X354" s="814"/>
    </row>
    <row r="355" spans="1:24" ht="14.25" customHeight="1">
      <c r="A355" s="824">
        <v>2</v>
      </c>
      <c r="B355" s="821" t="s">
        <v>786</v>
      </c>
      <c r="C355" s="820" t="s">
        <v>787</v>
      </c>
      <c r="D355" s="823" t="s">
        <v>788</v>
      </c>
      <c r="E355" s="825" t="s">
        <v>732</v>
      </c>
      <c r="F355" s="825" t="s">
        <v>733</v>
      </c>
      <c r="G355" s="819" t="s">
        <v>631</v>
      </c>
      <c r="H355" s="411">
        <f>H356+H358+H357+H359</f>
        <v>9775889</v>
      </c>
      <c r="I355" s="411">
        <f>I356+I358+I357+I359</f>
        <v>5401389</v>
      </c>
      <c r="J355" s="817" t="s">
        <v>5</v>
      </c>
      <c r="K355" s="816">
        <f t="shared" ref="K355" si="790">L355+O355</f>
        <v>2130578</v>
      </c>
      <c r="L355" s="816">
        <f t="shared" ref="L355" si="791">M355+N355</f>
        <v>1810991</v>
      </c>
      <c r="M355" s="814">
        <v>1810991</v>
      </c>
      <c r="N355" s="814">
        <v>0</v>
      </c>
      <c r="O355" s="816">
        <f t="shared" ref="O355" si="792">P355+S355+V355</f>
        <v>319587</v>
      </c>
      <c r="P355" s="816">
        <f t="shared" ref="P355" si="793">Q355+R355</f>
        <v>0</v>
      </c>
      <c r="Q355" s="814">
        <v>0</v>
      </c>
      <c r="R355" s="814">
        <v>0</v>
      </c>
      <c r="S355" s="816">
        <f t="shared" ref="S355" si="794">T355+U355</f>
        <v>319587</v>
      </c>
      <c r="T355" s="814">
        <v>319587</v>
      </c>
      <c r="U355" s="814">
        <v>0</v>
      </c>
      <c r="V355" s="816">
        <f t="shared" ref="V355" si="795">W355+X355</f>
        <v>0</v>
      </c>
      <c r="W355" s="814">
        <v>0</v>
      </c>
      <c r="X355" s="814">
        <v>0</v>
      </c>
    </row>
    <row r="356" spans="1:24" ht="14.25" customHeight="1">
      <c r="A356" s="824"/>
      <c r="B356" s="821"/>
      <c r="C356" s="820"/>
      <c r="D356" s="823"/>
      <c r="E356" s="826"/>
      <c r="F356" s="826"/>
      <c r="G356" s="819"/>
      <c r="H356" s="411">
        <v>8309505</v>
      </c>
      <c r="I356" s="411">
        <v>4591181</v>
      </c>
      <c r="J356" s="818"/>
      <c r="K356" s="816"/>
      <c r="L356" s="816"/>
      <c r="M356" s="814"/>
      <c r="N356" s="814"/>
      <c r="O356" s="816"/>
      <c r="P356" s="816"/>
      <c r="Q356" s="814"/>
      <c r="R356" s="814"/>
      <c r="S356" s="816"/>
      <c r="T356" s="814"/>
      <c r="U356" s="814"/>
      <c r="V356" s="816"/>
      <c r="W356" s="814"/>
      <c r="X356" s="814"/>
    </row>
    <row r="357" spans="1:24" ht="14.25" customHeight="1">
      <c r="A357" s="824"/>
      <c r="B357" s="821"/>
      <c r="C357" s="820"/>
      <c r="D357" s="823"/>
      <c r="E357" s="826"/>
      <c r="F357" s="826"/>
      <c r="G357" s="819"/>
      <c r="H357" s="411">
        <v>0</v>
      </c>
      <c r="I357" s="411">
        <v>0</v>
      </c>
      <c r="J357" s="411" t="s">
        <v>6</v>
      </c>
      <c r="K357" s="413">
        <f t="shared" ref="K357" si="796">L357+O357</f>
        <v>28344</v>
      </c>
      <c r="L357" s="413">
        <f t="shared" ref="L357" si="797">M357+N357</f>
        <v>24092</v>
      </c>
      <c r="M357" s="414">
        <v>24092</v>
      </c>
      <c r="N357" s="414">
        <v>0</v>
      </c>
      <c r="O357" s="413">
        <f t="shared" ref="O357" si="798">P357+S357+V357</f>
        <v>4252</v>
      </c>
      <c r="P357" s="413">
        <f t="shared" ref="P357" si="799">Q357+R357</f>
        <v>0</v>
      </c>
      <c r="Q357" s="414">
        <v>0</v>
      </c>
      <c r="R357" s="414">
        <v>0</v>
      </c>
      <c r="S357" s="413">
        <f t="shared" ref="S357" si="800">T357+U357</f>
        <v>4252</v>
      </c>
      <c r="T357" s="414">
        <v>4252</v>
      </c>
      <c r="U357" s="414">
        <v>0</v>
      </c>
      <c r="V357" s="413">
        <f t="shared" ref="V357" si="801">W357+X357</f>
        <v>0</v>
      </c>
      <c r="W357" s="414">
        <v>0</v>
      </c>
      <c r="X357" s="414">
        <v>0</v>
      </c>
    </row>
    <row r="358" spans="1:24" ht="14.25" customHeight="1">
      <c r="A358" s="824"/>
      <c r="B358" s="821"/>
      <c r="C358" s="820"/>
      <c r="D358" s="823"/>
      <c r="E358" s="826"/>
      <c r="F358" s="826"/>
      <c r="G358" s="819"/>
      <c r="H358" s="411">
        <v>1466384</v>
      </c>
      <c r="I358" s="411">
        <v>810208</v>
      </c>
      <c r="J358" s="817" t="s">
        <v>7</v>
      </c>
      <c r="K358" s="816">
        <f t="shared" ref="K358:X358" si="802">K355+K357</f>
        <v>2158922</v>
      </c>
      <c r="L358" s="816">
        <f t="shared" si="802"/>
        <v>1835083</v>
      </c>
      <c r="M358" s="814">
        <f t="shared" si="802"/>
        <v>1835083</v>
      </c>
      <c r="N358" s="814">
        <f t="shared" si="802"/>
        <v>0</v>
      </c>
      <c r="O358" s="816">
        <f t="shared" si="802"/>
        <v>323839</v>
      </c>
      <c r="P358" s="816">
        <f t="shared" si="802"/>
        <v>0</v>
      </c>
      <c r="Q358" s="814">
        <f t="shared" si="802"/>
        <v>0</v>
      </c>
      <c r="R358" s="814">
        <f t="shared" si="802"/>
        <v>0</v>
      </c>
      <c r="S358" s="816">
        <f t="shared" si="802"/>
        <v>323839</v>
      </c>
      <c r="T358" s="814">
        <f t="shared" si="802"/>
        <v>323839</v>
      </c>
      <c r="U358" s="814">
        <f t="shared" si="802"/>
        <v>0</v>
      </c>
      <c r="V358" s="816">
        <f t="shared" si="802"/>
        <v>0</v>
      </c>
      <c r="W358" s="814">
        <f t="shared" si="802"/>
        <v>0</v>
      </c>
      <c r="X358" s="814">
        <f t="shared" si="802"/>
        <v>0</v>
      </c>
    </row>
    <row r="359" spans="1:24" ht="14.25" customHeight="1">
      <c r="A359" s="824"/>
      <c r="B359" s="821"/>
      <c r="C359" s="820"/>
      <c r="D359" s="823"/>
      <c r="E359" s="827"/>
      <c r="F359" s="827"/>
      <c r="G359" s="819"/>
      <c r="H359" s="411">
        <v>0</v>
      </c>
      <c r="I359" s="411">
        <v>0</v>
      </c>
      <c r="J359" s="818"/>
      <c r="K359" s="816"/>
      <c r="L359" s="816"/>
      <c r="M359" s="814"/>
      <c r="N359" s="814"/>
      <c r="O359" s="816"/>
      <c r="P359" s="816"/>
      <c r="Q359" s="814"/>
      <c r="R359" s="814"/>
      <c r="S359" s="816"/>
      <c r="T359" s="814"/>
      <c r="U359" s="814"/>
      <c r="V359" s="816"/>
      <c r="W359" s="814"/>
      <c r="X359" s="814"/>
    </row>
    <row r="360" spans="1:24" ht="15.6" hidden="1" customHeight="1">
      <c r="A360" s="820">
        <v>3</v>
      </c>
      <c r="B360" s="821" t="s">
        <v>786</v>
      </c>
      <c r="C360" s="820">
        <v>121</v>
      </c>
      <c r="D360" s="823" t="s">
        <v>790</v>
      </c>
      <c r="E360" s="819" t="s">
        <v>624</v>
      </c>
      <c r="F360" s="819" t="s">
        <v>791</v>
      </c>
      <c r="G360" s="819" t="s">
        <v>734</v>
      </c>
      <c r="H360" s="411">
        <f>H361+H363+H362+H364</f>
        <v>8392047</v>
      </c>
      <c r="I360" s="411">
        <f>I361+I363+I362+I364</f>
        <v>0</v>
      </c>
      <c r="J360" s="817" t="s">
        <v>5</v>
      </c>
      <c r="K360" s="816">
        <f t="shared" ref="K360" si="803">L360+O360</f>
        <v>3237337</v>
      </c>
      <c r="L360" s="816">
        <f t="shared" ref="L360" si="804">M360+N360</f>
        <v>2751736</v>
      </c>
      <c r="M360" s="814">
        <v>0</v>
      </c>
      <c r="N360" s="814">
        <v>2751736</v>
      </c>
      <c r="O360" s="816">
        <f t="shared" ref="O360" si="805">P360+S360+V360</f>
        <v>485601</v>
      </c>
      <c r="P360" s="816">
        <f t="shared" ref="P360" si="806">Q360+R360</f>
        <v>0</v>
      </c>
      <c r="Q360" s="814">
        <v>0</v>
      </c>
      <c r="R360" s="814">
        <v>0</v>
      </c>
      <c r="S360" s="816">
        <f t="shared" ref="S360" si="807">T360+U360</f>
        <v>485601</v>
      </c>
      <c r="T360" s="814">
        <v>0</v>
      </c>
      <c r="U360" s="814">
        <v>485601</v>
      </c>
      <c r="V360" s="816">
        <f t="shared" ref="V360" si="808">W360+X360</f>
        <v>0</v>
      </c>
      <c r="W360" s="814">
        <v>0</v>
      </c>
      <c r="X360" s="814">
        <v>0</v>
      </c>
    </row>
    <row r="361" spans="1:24" ht="15.6" hidden="1" customHeight="1">
      <c r="A361" s="820"/>
      <c r="B361" s="821"/>
      <c r="C361" s="820"/>
      <c r="D361" s="823"/>
      <c r="E361" s="819"/>
      <c r="F361" s="819"/>
      <c r="G361" s="819"/>
      <c r="H361" s="411">
        <v>7133239</v>
      </c>
      <c r="I361" s="411">
        <v>0</v>
      </c>
      <c r="J361" s="818"/>
      <c r="K361" s="816"/>
      <c r="L361" s="816"/>
      <c r="M361" s="814"/>
      <c r="N361" s="814"/>
      <c r="O361" s="816"/>
      <c r="P361" s="816"/>
      <c r="Q361" s="814"/>
      <c r="R361" s="814"/>
      <c r="S361" s="816"/>
      <c r="T361" s="814"/>
      <c r="U361" s="814"/>
      <c r="V361" s="816"/>
      <c r="W361" s="814"/>
      <c r="X361" s="814"/>
    </row>
    <row r="362" spans="1:24" ht="15.6" hidden="1" customHeight="1">
      <c r="A362" s="820"/>
      <c r="B362" s="821"/>
      <c r="C362" s="820"/>
      <c r="D362" s="823"/>
      <c r="E362" s="819"/>
      <c r="F362" s="819"/>
      <c r="G362" s="819"/>
      <c r="H362" s="411">
        <v>0</v>
      </c>
      <c r="I362" s="411">
        <v>0</v>
      </c>
      <c r="J362" s="411" t="s">
        <v>6</v>
      </c>
      <c r="K362" s="413">
        <f t="shared" ref="K362" si="809">L362+O362</f>
        <v>0</v>
      </c>
      <c r="L362" s="413">
        <f t="shared" ref="L362" si="810">M362+N362</f>
        <v>0</v>
      </c>
      <c r="M362" s="414">
        <v>0</v>
      </c>
      <c r="N362" s="414">
        <v>0</v>
      </c>
      <c r="O362" s="413">
        <f t="shared" ref="O362" si="811">P362+S362+V362</f>
        <v>0</v>
      </c>
      <c r="P362" s="413">
        <f t="shared" ref="P362" si="812">Q362+R362</f>
        <v>0</v>
      </c>
      <c r="Q362" s="414">
        <v>0</v>
      </c>
      <c r="R362" s="414">
        <v>0</v>
      </c>
      <c r="S362" s="413">
        <f t="shared" ref="S362" si="813">T362+U362</f>
        <v>0</v>
      </c>
      <c r="T362" s="414">
        <v>0</v>
      </c>
      <c r="U362" s="414">
        <v>0</v>
      </c>
      <c r="V362" s="413">
        <f t="shared" ref="V362" si="814">W362+X362</f>
        <v>0</v>
      </c>
      <c r="W362" s="414">
        <v>0</v>
      </c>
      <c r="X362" s="414">
        <v>0</v>
      </c>
    </row>
    <row r="363" spans="1:24" ht="15.6" hidden="1" customHeight="1">
      <c r="A363" s="820"/>
      <c r="B363" s="821"/>
      <c r="C363" s="820"/>
      <c r="D363" s="823"/>
      <c r="E363" s="819"/>
      <c r="F363" s="819"/>
      <c r="G363" s="819"/>
      <c r="H363" s="411">
        <v>1258808</v>
      </c>
      <c r="I363" s="411">
        <v>0</v>
      </c>
      <c r="J363" s="817" t="s">
        <v>7</v>
      </c>
      <c r="K363" s="816">
        <f t="shared" ref="K363:X363" si="815">K360+K362</f>
        <v>3237337</v>
      </c>
      <c r="L363" s="816">
        <f t="shared" si="815"/>
        <v>2751736</v>
      </c>
      <c r="M363" s="814">
        <f t="shared" si="815"/>
        <v>0</v>
      </c>
      <c r="N363" s="814">
        <f t="shared" si="815"/>
        <v>2751736</v>
      </c>
      <c r="O363" s="816">
        <f t="shared" si="815"/>
        <v>485601</v>
      </c>
      <c r="P363" s="816">
        <f t="shared" si="815"/>
        <v>0</v>
      </c>
      <c r="Q363" s="814">
        <f t="shared" si="815"/>
        <v>0</v>
      </c>
      <c r="R363" s="814">
        <f t="shared" si="815"/>
        <v>0</v>
      </c>
      <c r="S363" s="816">
        <f t="shared" si="815"/>
        <v>485601</v>
      </c>
      <c r="T363" s="814">
        <f t="shared" si="815"/>
        <v>0</v>
      </c>
      <c r="U363" s="814">
        <f t="shared" si="815"/>
        <v>485601</v>
      </c>
      <c r="V363" s="816">
        <f t="shared" si="815"/>
        <v>0</v>
      </c>
      <c r="W363" s="814">
        <f t="shared" si="815"/>
        <v>0</v>
      </c>
      <c r="X363" s="814">
        <f t="shared" si="815"/>
        <v>0</v>
      </c>
    </row>
    <row r="364" spans="1:24" ht="15.6" hidden="1" customHeight="1">
      <c r="A364" s="820"/>
      <c r="B364" s="821"/>
      <c r="C364" s="820"/>
      <c r="D364" s="823"/>
      <c r="E364" s="819"/>
      <c r="F364" s="819"/>
      <c r="G364" s="819"/>
      <c r="H364" s="411">
        <v>0</v>
      </c>
      <c r="I364" s="411">
        <v>0</v>
      </c>
      <c r="J364" s="818"/>
      <c r="K364" s="816"/>
      <c r="L364" s="816"/>
      <c r="M364" s="814"/>
      <c r="N364" s="814"/>
      <c r="O364" s="816"/>
      <c r="P364" s="816"/>
      <c r="Q364" s="814"/>
      <c r="R364" s="814"/>
      <c r="S364" s="816"/>
      <c r="T364" s="814"/>
      <c r="U364" s="814"/>
      <c r="V364" s="816"/>
      <c r="W364" s="814"/>
      <c r="X364" s="814"/>
    </row>
    <row r="365" spans="1:24" ht="15.6" hidden="1" customHeight="1">
      <c r="A365" s="820">
        <v>4</v>
      </c>
      <c r="B365" s="821" t="s">
        <v>786</v>
      </c>
      <c r="C365" s="820" t="s">
        <v>787</v>
      </c>
      <c r="D365" s="823" t="s">
        <v>792</v>
      </c>
      <c r="E365" s="819" t="s">
        <v>624</v>
      </c>
      <c r="F365" s="819" t="s">
        <v>793</v>
      </c>
      <c r="G365" s="819" t="s">
        <v>750</v>
      </c>
      <c r="H365" s="411">
        <f>H366+H368+H367+H369</f>
        <v>0</v>
      </c>
      <c r="I365" s="411">
        <f>I366+I368+I367+I369</f>
        <v>0</v>
      </c>
      <c r="J365" s="817" t="s">
        <v>5</v>
      </c>
      <c r="K365" s="816">
        <f t="shared" ref="K365" si="816">L365+O365</f>
        <v>0</v>
      </c>
      <c r="L365" s="816">
        <f t="shared" ref="L365" si="817">M365+N365</f>
        <v>0</v>
      </c>
      <c r="M365" s="814">
        <v>0</v>
      </c>
      <c r="N365" s="814">
        <v>0</v>
      </c>
      <c r="O365" s="816">
        <f t="shared" ref="O365" si="818">P365+S365+V365</f>
        <v>0</v>
      </c>
      <c r="P365" s="816">
        <f t="shared" ref="P365" si="819">Q365+R365</f>
        <v>0</v>
      </c>
      <c r="Q365" s="814">
        <v>0</v>
      </c>
      <c r="R365" s="814">
        <v>0</v>
      </c>
      <c r="S365" s="816">
        <f t="shared" ref="S365" si="820">T365+U365</f>
        <v>0</v>
      </c>
      <c r="T365" s="814">
        <v>0</v>
      </c>
      <c r="U365" s="814">
        <v>0</v>
      </c>
      <c r="V365" s="816">
        <f t="shared" ref="V365" si="821">W365+X365</f>
        <v>0</v>
      </c>
      <c r="W365" s="814">
        <v>0</v>
      </c>
      <c r="X365" s="814">
        <v>0</v>
      </c>
    </row>
    <row r="366" spans="1:24" ht="15.6" hidden="1" customHeight="1">
      <c r="A366" s="820"/>
      <c r="B366" s="821"/>
      <c r="C366" s="820"/>
      <c r="D366" s="823"/>
      <c r="E366" s="819"/>
      <c r="F366" s="819"/>
      <c r="G366" s="819"/>
      <c r="H366" s="411">
        <v>0</v>
      </c>
      <c r="I366" s="411">
        <v>0</v>
      </c>
      <c r="J366" s="818"/>
      <c r="K366" s="816"/>
      <c r="L366" s="816"/>
      <c r="M366" s="814"/>
      <c r="N366" s="814"/>
      <c r="O366" s="816"/>
      <c r="P366" s="816"/>
      <c r="Q366" s="814"/>
      <c r="R366" s="814"/>
      <c r="S366" s="816"/>
      <c r="T366" s="814"/>
      <c r="U366" s="814"/>
      <c r="V366" s="816"/>
      <c r="W366" s="814"/>
      <c r="X366" s="814"/>
    </row>
    <row r="367" spans="1:24" ht="15.6" hidden="1" customHeight="1">
      <c r="A367" s="820"/>
      <c r="B367" s="821"/>
      <c r="C367" s="820"/>
      <c r="D367" s="823"/>
      <c r="E367" s="819"/>
      <c r="F367" s="819"/>
      <c r="G367" s="819"/>
      <c r="H367" s="411">
        <v>0</v>
      </c>
      <c r="I367" s="411">
        <v>0</v>
      </c>
      <c r="J367" s="411" t="s">
        <v>6</v>
      </c>
      <c r="K367" s="413">
        <f t="shared" ref="K367" si="822">L367+O367</f>
        <v>0</v>
      </c>
      <c r="L367" s="413">
        <f t="shared" ref="L367" si="823">M367+N367</f>
        <v>0</v>
      </c>
      <c r="M367" s="414">
        <v>0</v>
      </c>
      <c r="N367" s="414">
        <v>0</v>
      </c>
      <c r="O367" s="413">
        <f t="shared" ref="O367" si="824">P367+S367+V367</f>
        <v>0</v>
      </c>
      <c r="P367" s="413">
        <f t="shared" ref="P367" si="825">Q367+R367</f>
        <v>0</v>
      </c>
      <c r="Q367" s="414">
        <v>0</v>
      </c>
      <c r="R367" s="414">
        <v>0</v>
      </c>
      <c r="S367" s="413">
        <f t="shared" ref="S367" si="826">T367+U367</f>
        <v>0</v>
      </c>
      <c r="T367" s="414">
        <v>0</v>
      </c>
      <c r="U367" s="414">
        <v>0</v>
      </c>
      <c r="V367" s="413">
        <f t="shared" ref="V367" si="827">W367+X367</f>
        <v>0</v>
      </c>
      <c r="W367" s="414">
        <v>0</v>
      </c>
      <c r="X367" s="414">
        <v>0</v>
      </c>
    </row>
    <row r="368" spans="1:24" ht="15.6" hidden="1" customHeight="1">
      <c r="A368" s="820"/>
      <c r="B368" s="821"/>
      <c r="C368" s="820"/>
      <c r="D368" s="823"/>
      <c r="E368" s="819"/>
      <c r="F368" s="819"/>
      <c r="G368" s="819"/>
      <c r="H368" s="411">
        <v>0</v>
      </c>
      <c r="I368" s="411">
        <v>0</v>
      </c>
      <c r="J368" s="817" t="s">
        <v>7</v>
      </c>
      <c r="K368" s="816">
        <f t="shared" ref="K368:X368" si="828">K365+K367</f>
        <v>0</v>
      </c>
      <c r="L368" s="816">
        <f t="shared" si="828"/>
        <v>0</v>
      </c>
      <c r="M368" s="814">
        <f t="shared" si="828"/>
        <v>0</v>
      </c>
      <c r="N368" s="814">
        <f t="shared" si="828"/>
        <v>0</v>
      </c>
      <c r="O368" s="816">
        <f t="shared" si="828"/>
        <v>0</v>
      </c>
      <c r="P368" s="816">
        <f t="shared" si="828"/>
        <v>0</v>
      </c>
      <c r="Q368" s="814">
        <f t="shared" si="828"/>
        <v>0</v>
      </c>
      <c r="R368" s="814">
        <f t="shared" si="828"/>
        <v>0</v>
      </c>
      <c r="S368" s="816">
        <f t="shared" si="828"/>
        <v>0</v>
      </c>
      <c r="T368" s="814">
        <f t="shared" si="828"/>
        <v>0</v>
      </c>
      <c r="U368" s="814">
        <f t="shared" si="828"/>
        <v>0</v>
      </c>
      <c r="V368" s="816">
        <f t="shared" si="828"/>
        <v>0</v>
      </c>
      <c r="W368" s="814">
        <f t="shared" si="828"/>
        <v>0</v>
      </c>
      <c r="X368" s="814">
        <f t="shared" si="828"/>
        <v>0</v>
      </c>
    </row>
    <row r="369" spans="1:24" ht="15.6" hidden="1" customHeight="1">
      <c r="A369" s="820"/>
      <c r="B369" s="821"/>
      <c r="C369" s="820"/>
      <c r="D369" s="823"/>
      <c r="E369" s="819"/>
      <c r="F369" s="819"/>
      <c r="G369" s="819"/>
      <c r="H369" s="411">
        <v>0</v>
      </c>
      <c r="I369" s="411">
        <v>0</v>
      </c>
      <c r="J369" s="818"/>
      <c r="K369" s="816"/>
      <c r="L369" s="816"/>
      <c r="M369" s="814"/>
      <c r="N369" s="814"/>
      <c r="O369" s="816"/>
      <c r="P369" s="816"/>
      <c r="Q369" s="814"/>
      <c r="R369" s="814"/>
      <c r="S369" s="816"/>
      <c r="T369" s="814"/>
      <c r="U369" s="814"/>
      <c r="V369" s="816"/>
      <c r="W369" s="814"/>
      <c r="X369" s="814"/>
    </row>
    <row r="370" spans="1:24" ht="14.25" customHeight="1">
      <c r="A370" s="824">
        <v>3</v>
      </c>
      <c r="B370" s="821" t="s">
        <v>786</v>
      </c>
      <c r="C370" s="820" t="s">
        <v>787</v>
      </c>
      <c r="D370" s="823" t="s">
        <v>794</v>
      </c>
      <c r="E370" s="819" t="s">
        <v>624</v>
      </c>
      <c r="F370" s="819" t="s">
        <v>789</v>
      </c>
      <c r="G370" s="819">
        <v>2021</v>
      </c>
      <c r="H370" s="411">
        <f>H371+H373+H372+H374</f>
        <v>0</v>
      </c>
      <c r="I370" s="411">
        <f>I371+I373+I372+I374</f>
        <v>0</v>
      </c>
      <c r="J370" s="817" t="s">
        <v>5</v>
      </c>
      <c r="K370" s="816">
        <f t="shared" ref="K370" si="829">L370+O370</f>
        <v>8342165</v>
      </c>
      <c r="L370" s="816">
        <f t="shared" ref="L370" si="830">M370+N370</f>
        <v>7090840</v>
      </c>
      <c r="M370" s="814">
        <v>7090840</v>
      </c>
      <c r="N370" s="814">
        <v>0</v>
      </c>
      <c r="O370" s="816">
        <f t="shared" ref="O370" si="831">P370+S370+V370</f>
        <v>1251325</v>
      </c>
      <c r="P370" s="816">
        <f t="shared" ref="P370" si="832">Q370+R370</f>
        <v>0</v>
      </c>
      <c r="Q370" s="814">
        <v>0</v>
      </c>
      <c r="R370" s="814">
        <v>0</v>
      </c>
      <c r="S370" s="816">
        <f t="shared" ref="S370" si="833">T370+U370</f>
        <v>1251325</v>
      </c>
      <c r="T370" s="814">
        <v>1251325</v>
      </c>
      <c r="U370" s="814">
        <v>0</v>
      </c>
      <c r="V370" s="816">
        <f t="shared" ref="V370" si="834">W370+X370</f>
        <v>0</v>
      </c>
      <c r="W370" s="814">
        <v>0</v>
      </c>
      <c r="X370" s="814">
        <v>0</v>
      </c>
    </row>
    <row r="371" spans="1:24" ht="14.25" customHeight="1">
      <c r="A371" s="824"/>
      <c r="B371" s="821"/>
      <c r="C371" s="820"/>
      <c r="D371" s="823"/>
      <c r="E371" s="819"/>
      <c r="F371" s="819"/>
      <c r="G371" s="819"/>
      <c r="H371" s="411">
        <v>0</v>
      </c>
      <c r="I371" s="411">
        <v>0</v>
      </c>
      <c r="J371" s="818"/>
      <c r="K371" s="816"/>
      <c r="L371" s="816"/>
      <c r="M371" s="814"/>
      <c r="N371" s="814"/>
      <c r="O371" s="816"/>
      <c r="P371" s="816"/>
      <c r="Q371" s="814"/>
      <c r="R371" s="814"/>
      <c r="S371" s="816"/>
      <c r="T371" s="814"/>
      <c r="U371" s="814"/>
      <c r="V371" s="816"/>
      <c r="W371" s="814"/>
      <c r="X371" s="814"/>
    </row>
    <row r="372" spans="1:24" ht="14.25" customHeight="1">
      <c r="A372" s="824"/>
      <c r="B372" s="821"/>
      <c r="C372" s="820"/>
      <c r="D372" s="823"/>
      <c r="E372" s="819"/>
      <c r="F372" s="819"/>
      <c r="G372" s="819"/>
      <c r="H372" s="411">
        <v>0</v>
      </c>
      <c r="I372" s="411">
        <v>0</v>
      </c>
      <c r="J372" s="411" t="s">
        <v>6</v>
      </c>
      <c r="K372" s="413">
        <f t="shared" ref="K372" si="835">L372+O372</f>
        <v>-8342165</v>
      </c>
      <c r="L372" s="413">
        <f t="shared" ref="L372" si="836">M372+N372</f>
        <v>-7090840</v>
      </c>
      <c r="M372" s="414">
        <v>-7090840</v>
      </c>
      <c r="N372" s="414">
        <v>0</v>
      </c>
      <c r="O372" s="413">
        <f t="shared" ref="O372" si="837">P372+S372+V372</f>
        <v>-1251325</v>
      </c>
      <c r="P372" s="413">
        <f t="shared" ref="P372" si="838">Q372+R372</f>
        <v>0</v>
      </c>
      <c r="Q372" s="414">
        <v>0</v>
      </c>
      <c r="R372" s="414">
        <v>0</v>
      </c>
      <c r="S372" s="413">
        <f t="shared" ref="S372" si="839">T372+U372</f>
        <v>-1251325</v>
      </c>
      <c r="T372" s="414">
        <v>-1251325</v>
      </c>
      <c r="U372" s="414">
        <v>0</v>
      </c>
      <c r="V372" s="413">
        <f t="shared" ref="V372" si="840">W372+X372</f>
        <v>0</v>
      </c>
      <c r="W372" s="414">
        <v>0</v>
      </c>
      <c r="X372" s="414">
        <v>0</v>
      </c>
    </row>
    <row r="373" spans="1:24" ht="14.25" customHeight="1">
      <c r="A373" s="824"/>
      <c r="B373" s="821"/>
      <c r="C373" s="820"/>
      <c r="D373" s="823"/>
      <c r="E373" s="819"/>
      <c r="F373" s="819"/>
      <c r="G373" s="819"/>
      <c r="H373" s="411">
        <v>0</v>
      </c>
      <c r="I373" s="411">
        <v>0</v>
      </c>
      <c r="J373" s="817" t="s">
        <v>7</v>
      </c>
      <c r="K373" s="816">
        <f t="shared" ref="K373:X373" si="841">K370+K372</f>
        <v>0</v>
      </c>
      <c r="L373" s="816">
        <f t="shared" si="841"/>
        <v>0</v>
      </c>
      <c r="M373" s="814">
        <f t="shared" si="841"/>
        <v>0</v>
      </c>
      <c r="N373" s="814">
        <f t="shared" si="841"/>
        <v>0</v>
      </c>
      <c r="O373" s="816">
        <f t="shared" si="841"/>
        <v>0</v>
      </c>
      <c r="P373" s="816">
        <f t="shared" si="841"/>
        <v>0</v>
      </c>
      <c r="Q373" s="814">
        <f t="shared" si="841"/>
        <v>0</v>
      </c>
      <c r="R373" s="814">
        <f t="shared" si="841"/>
        <v>0</v>
      </c>
      <c r="S373" s="816">
        <f t="shared" si="841"/>
        <v>0</v>
      </c>
      <c r="T373" s="814">
        <f t="shared" si="841"/>
        <v>0</v>
      </c>
      <c r="U373" s="814">
        <f t="shared" si="841"/>
        <v>0</v>
      </c>
      <c r="V373" s="816">
        <f t="shared" si="841"/>
        <v>0</v>
      </c>
      <c r="W373" s="814">
        <f t="shared" si="841"/>
        <v>0</v>
      </c>
      <c r="X373" s="814">
        <f t="shared" si="841"/>
        <v>0</v>
      </c>
    </row>
    <row r="374" spans="1:24" ht="14.25" customHeight="1">
      <c r="A374" s="824"/>
      <c r="B374" s="821"/>
      <c r="C374" s="820"/>
      <c r="D374" s="823"/>
      <c r="E374" s="819"/>
      <c r="F374" s="819"/>
      <c r="G374" s="819"/>
      <c r="H374" s="411">
        <v>0</v>
      </c>
      <c r="I374" s="411">
        <v>0</v>
      </c>
      <c r="J374" s="818"/>
      <c r="K374" s="816"/>
      <c r="L374" s="816"/>
      <c r="M374" s="814"/>
      <c r="N374" s="814"/>
      <c r="O374" s="816"/>
      <c r="P374" s="816"/>
      <c r="Q374" s="814"/>
      <c r="R374" s="814"/>
      <c r="S374" s="816"/>
      <c r="T374" s="814"/>
      <c r="U374" s="814"/>
      <c r="V374" s="816"/>
      <c r="W374" s="814"/>
      <c r="X374" s="814"/>
    </row>
    <row r="375" spans="1:24" ht="15.6" hidden="1" customHeight="1">
      <c r="A375" s="828">
        <v>6</v>
      </c>
      <c r="B375" s="831" t="s">
        <v>795</v>
      </c>
      <c r="C375" s="828">
        <v>123</v>
      </c>
      <c r="D375" s="837" t="s">
        <v>796</v>
      </c>
      <c r="E375" s="819" t="s">
        <v>624</v>
      </c>
      <c r="F375" s="825" t="s">
        <v>789</v>
      </c>
      <c r="G375" s="825">
        <v>2021</v>
      </c>
      <c r="H375" s="411">
        <f>H376+H378+H377+H379</f>
        <v>2842664</v>
      </c>
      <c r="I375" s="411">
        <f>I376+I378+I377+I379</f>
        <v>0</v>
      </c>
      <c r="J375" s="817" t="s">
        <v>5</v>
      </c>
      <c r="K375" s="816">
        <f t="shared" ref="K375" si="842">L375+O375</f>
        <v>2842664</v>
      </c>
      <c r="L375" s="816">
        <f t="shared" ref="L375" si="843">M375+N375</f>
        <v>2416264</v>
      </c>
      <c r="M375" s="814">
        <v>2416264</v>
      </c>
      <c r="N375" s="814">
        <v>0</v>
      </c>
      <c r="O375" s="816">
        <f t="shared" ref="O375" si="844">P375+S375+V375</f>
        <v>426400</v>
      </c>
      <c r="P375" s="816">
        <f t="shared" ref="P375" si="845">Q375+R375</f>
        <v>0</v>
      </c>
      <c r="Q375" s="814">
        <v>0</v>
      </c>
      <c r="R375" s="814">
        <v>0</v>
      </c>
      <c r="S375" s="816">
        <f t="shared" ref="S375" si="846">T375+U375</f>
        <v>426400</v>
      </c>
      <c r="T375" s="814">
        <v>426400</v>
      </c>
      <c r="U375" s="814">
        <v>0</v>
      </c>
      <c r="V375" s="816">
        <f t="shared" ref="V375" si="847">W375+X375</f>
        <v>0</v>
      </c>
      <c r="W375" s="814">
        <v>0</v>
      </c>
      <c r="X375" s="814">
        <v>0</v>
      </c>
    </row>
    <row r="376" spans="1:24" ht="15.6" hidden="1" customHeight="1">
      <c r="A376" s="829"/>
      <c r="B376" s="832"/>
      <c r="C376" s="829"/>
      <c r="D376" s="838"/>
      <c r="E376" s="819"/>
      <c r="F376" s="826"/>
      <c r="G376" s="826"/>
      <c r="H376" s="411">
        <v>2416264</v>
      </c>
      <c r="I376" s="411">
        <v>0</v>
      </c>
      <c r="J376" s="818"/>
      <c r="K376" s="816"/>
      <c r="L376" s="816"/>
      <c r="M376" s="814"/>
      <c r="N376" s="814"/>
      <c r="O376" s="816"/>
      <c r="P376" s="816"/>
      <c r="Q376" s="814"/>
      <c r="R376" s="814"/>
      <c r="S376" s="816"/>
      <c r="T376" s="814"/>
      <c r="U376" s="814"/>
      <c r="V376" s="816"/>
      <c r="W376" s="814"/>
      <c r="X376" s="814"/>
    </row>
    <row r="377" spans="1:24" ht="15.6" hidden="1" customHeight="1">
      <c r="A377" s="829"/>
      <c r="B377" s="832"/>
      <c r="C377" s="829"/>
      <c r="D377" s="838"/>
      <c r="E377" s="819"/>
      <c r="F377" s="826"/>
      <c r="G377" s="826"/>
      <c r="H377" s="411">
        <v>0</v>
      </c>
      <c r="I377" s="411">
        <v>0</v>
      </c>
      <c r="J377" s="411" t="s">
        <v>6</v>
      </c>
      <c r="K377" s="413">
        <f t="shared" ref="K377" si="848">L377+O377</f>
        <v>0</v>
      </c>
      <c r="L377" s="413">
        <f t="shared" ref="L377" si="849">M377+N377</f>
        <v>0</v>
      </c>
      <c r="M377" s="414">
        <v>0</v>
      </c>
      <c r="N377" s="414">
        <v>0</v>
      </c>
      <c r="O377" s="413">
        <f t="shared" ref="O377" si="850">P377+S377+V377</f>
        <v>0</v>
      </c>
      <c r="P377" s="413">
        <f t="shared" ref="P377" si="851">Q377+R377</f>
        <v>0</v>
      </c>
      <c r="Q377" s="414">
        <v>0</v>
      </c>
      <c r="R377" s="414">
        <v>0</v>
      </c>
      <c r="S377" s="413">
        <f t="shared" ref="S377" si="852">T377+U377</f>
        <v>0</v>
      </c>
      <c r="T377" s="414">
        <v>0</v>
      </c>
      <c r="U377" s="414">
        <v>0</v>
      </c>
      <c r="V377" s="413">
        <f t="shared" ref="V377" si="853">W377+X377</f>
        <v>0</v>
      </c>
      <c r="W377" s="414">
        <v>0</v>
      </c>
      <c r="X377" s="414">
        <v>0</v>
      </c>
    </row>
    <row r="378" spans="1:24" ht="15.6" hidden="1" customHeight="1">
      <c r="A378" s="829"/>
      <c r="B378" s="832"/>
      <c r="C378" s="829"/>
      <c r="D378" s="838"/>
      <c r="E378" s="819"/>
      <c r="F378" s="826"/>
      <c r="G378" s="826"/>
      <c r="H378" s="411">
        <v>426400</v>
      </c>
      <c r="I378" s="411">
        <v>0</v>
      </c>
      <c r="J378" s="817" t="s">
        <v>7</v>
      </c>
      <c r="K378" s="816">
        <f t="shared" ref="K378:X378" si="854">K375+K377</f>
        <v>2842664</v>
      </c>
      <c r="L378" s="816">
        <f t="shared" si="854"/>
        <v>2416264</v>
      </c>
      <c r="M378" s="814">
        <f t="shared" si="854"/>
        <v>2416264</v>
      </c>
      <c r="N378" s="814">
        <f t="shared" si="854"/>
        <v>0</v>
      </c>
      <c r="O378" s="816">
        <f t="shared" si="854"/>
        <v>426400</v>
      </c>
      <c r="P378" s="816">
        <f t="shared" si="854"/>
        <v>0</v>
      </c>
      <c r="Q378" s="814">
        <f t="shared" si="854"/>
        <v>0</v>
      </c>
      <c r="R378" s="814">
        <f t="shared" si="854"/>
        <v>0</v>
      </c>
      <c r="S378" s="816">
        <f t="shared" si="854"/>
        <v>426400</v>
      </c>
      <c r="T378" s="814">
        <f t="shared" si="854"/>
        <v>426400</v>
      </c>
      <c r="U378" s="814">
        <f t="shared" si="854"/>
        <v>0</v>
      </c>
      <c r="V378" s="816">
        <f t="shared" si="854"/>
        <v>0</v>
      </c>
      <c r="W378" s="814">
        <f t="shared" si="854"/>
        <v>0</v>
      </c>
      <c r="X378" s="814">
        <f t="shared" si="854"/>
        <v>0</v>
      </c>
    </row>
    <row r="379" spans="1:24" ht="15.6" hidden="1" customHeight="1">
      <c r="A379" s="830"/>
      <c r="B379" s="833"/>
      <c r="C379" s="830"/>
      <c r="D379" s="839"/>
      <c r="E379" s="819"/>
      <c r="F379" s="827"/>
      <c r="G379" s="827"/>
      <c r="H379" s="411">
        <v>0</v>
      </c>
      <c r="I379" s="411">
        <v>0</v>
      </c>
      <c r="J379" s="818"/>
      <c r="K379" s="816"/>
      <c r="L379" s="816"/>
      <c r="M379" s="814"/>
      <c r="N379" s="814"/>
      <c r="O379" s="816"/>
      <c r="P379" s="816"/>
      <c r="Q379" s="814"/>
      <c r="R379" s="814"/>
      <c r="S379" s="816"/>
      <c r="T379" s="814"/>
      <c r="U379" s="814"/>
      <c r="V379" s="816"/>
      <c r="W379" s="814"/>
      <c r="X379" s="814"/>
    </row>
    <row r="380" spans="1:24" ht="14.25" customHeight="1">
      <c r="A380" s="855">
        <v>4</v>
      </c>
      <c r="B380" s="831" t="s">
        <v>795</v>
      </c>
      <c r="C380" s="828">
        <v>123</v>
      </c>
      <c r="D380" s="837" t="s">
        <v>796</v>
      </c>
      <c r="E380" s="825" t="s">
        <v>732</v>
      </c>
      <c r="F380" s="825" t="s">
        <v>733</v>
      </c>
      <c r="G380" s="825">
        <v>2021</v>
      </c>
      <c r="H380" s="411">
        <f>H381+H383+H382+H384</f>
        <v>4000</v>
      </c>
      <c r="I380" s="411">
        <f>I381+I383+I382+I384</f>
        <v>0</v>
      </c>
      <c r="J380" s="817" t="s">
        <v>5</v>
      </c>
      <c r="K380" s="816">
        <f t="shared" ref="K380" si="855">L380+O380</f>
        <v>32344</v>
      </c>
      <c r="L380" s="816">
        <f t="shared" ref="L380" si="856">M380+N380</f>
        <v>27492</v>
      </c>
      <c r="M380" s="814">
        <v>27492</v>
      </c>
      <c r="N380" s="814">
        <v>0</v>
      </c>
      <c r="O380" s="816">
        <f t="shared" ref="O380" si="857">P380+S380+V380</f>
        <v>4852</v>
      </c>
      <c r="P380" s="816">
        <f t="shared" ref="P380" si="858">Q380+R380</f>
        <v>0</v>
      </c>
      <c r="Q380" s="814">
        <v>0</v>
      </c>
      <c r="R380" s="814">
        <v>0</v>
      </c>
      <c r="S380" s="816">
        <f t="shared" ref="S380" si="859">T380+U380</f>
        <v>4852</v>
      </c>
      <c r="T380" s="814">
        <v>4852</v>
      </c>
      <c r="U380" s="814">
        <v>0</v>
      </c>
      <c r="V380" s="816">
        <f t="shared" ref="V380" si="860">W380+X380</f>
        <v>0</v>
      </c>
      <c r="W380" s="814">
        <v>0</v>
      </c>
      <c r="X380" s="814">
        <v>0</v>
      </c>
    </row>
    <row r="381" spans="1:24" ht="14.25" customHeight="1">
      <c r="A381" s="856"/>
      <c r="B381" s="832"/>
      <c r="C381" s="829"/>
      <c r="D381" s="838"/>
      <c r="E381" s="826"/>
      <c r="F381" s="826"/>
      <c r="G381" s="826"/>
      <c r="H381" s="411">
        <v>3400</v>
      </c>
      <c r="I381" s="411">
        <v>0</v>
      </c>
      <c r="J381" s="818"/>
      <c r="K381" s="816"/>
      <c r="L381" s="816"/>
      <c r="M381" s="814"/>
      <c r="N381" s="814"/>
      <c r="O381" s="816"/>
      <c r="P381" s="816"/>
      <c r="Q381" s="814"/>
      <c r="R381" s="814"/>
      <c r="S381" s="816"/>
      <c r="T381" s="814"/>
      <c r="U381" s="814"/>
      <c r="V381" s="816"/>
      <c r="W381" s="814"/>
      <c r="X381" s="814"/>
    </row>
    <row r="382" spans="1:24" ht="14.25" customHeight="1">
      <c r="A382" s="856"/>
      <c r="B382" s="832"/>
      <c r="C382" s="829"/>
      <c r="D382" s="838"/>
      <c r="E382" s="826"/>
      <c r="F382" s="826"/>
      <c r="G382" s="826"/>
      <c r="H382" s="411">
        <v>0</v>
      </c>
      <c r="I382" s="411">
        <v>0</v>
      </c>
      <c r="J382" s="411" t="s">
        <v>6</v>
      </c>
      <c r="K382" s="413">
        <f t="shared" ref="K382" si="861">L382+O382</f>
        <v>-28344</v>
      </c>
      <c r="L382" s="413">
        <f t="shared" ref="L382" si="862">M382+N382</f>
        <v>-24092</v>
      </c>
      <c r="M382" s="414">
        <v>-24092</v>
      </c>
      <c r="N382" s="414">
        <v>0</v>
      </c>
      <c r="O382" s="413">
        <f t="shared" ref="O382" si="863">P382+S382+V382</f>
        <v>-4252</v>
      </c>
      <c r="P382" s="413">
        <f t="shared" ref="P382" si="864">Q382+R382</f>
        <v>0</v>
      </c>
      <c r="Q382" s="414">
        <v>0</v>
      </c>
      <c r="R382" s="414">
        <v>0</v>
      </c>
      <c r="S382" s="413">
        <f t="shared" ref="S382" si="865">T382+U382</f>
        <v>-4252</v>
      </c>
      <c r="T382" s="414">
        <v>-4252</v>
      </c>
      <c r="U382" s="414">
        <v>0</v>
      </c>
      <c r="V382" s="413">
        <f t="shared" ref="V382" si="866">W382+X382</f>
        <v>0</v>
      </c>
      <c r="W382" s="414">
        <v>0</v>
      </c>
      <c r="X382" s="414">
        <v>0</v>
      </c>
    </row>
    <row r="383" spans="1:24" ht="14.25" customHeight="1">
      <c r="A383" s="856"/>
      <c r="B383" s="832"/>
      <c r="C383" s="829"/>
      <c r="D383" s="838"/>
      <c r="E383" s="826"/>
      <c r="F383" s="826"/>
      <c r="G383" s="826"/>
      <c r="H383" s="411">
        <v>600</v>
      </c>
      <c r="I383" s="411">
        <v>0</v>
      </c>
      <c r="J383" s="817" t="s">
        <v>7</v>
      </c>
      <c r="K383" s="816">
        <f t="shared" ref="K383:X383" si="867">K380+K382</f>
        <v>4000</v>
      </c>
      <c r="L383" s="816">
        <f t="shared" si="867"/>
        <v>3400</v>
      </c>
      <c r="M383" s="814">
        <f t="shared" si="867"/>
        <v>3400</v>
      </c>
      <c r="N383" s="814">
        <f t="shared" si="867"/>
        <v>0</v>
      </c>
      <c r="O383" s="816">
        <f t="shared" si="867"/>
        <v>600</v>
      </c>
      <c r="P383" s="816">
        <f t="shared" si="867"/>
        <v>0</v>
      </c>
      <c r="Q383" s="814">
        <f t="shared" si="867"/>
        <v>0</v>
      </c>
      <c r="R383" s="814">
        <f t="shared" si="867"/>
        <v>0</v>
      </c>
      <c r="S383" s="816">
        <f t="shared" si="867"/>
        <v>600</v>
      </c>
      <c r="T383" s="814">
        <f t="shared" si="867"/>
        <v>600</v>
      </c>
      <c r="U383" s="814">
        <f t="shared" si="867"/>
        <v>0</v>
      </c>
      <c r="V383" s="816">
        <f t="shared" si="867"/>
        <v>0</v>
      </c>
      <c r="W383" s="814">
        <f t="shared" si="867"/>
        <v>0</v>
      </c>
      <c r="X383" s="814">
        <f t="shared" si="867"/>
        <v>0</v>
      </c>
    </row>
    <row r="384" spans="1:24" ht="14.25" customHeight="1">
      <c r="A384" s="857"/>
      <c r="B384" s="833"/>
      <c r="C384" s="830"/>
      <c r="D384" s="839"/>
      <c r="E384" s="827"/>
      <c r="F384" s="827"/>
      <c r="G384" s="827"/>
      <c r="H384" s="411">
        <v>0</v>
      </c>
      <c r="I384" s="411">
        <v>0</v>
      </c>
      <c r="J384" s="818"/>
      <c r="K384" s="816"/>
      <c r="L384" s="816"/>
      <c r="M384" s="814"/>
      <c r="N384" s="814"/>
      <c r="O384" s="816"/>
      <c r="P384" s="816"/>
      <c r="Q384" s="814"/>
      <c r="R384" s="814"/>
      <c r="S384" s="816"/>
      <c r="T384" s="814"/>
      <c r="U384" s="814"/>
      <c r="V384" s="816"/>
      <c r="W384" s="814"/>
      <c r="X384" s="814"/>
    </row>
    <row r="385" spans="1:25" ht="15.6" customHeight="1">
      <c r="A385" s="854" t="s">
        <v>797</v>
      </c>
      <c r="B385" s="854"/>
      <c r="C385" s="854"/>
      <c r="D385" s="854"/>
      <c r="E385" s="854"/>
      <c r="F385" s="854"/>
      <c r="G385" s="854"/>
      <c r="H385" s="424">
        <f>H350+H355+H360+H370+H375+H380+H365</f>
        <v>227302522</v>
      </c>
      <c r="I385" s="424">
        <f>I350+I355+I360+I370+I375+I380+I365</f>
        <v>111843413</v>
      </c>
      <c r="J385" s="811" t="s">
        <v>5</v>
      </c>
      <c r="K385" s="810">
        <f>K350+K355+K360+K365+K370+K375+K380</f>
        <v>66740088</v>
      </c>
      <c r="L385" s="810">
        <f t="shared" ref="L385:X385" si="868">L350+L355+L360+L365+L370+L375+L380</f>
        <v>56729073</v>
      </c>
      <c r="M385" s="810">
        <f t="shared" si="868"/>
        <v>53824337</v>
      </c>
      <c r="N385" s="810">
        <f t="shared" si="868"/>
        <v>2904736</v>
      </c>
      <c r="O385" s="810">
        <f t="shared" si="868"/>
        <v>10011015</v>
      </c>
      <c r="P385" s="810">
        <f t="shared" si="868"/>
        <v>0</v>
      </c>
      <c r="Q385" s="810">
        <f t="shared" si="868"/>
        <v>0</v>
      </c>
      <c r="R385" s="810">
        <f t="shared" si="868"/>
        <v>0</v>
      </c>
      <c r="S385" s="810">
        <f t="shared" si="868"/>
        <v>10011015</v>
      </c>
      <c r="T385" s="810">
        <f t="shared" si="868"/>
        <v>9498414</v>
      </c>
      <c r="U385" s="810">
        <f t="shared" si="868"/>
        <v>512601</v>
      </c>
      <c r="V385" s="810">
        <f t="shared" si="868"/>
        <v>0</v>
      </c>
      <c r="W385" s="810">
        <f t="shared" si="868"/>
        <v>0</v>
      </c>
      <c r="X385" s="810">
        <f t="shared" si="868"/>
        <v>0</v>
      </c>
    </row>
    <row r="386" spans="1:25" ht="15.6" customHeight="1">
      <c r="A386" s="854"/>
      <c r="B386" s="854"/>
      <c r="C386" s="854"/>
      <c r="D386" s="854"/>
      <c r="E386" s="854"/>
      <c r="F386" s="854"/>
      <c r="G386" s="854"/>
      <c r="H386" s="424">
        <f t="shared" ref="H386:I389" si="869">H351+H356+H361+H371+H376+H381+H366</f>
        <v>193207141</v>
      </c>
      <c r="I386" s="424">
        <f t="shared" si="869"/>
        <v>95066901</v>
      </c>
      <c r="J386" s="812"/>
      <c r="K386" s="810"/>
      <c r="L386" s="810"/>
      <c r="M386" s="810"/>
      <c r="N386" s="810"/>
      <c r="O386" s="810"/>
      <c r="P386" s="810"/>
      <c r="Q386" s="810"/>
      <c r="R386" s="810"/>
      <c r="S386" s="810"/>
      <c r="T386" s="810"/>
      <c r="U386" s="810"/>
      <c r="V386" s="810"/>
      <c r="W386" s="810"/>
      <c r="X386" s="810"/>
    </row>
    <row r="387" spans="1:25" ht="15.6" customHeight="1">
      <c r="A387" s="854"/>
      <c r="B387" s="854"/>
      <c r="C387" s="854"/>
      <c r="D387" s="854"/>
      <c r="E387" s="854"/>
      <c r="F387" s="854"/>
      <c r="G387" s="854"/>
      <c r="H387" s="424">
        <f t="shared" si="869"/>
        <v>0</v>
      </c>
      <c r="I387" s="424">
        <f t="shared" si="869"/>
        <v>0</v>
      </c>
      <c r="J387" s="418" t="s">
        <v>6</v>
      </c>
      <c r="K387" s="419">
        <f>K352+K357+K362+K367+K372+K377+K382</f>
        <v>-7753925</v>
      </c>
      <c r="L387" s="419">
        <f t="shared" ref="L387:X387" si="870">L352+L357+L362+L367+L372+L377+L382</f>
        <v>-6590836</v>
      </c>
      <c r="M387" s="419">
        <f t="shared" si="870"/>
        <v>-6590836</v>
      </c>
      <c r="N387" s="419">
        <f t="shared" si="870"/>
        <v>0</v>
      </c>
      <c r="O387" s="419">
        <f t="shared" si="870"/>
        <v>-1163089</v>
      </c>
      <c r="P387" s="419">
        <f t="shared" si="870"/>
        <v>0</v>
      </c>
      <c r="Q387" s="419">
        <f t="shared" si="870"/>
        <v>0</v>
      </c>
      <c r="R387" s="419">
        <f t="shared" si="870"/>
        <v>0</v>
      </c>
      <c r="S387" s="419">
        <f t="shared" si="870"/>
        <v>-1163089</v>
      </c>
      <c r="T387" s="419">
        <f t="shared" si="870"/>
        <v>-1163089</v>
      </c>
      <c r="U387" s="419">
        <f t="shared" si="870"/>
        <v>0</v>
      </c>
      <c r="V387" s="419">
        <f t="shared" si="870"/>
        <v>0</v>
      </c>
      <c r="W387" s="419">
        <f t="shared" si="870"/>
        <v>0</v>
      </c>
      <c r="X387" s="419">
        <f t="shared" si="870"/>
        <v>0</v>
      </c>
    </row>
    <row r="388" spans="1:25" ht="15.6" customHeight="1">
      <c r="A388" s="854"/>
      <c r="B388" s="854"/>
      <c r="C388" s="854"/>
      <c r="D388" s="854"/>
      <c r="E388" s="854"/>
      <c r="F388" s="854"/>
      <c r="G388" s="854"/>
      <c r="H388" s="424">
        <f t="shared" si="869"/>
        <v>34095381</v>
      </c>
      <c r="I388" s="424">
        <f t="shared" si="869"/>
        <v>16776512</v>
      </c>
      <c r="J388" s="811" t="s">
        <v>7</v>
      </c>
      <c r="K388" s="810">
        <f>K385+K387</f>
        <v>58986163</v>
      </c>
      <c r="L388" s="810">
        <f t="shared" ref="L388:X388" si="871">L385+L387</f>
        <v>50138237</v>
      </c>
      <c r="M388" s="810">
        <f t="shared" si="871"/>
        <v>47233501</v>
      </c>
      <c r="N388" s="810">
        <f t="shared" si="871"/>
        <v>2904736</v>
      </c>
      <c r="O388" s="810">
        <f t="shared" si="871"/>
        <v>8847926</v>
      </c>
      <c r="P388" s="810">
        <f t="shared" si="871"/>
        <v>0</v>
      </c>
      <c r="Q388" s="810">
        <f t="shared" si="871"/>
        <v>0</v>
      </c>
      <c r="R388" s="810">
        <f t="shared" si="871"/>
        <v>0</v>
      </c>
      <c r="S388" s="810">
        <f t="shared" si="871"/>
        <v>8847926</v>
      </c>
      <c r="T388" s="810">
        <f t="shared" si="871"/>
        <v>8335325</v>
      </c>
      <c r="U388" s="810">
        <f t="shared" si="871"/>
        <v>512601</v>
      </c>
      <c r="V388" s="810">
        <f t="shared" si="871"/>
        <v>0</v>
      </c>
      <c r="W388" s="810">
        <f t="shared" si="871"/>
        <v>0</v>
      </c>
      <c r="X388" s="810">
        <f t="shared" si="871"/>
        <v>0</v>
      </c>
    </row>
    <row r="389" spans="1:25" ht="15.6" customHeight="1">
      <c r="A389" s="854"/>
      <c r="B389" s="854"/>
      <c r="C389" s="854"/>
      <c r="D389" s="854"/>
      <c r="E389" s="854"/>
      <c r="F389" s="854"/>
      <c r="G389" s="854"/>
      <c r="H389" s="424">
        <f t="shared" si="869"/>
        <v>0</v>
      </c>
      <c r="I389" s="424">
        <f t="shared" si="869"/>
        <v>0</v>
      </c>
      <c r="J389" s="812"/>
      <c r="K389" s="810"/>
      <c r="L389" s="810"/>
      <c r="M389" s="810"/>
      <c r="N389" s="810"/>
      <c r="O389" s="810"/>
      <c r="P389" s="810"/>
      <c r="Q389" s="810"/>
      <c r="R389" s="810"/>
      <c r="S389" s="810"/>
      <c r="T389" s="810"/>
      <c r="U389" s="810"/>
      <c r="V389" s="810"/>
      <c r="W389" s="810"/>
      <c r="X389" s="810"/>
    </row>
    <row r="390" spans="1:25" s="426" customFormat="1" ht="4.5" customHeight="1">
      <c r="A390" s="820"/>
      <c r="B390" s="820"/>
      <c r="C390" s="820"/>
      <c r="D390" s="820"/>
      <c r="E390" s="820"/>
      <c r="F390" s="820"/>
      <c r="G390" s="820"/>
      <c r="H390" s="820"/>
      <c r="I390" s="820"/>
      <c r="J390" s="820"/>
      <c r="K390" s="820"/>
      <c r="L390" s="820"/>
      <c r="M390" s="820"/>
      <c r="N390" s="820"/>
      <c r="O390" s="820"/>
      <c r="P390" s="820"/>
      <c r="Q390" s="820"/>
      <c r="R390" s="820"/>
      <c r="S390" s="820"/>
      <c r="T390" s="820"/>
      <c r="U390" s="820"/>
      <c r="V390" s="820"/>
      <c r="W390" s="820"/>
      <c r="X390" s="820"/>
      <c r="Y390" s="425"/>
    </row>
    <row r="391" spans="1:25" s="408" customFormat="1" ht="21" customHeight="1">
      <c r="A391" s="851" t="s">
        <v>798</v>
      </c>
      <c r="B391" s="852"/>
      <c r="C391" s="852"/>
      <c r="D391" s="852"/>
      <c r="E391" s="852"/>
      <c r="F391" s="852"/>
      <c r="G391" s="852"/>
      <c r="H391" s="852"/>
      <c r="I391" s="852"/>
      <c r="J391" s="852"/>
      <c r="K391" s="852"/>
      <c r="L391" s="852"/>
      <c r="M391" s="852"/>
      <c r="N391" s="852"/>
      <c r="O391" s="852"/>
      <c r="P391" s="852"/>
      <c r="Q391" s="852"/>
      <c r="R391" s="852"/>
      <c r="S391" s="852"/>
      <c r="T391" s="852"/>
      <c r="U391" s="852"/>
      <c r="V391" s="852"/>
      <c r="W391" s="852"/>
      <c r="X391" s="853"/>
      <c r="Y391" s="409"/>
    </row>
    <row r="392" spans="1:25" s="426" customFormat="1" ht="4.5" customHeight="1">
      <c r="A392" s="820"/>
      <c r="B392" s="820"/>
      <c r="C392" s="820"/>
      <c r="D392" s="820"/>
      <c r="E392" s="820"/>
      <c r="F392" s="820"/>
      <c r="G392" s="820"/>
      <c r="H392" s="820"/>
      <c r="I392" s="820"/>
      <c r="J392" s="820"/>
      <c r="K392" s="820"/>
      <c r="L392" s="820"/>
      <c r="M392" s="820"/>
      <c r="N392" s="820"/>
      <c r="O392" s="820"/>
      <c r="P392" s="820"/>
      <c r="Q392" s="820"/>
      <c r="R392" s="820"/>
      <c r="S392" s="820"/>
      <c r="T392" s="820"/>
      <c r="U392" s="820"/>
      <c r="V392" s="820"/>
      <c r="W392" s="820"/>
      <c r="X392" s="820"/>
      <c r="Y392" s="425"/>
    </row>
    <row r="393" spans="1:25" ht="14.25" hidden="1" customHeight="1">
      <c r="A393" s="820">
        <v>1</v>
      </c>
      <c r="B393" s="847" t="s">
        <v>647</v>
      </c>
      <c r="C393" s="848" t="s">
        <v>799</v>
      </c>
      <c r="D393" s="823" t="s">
        <v>800</v>
      </c>
      <c r="E393" s="819" t="s">
        <v>624</v>
      </c>
      <c r="F393" s="819" t="s">
        <v>801</v>
      </c>
      <c r="G393" s="819" t="s">
        <v>802</v>
      </c>
      <c r="H393" s="411" t="s">
        <v>210</v>
      </c>
      <c r="I393" s="411" t="s">
        <v>210</v>
      </c>
      <c r="J393" s="817" t="s">
        <v>5</v>
      </c>
      <c r="K393" s="816">
        <f t="shared" ref="K393" si="872">L393+O393</f>
        <v>31035</v>
      </c>
      <c r="L393" s="816">
        <f t="shared" ref="L393" si="873">M393+N393</f>
        <v>0</v>
      </c>
      <c r="M393" s="814">
        <v>0</v>
      </c>
      <c r="N393" s="814">
        <v>0</v>
      </c>
      <c r="O393" s="816">
        <f t="shared" ref="O393" si="874">P393+S393+V393</f>
        <v>31035</v>
      </c>
      <c r="P393" s="816">
        <f t="shared" ref="P393" si="875">Q393+R393</f>
        <v>31035</v>
      </c>
      <c r="Q393" s="814">
        <v>404</v>
      </c>
      <c r="R393" s="814">
        <v>30631</v>
      </c>
      <c r="S393" s="816">
        <f t="shared" ref="S393" si="876">T393+U393</f>
        <v>0</v>
      </c>
      <c r="T393" s="814">
        <v>0</v>
      </c>
      <c r="U393" s="814">
        <v>0</v>
      </c>
      <c r="V393" s="816">
        <f t="shared" ref="V393" si="877">W393+X393</f>
        <v>0</v>
      </c>
      <c r="W393" s="814">
        <v>0</v>
      </c>
      <c r="X393" s="814">
        <v>0</v>
      </c>
    </row>
    <row r="394" spans="1:25" ht="14.25" hidden="1" customHeight="1">
      <c r="A394" s="820"/>
      <c r="B394" s="847"/>
      <c r="C394" s="849"/>
      <c r="D394" s="823"/>
      <c r="E394" s="819"/>
      <c r="F394" s="819"/>
      <c r="G394" s="819"/>
      <c r="H394" s="411" t="s">
        <v>210</v>
      </c>
      <c r="I394" s="411" t="s">
        <v>210</v>
      </c>
      <c r="J394" s="818"/>
      <c r="K394" s="816"/>
      <c r="L394" s="816"/>
      <c r="M394" s="814"/>
      <c r="N394" s="814"/>
      <c r="O394" s="816"/>
      <c r="P394" s="816"/>
      <c r="Q394" s="814"/>
      <c r="R394" s="814"/>
      <c r="S394" s="816"/>
      <c r="T394" s="814"/>
      <c r="U394" s="814"/>
      <c r="V394" s="816"/>
      <c r="W394" s="814"/>
      <c r="X394" s="814"/>
    </row>
    <row r="395" spans="1:25" ht="14.25" hidden="1" customHeight="1">
      <c r="A395" s="820"/>
      <c r="B395" s="847"/>
      <c r="C395" s="849"/>
      <c r="D395" s="823"/>
      <c r="E395" s="819"/>
      <c r="F395" s="819"/>
      <c r="G395" s="819"/>
      <c r="H395" s="411" t="s">
        <v>210</v>
      </c>
      <c r="I395" s="411" t="s">
        <v>210</v>
      </c>
      <c r="J395" s="411" t="s">
        <v>6</v>
      </c>
      <c r="K395" s="413">
        <f t="shared" ref="K395" si="878">L395+O395</f>
        <v>0</v>
      </c>
      <c r="L395" s="413">
        <f t="shared" ref="L395" si="879">M395+N395</f>
        <v>0</v>
      </c>
      <c r="M395" s="414">
        <v>0</v>
      </c>
      <c r="N395" s="414">
        <v>0</v>
      </c>
      <c r="O395" s="413">
        <f t="shared" ref="O395" si="880">P395+S395+V395</f>
        <v>0</v>
      </c>
      <c r="P395" s="413">
        <f t="shared" ref="P395" si="881">Q395+R395</f>
        <v>0</v>
      </c>
      <c r="Q395" s="414">
        <v>0</v>
      </c>
      <c r="R395" s="414">
        <v>0</v>
      </c>
      <c r="S395" s="413">
        <f t="shared" ref="S395" si="882">T395+U395</f>
        <v>0</v>
      </c>
      <c r="T395" s="414">
        <v>0</v>
      </c>
      <c r="U395" s="414">
        <v>0</v>
      </c>
      <c r="V395" s="413">
        <f t="shared" ref="V395" si="883">W395+X395</f>
        <v>0</v>
      </c>
      <c r="W395" s="414">
        <v>0</v>
      </c>
      <c r="X395" s="414">
        <v>0</v>
      </c>
    </row>
    <row r="396" spans="1:25" ht="14.25" hidden="1" customHeight="1">
      <c r="A396" s="820"/>
      <c r="B396" s="847"/>
      <c r="C396" s="849"/>
      <c r="D396" s="823"/>
      <c r="E396" s="819"/>
      <c r="F396" s="819"/>
      <c r="G396" s="819"/>
      <c r="H396" s="411" t="s">
        <v>210</v>
      </c>
      <c r="I396" s="411" t="s">
        <v>210</v>
      </c>
      <c r="J396" s="817" t="s">
        <v>7</v>
      </c>
      <c r="K396" s="816">
        <f t="shared" ref="K396:X396" si="884">K393+K395</f>
        <v>31035</v>
      </c>
      <c r="L396" s="816">
        <f t="shared" si="884"/>
        <v>0</v>
      </c>
      <c r="M396" s="814">
        <f t="shared" si="884"/>
        <v>0</v>
      </c>
      <c r="N396" s="814">
        <f t="shared" si="884"/>
        <v>0</v>
      </c>
      <c r="O396" s="816">
        <f t="shared" si="884"/>
        <v>31035</v>
      </c>
      <c r="P396" s="816">
        <f t="shared" si="884"/>
        <v>31035</v>
      </c>
      <c r="Q396" s="814">
        <f t="shared" si="884"/>
        <v>404</v>
      </c>
      <c r="R396" s="814">
        <f t="shared" si="884"/>
        <v>30631</v>
      </c>
      <c r="S396" s="816">
        <f t="shared" si="884"/>
        <v>0</v>
      </c>
      <c r="T396" s="814">
        <f t="shared" si="884"/>
        <v>0</v>
      </c>
      <c r="U396" s="814">
        <f t="shared" si="884"/>
        <v>0</v>
      </c>
      <c r="V396" s="816">
        <f t="shared" si="884"/>
        <v>0</v>
      </c>
      <c r="W396" s="814">
        <f t="shared" si="884"/>
        <v>0</v>
      </c>
      <c r="X396" s="814">
        <f t="shared" si="884"/>
        <v>0</v>
      </c>
    </row>
    <row r="397" spans="1:25" ht="14.25" hidden="1" customHeight="1">
      <c r="A397" s="820"/>
      <c r="B397" s="847"/>
      <c r="C397" s="850"/>
      <c r="D397" s="823"/>
      <c r="E397" s="819"/>
      <c r="F397" s="819"/>
      <c r="G397" s="819"/>
      <c r="H397" s="411" t="s">
        <v>210</v>
      </c>
      <c r="I397" s="411" t="s">
        <v>210</v>
      </c>
      <c r="J397" s="818"/>
      <c r="K397" s="816"/>
      <c r="L397" s="816"/>
      <c r="M397" s="814"/>
      <c r="N397" s="814"/>
      <c r="O397" s="816"/>
      <c r="P397" s="816"/>
      <c r="Q397" s="814"/>
      <c r="R397" s="814"/>
      <c r="S397" s="816"/>
      <c r="T397" s="814"/>
      <c r="U397" s="814"/>
      <c r="V397" s="816"/>
      <c r="W397" s="814"/>
      <c r="X397" s="814"/>
    </row>
    <row r="398" spans="1:25" ht="14.25" hidden="1" customHeight="1">
      <c r="A398" s="820">
        <v>1</v>
      </c>
      <c r="B398" s="847" t="s">
        <v>653</v>
      </c>
      <c r="C398" s="848" t="s">
        <v>803</v>
      </c>
      <c r="D398" s="823" t="s">
        <v>804</v>
      </c>
      <c r="E398" s="819" t="s">
        <v>624</v>
      </c>
      <c r="F398" s="819" t="s">
        <v>805</v>
      </c>
      <c r="G398" s="819" t="s">
        <v>802</v>
      </c>
      <c r="H398" s="411" t="s">
        <v>210</v>
      </c>
      <c r="I398" s="411" t="s">
        <v>210</v>
      </c>
      <c r="J398" s="817" t="s">
        <v>5</v>
      </c>
      <c r="K398" s="816">
        <f t="shared" ref="K398" si="885">L398+O398</f>
        <v>556985</v>
      </c>
      <c r="L398" s="816">
        <f t="shared" ref="L398" si="886">M398+N398</f>
        <v>0</v>
      </c>
      <c r="M398" s="814">
        <v>0</v>
      </c>
      <c r="N398" s="814">
        <v>0</v>
      </c>
      <c r="O398" s="816">
        <f t="shared" ref="O398" si="887">P398+S398+V398</f>
        <v>556985</v>
      </c>
      <c r="P398" s="816">
        <f t="shared" ref="P398" si="888">Q398+R398</f>
        <v>556985</v>
      </c>
      <c r="Q398" s="814">
        <v>11140</v>
      </c>
      <c r="R398" s="814">
        <v>545845</v>
      </c>
      <c r="S398" s="816">
        <f t="shared" ref="S398" si="889">T398+U398</f>
        <v>0</v>
      </c>
      <c r="T398" s="814">
        <v>0</v>
      </c>
      <c r="U398" s="814">
        <v>0</v>
      </c>
      <c r="V398" s="816">
        <f t="shared" ref="V398" si="890">W398+X398</f>
        <v>0</v>
      </c>
      <c r="W398" s="814">
        <v>0</v>
      </c>
      <c r="X398" s="814">
        <v>0</v>
      </c>
    </row>
    <row r="399" spans="1:25" ht="14.25" hidden="1" customHeight="1">
      <c r="A399" s="820"/>
      <c r="B399" s="847"/>
      <c r="C399" s="849"/>
      <c r="D399" s="823"/>
      <c r="E399" s="819"/>
      <c r="F399" s="819"/>
      <c r="G399" s="819"/>
      <c r="H399" s="411" t="s">
        <v>210</v>
      </c>
      <c r="I399" s="411" t="s">
        <v>210</v>
      </c>
      <c r="J399" s="818"/>
      <c r="K399" s="816"/>
      <c r="L399" s="816"/>
      <c r="M399" s="814"/>
      <c r="N399" s="814"/>
      <c r="O399" s="816"/>
      <c r="P399" s="816"/>
      <c r="Q399" s="814"/>
      <c r="R399" s="814"/>
      <c r="S399" s="816"/>
      <c r="T399" s="814"/>
      <c r="U399" s="814"/>
      <c r="V399" s="816"/>
      <c r="W399" s="814"/>
      <c r="X399" s="814"/>
    </row>
    <row r="400" spans="1:25" ht="14.25" hidden="1" customHeight="1">
      <c r="A400" s="820"/>
      <c r="B400" s="847"/>
      <c r="C400" s="849"/>
      <c r="D400" s="823"/>
      <c r="E400" s="819"/>
      <c r="F400" s="819"/>
      <c r="G400" s="819"/>
      <c r="H400" s="411" t="s">
        <v>210</v>
      </c>
      <c r="I400" s="411" t="s">
        <v>210</v>
      </c>
      <c r="J400" s="411" t="s">
        <v>6</v>
      </c>
      <c r="K400" s="413">
        <f t="shared" ref="K400" si="891">L400+O400</f>
        <v>0</v>
      </c>
      <c r="L400" s="413">
        <f t="shared" ref="L400" si="892">M400+N400</f>
        <v>0</v>
      </c>
      <c r="M400" s="414">
        <v>0</v>
      </c>
      <c r="N400" s="414">
        <v>0</v>
      </c>
      <c r="O400" s="413">
        <f t="shared" ref="O400" si="893">P400+S400+V400</f>
        <v>0</v>
      </c>
      <c r="P400" s="413">
        <f t="shared" ref="P400" si="894">Q400+R400</f>
        <v>0</v>
      </c>
      <c r="Q400" s="414">
        <v>0</v>
      </c>
      <c r="R400" s="414">
        <v>0</v>
      </c>
      <c r="S400" s="413">
        <f t="shared" ref="S400" si="895">T400+U400</f>
        <v>0</v>
      </c>
      <c r="T400" s="414">
        <v>0</v>
      </c>
      <c r="U400" s="414">
        <v>0</v>
      </c>
      <c r="V400" s="413">
        <f t="shared" ref="V400" si="896">W400+X400</f>
        <v>0</v>
      </c>
      <c r="W400" s="414">
        <v>0</v>
      </c>
      <c r="X400" s="414">
        <v>0</v>
      </c>
    </row>
    <row r="401" spans="1:24" ht="14.25" hidden="1" customHeight="1">
      <c r="A401" s="820"/>
      <c r="B401" s="847"/>
      <c r="C401" s="849"/>
      <c r="D401" s="823"/>
      <c r="E401" s="819"/>
      <c r="F401" s="819"/>
      <c r="G401" s="819"/>
      <c r="H401" s="411" t="s">
        <v>210</v>
      </c>
      <c r="I401" s="411" t="s">
        <v>210</v>
      </c>
      <c r="J401" s="817" t="s">
        <v>7</v>
      </c>
      <c r="K401" s="816">
        <f t="shared" ref="K401:X401" si="897">K398+K400</f>
        <v>556985</v>
      </c>
      <c r="L401" s="816">
        <f t="shared" si="897"/>
        <v>0</v>
      </c>
      <c r="M401" s="814">
        <f t="shared" si="897"/>
        <v>0</v>
      </c>
      <c r="N401" s="814">
        <f t="shared" si="897"/>
        <v>0</v>
      </c>
      <c r="O401" s="816">
        <f t="shared" si="897"/>
        <v>556985</v>
      </c>
      <c r="P401" s="816">
        <f t="shared" si="897"/>
        <v>556985</v>
      </c>
      <c r="Q401" s="814">
        <f t="shared" si="897"/>
        <v>11140</v>
      </c>
      <c r="R401" s="814">
        <f t="shared" si="897"/>
        <v>545845</v>
      </c>
      <c r="S401" s="816">
        <f t="shared" si="897"/>
        <v>0</v>
      </c>
      <c r="T401" s="814">
        <f t="shared" si="897"/>
        <v>0</v>
      </c>
      <c r="U401" s="814">
        <f t="shared" si="897"/>
        <v>0</v>
      </c>
      <c r="V401" s="816">
        <f t="shared" si="897"/>
        <v>0</v>
      </c>
      <c r="W401" s="814">
        <f t="shared" si="897"/>
        <v>0</v>
      </c>
      <c r="X401" s="814">
        <f t="shared" si="897"/>
        <v>0</v>
      </c>
    </row>
    <row r="402" spans="1:24" ht="14.25" hidden="1" customHeight="1">
      <c r="A402" s="820"/>
      <c r="B402" s="847"/>
      <c r="C402" s="850"/>
      <c r="D402" s="823"/>
      <c r="E402" s="819"/>
      <c r="F402" s="819"/>
      <c r="G402" s="819"/>
      <c r="H402" s="411" t="s">
        <v>210</v>
      </c>
      <c r="I402" s="411" t="s">
        <v>210</v>
      </c>
      <c r="J402" s="818"/>
      <c r="K402" s="816"/>
      <c r="L402" s="816"/>
      <c r="M402" s="814"/>
      <c r="N402" s="814"/>
      <c r="O402" s="816"/>
      <c r="P402" s="816"/>
      <c r="Q402" s="814"/>
      <c r="R402" s="814"/>
      <c r="S402" s="816"/>
      <c r="T402" s="814"/>
      <c r="U402" s="814"/>
      <c r="V402" s="816"/>
      <c r="W402" s="814"/>
      <c r="X402" s="814"/>
    </row>
    <row r="403" spans="1:24" ht="14.25" hidden="1" customHeight="1">
      <c r="A403" s="820">
        <v>2</v>
      </c>
      <c r="B403" s="821" t="s">
        <v>806</v>
      </c>
      <c r="C403" s="848" t="s">
        <v>799</v>
      </c>
      <c r="D403" s="823" t="s">
        <v>807</v>
      </c>
      <c r="E403" s="819" t="s">
        <v>624</v>
      </c>
      <c r="F403" s="819" t="s">
        <v>766</v>
      </c>
      <c r="G403" s="819" t="s">
        <v>802</v>
      </c>
      <c r="H403" s="411" t="s">
        <v>210</v>
      </c>
      <c r="I403" s="411" t="s">
        <v>210</v>
      </c>
      <c r="J403" s="817" t="s">
        <v>5</v>
      </c>
      <c r="K403" s="816">
        <f t="shared" ref="K403" si="898">L403+O403</f>
        <v>446832</v>
      </c>
      <c r="L403" s="816">
        <f t="shared" ref="L403" si="899">M403+N403</f>
        <v>0</v>
      </c>
      <c r="M403" s="814">
        <v>0</v>
      </c>
      <c r="N403" s="814">
        <v>0</v>
      </c>
      <c r="O403" s="816">
        <f t="shared" ref="O403" si="900">P403+S403+V403</f>
        <v>446832</v>
      </c>
      <c r="P403" s="816">
        <f t="shared" ref="P403" si="901">Q403+R403</f>
        <v>446832</v>
      </c>
      <c r="Q403" s="814">
        <v>0</v>
      </c>
      <c r="R403" s="814">
        <v>446832</v>
      </c>
      <c r="S403" s="816">
        <f t="shared" ref="S403" si="902">T403+U403</f>
        <v>0</v>
      </c>
      <c r="T403" s="814">
        <v>0</v>
      </c>
      <c r="U403" s="814">
        <v>0</v>
      </c>
      <c r="V403" s="816">
        <f t="shared" ref="V403" si="903">W403+X403</f>
        <v>0</v>
      </c>
      <c r="W403" s="814">
        <v>0</v>
      </c>
      <c r="X403" s="814">
        <v>0</v>
      </c>
    </row>
    <row r="404" spans="1:24" ht="14.25" hidden="1" customHeight="1">
      <c r="A404" s="820"/>
      <c r="B404" s="821"/>
      <c r="C404" s="849"/>
      <c r="D404" s="823"/>
      <c r="E404" s="819"/>
      <c r="F404" s="819"/>
      <c r="G404" s="819"/>
      <c r="H404" s="411" t="s">
        <v>210</v>
      </c>
      <c r="I404" s="411" t="s">
        <v>210</v>
      </c>
      <c r="J404" s="818"/>
      <c r="K404" s="816"/>
      <c r="L404" s="816"/>
      <c r="M404" s="814"/>
      <c r="N404" s="814"/>
      <c r="O404" s="816"/>
      <c r="P404" s="816"/>
      <c r="Q404" s="814"/>
      <c r="R404" s="814"/>
      <c r="S404" s="816"/>
      <c r="T404" s="814"/>
      <c r="U404" s="814"/>
      <c r="V404" s="816"/>
      <c r="W404" s="814"/>
      <c r="X404" s="814"/>
    </row>
    <row r="405" spans="1:24" ht="14.25" hidden="1" customHeight="1">
      <c r="A405" s="820"/>
      <c r="B405" s="821"/>
      <c r="C405" s="849"/>
      <c r="D405" s="823"/>
      <c r="E405" s="819"/>
      <c r="F405" s="819"/>
      <c r="G405" s="819"/>
      <c r="H405" s="411" t="s">
        <v>210</v>
      </c>
      <c r="I405" s="411" t="s">
        <v>210</v>
      </c>
      <c r="J405" s="411" t="s">
        <v>6</v>
      </c>
      <c r="K405" s="413">
        <f t="shared" ref="K405" si="904">L405+O405</f>
        <v>0</v>
      </c>
      <c r="L405" s="413">
        <f t="shared" ref="L405" si="905">M405+N405</f>
        <v>0</v>
      </c>
      <c r="M405" s="414">
        <v>0</v>
      </c>
      <c r="N405" s="414">
        <v>0</v>
      </c>
      <c r="O405" s="413">
        <f t="shared" ref="O405" si="906">P405+S405+V405</f>
        <v>0</v>
      </c>
      <c r="P405" s="413">
        <f t="shared" ref="P405" si="907">Q405+R405</f>
        <v>0</v>
      </c>
      <c r="Q405" s="414">
        <v>0</v>
      </c>
      <c r="R405" s="414">
        <v>0</v>
      </c>
      <c r="S405" s="413">
        <f t="shared" ref="S405" si="908">T405+U405</f>
        <v>0</v>
      </c>
      <c r="T405" s="414">
        <v>0</v>
      </c>
      <c r="U405" s="414">
        <v>0</v>
      </c>
      <c r="V405" s="413">
        <f t="shared" ref="V405" si="909">W405+X405</f>
        <v>0</v>
      </c>
      <c r="W405" s="414">
        <v>0</v>
      </c>
      <c r="X405" s="414">
        <v>0</v>
      </c>
    </row>
    <row r="406" spans="1:24" ht="14.25" hidden="1" customHeight="1">
      <c r="A406" s="820"/>
      <c r="B406" s="821"/>
      <c r="C406" s="849"/>
      <c r="D406" s="823"/>
      <c r="E406" s="819"/>
      <c r="F406" s="819"/>
      <c r="G406" s="819"/>
      <c r="H406" s="411" t="s">
        <v>210</v>
      </c>
      <c r="I406" s="411" t="s">
        <v>210</v>
      </c>
      <c r="J406" s="817" t="s">
        <v>7</v>
      </c>
      <c r="K406" s="816">
        <f t="shared" ref="K406:X406" si="910">K403+K405</f>
        <v>446832</v>
      </c>
      <c r="L406" s="816">
        <f t="shared" si="910"/>
        <v>0</v>
      </c>
      <c r="M406" s="814">
        <f t="shared" si="910"/>
        <v>0</v>
      </c>
      <c r="N406" s="814">
        <f t="shared" si="910"/>
        <v>0</v>
      </c>
      <c r="O406" s="816">
        <f t="shared" si="910"/>
        <v>446832</v>
      </c>
      <c r="P406" s="816">
        <f t="shared" si="910"/>
        <v>446832</v>
      </c>
      <c r="Q406" s="814">
        <f t="shared" si="910"/>
        <v>0</v>
      </c>
      <c r="R406" s="814">
        <f t="shared" si="910"/>
        <v>446832</v>
      </c>
      <c r="S406" s="816">
        <f t="shared" si="910"/>
        <v>0</v>
      </c>
      <c r="T406" s="814">
        <f t="shared" si="910"/>
        <v>0</v>
      </c>
      <c r="U406" s="814">
        <f t="shared" si="910"/>
        <v>0</v>
      </c>
      <c r="V406" s="816">
        <f t="shared" si="910"/>
        <v>0</v>
      </c>
      <c r="W406" s="814">
        <f t="shared" si="910"/>
        <v>0</v>
      </c>
      <c r="X406" s="814">
        <f t="shared" si="910"/>
        <v>0</v>
      </c>
    </row>
    <row r="407" spans="1:24" ht="14.25" hidden="1" customHeight="1">
      <c r="A407" s="820"/>
      <c r="B407" s="821"/>
      <c r="C407" s="850"/>
      <c r="D407" s="823"/>
      <c r="E407" s="819"/>
      <c r="F407" s="819"/>
      <c r="G407" s="819"/>
      <c r="H407" s="411" t="s">
        <v>210</v>
      </c>
      <c r="I407" s="411" t="s">
        <v>210</v>
      </c>
      <c r="J407" s="818"/>
      <c r="K407" s="816"/>
      <c r="L407" s="816"/>
      <c r="M407" s="814"/>
      <c r="N407" s="814"/>
      <c r="O407" s="816"/>
      <c r="P407" s="816"/>
      <c r="Q407" s="814"/>
      <c r="R407" s="814"/>
      <c r="S407" s="816"/>
      <c r="T407" s="814"/>
      <c r="U407" s="814"/>
      <c r="V407" s="816"/>
      <c r="W407" s="814"/>
      <c r="X407" s="814"/>
    </row>
    <row r="408" spans="1:24" ht="15.6" hidden="1" customHeight="1">
      <c r="A408" s="820">
        <v>1</v>
      </c>
      <c r="B408" s="847" t="s">
        <v>553</v>
      </c>
      <c r="C408" s="848" t="s">
        <v>808</v>
      </c>
      <c r="D408" s="823" t="s">
        <v>809</v>
      </c>
      <c r="E408" s="819" t="s">
        <v>624</v>
      </c>
      <c r="F408" s="819" t="s">
        <v>810</v>
      </c>
      <c r="G408" s="819" t="s">
        <v>802</v>
      </c>
      <c r="H408" s="411" t="s">
        <v>210</v>
      </c>
      <c r="I408" s="411" t="s">
        <v>210</v>
      </c>
      <c r="J408" s="817" t="s">
        <v>5</v>
      </c>
      <c r="K408" s="816">
        <f t="shared" ref="K408" si="911">L408+O408</f>
        <v>1037995</v>
      </c>
      <c r="L408" s="816">
        <f t="shared" ref="L408" si="912">M408+N408</f>
        <v>0</v>
      </c>
      <c r="M408" s="814">
        <v>0</v>
      </c>
      <c r="N408" s="814">
        <v>0</v>
      </c>
      <c r="O408" s="816">
        <f t="shared" ref="O408" si="913">P408+S408+V408</f>
        <v>1037995</v>
      </c>
      <c r="P408" s="816">
        <f t="shared" ref="P408" si="914">Q408+R408</f>
        <v>1037995</v>
      </c>
      <c r="Q408" s="814">
        <v>0</v>
      </c>
      <c r="R408" s="814">
        <v>1037995</v>
      </c>
      <c r="S408" s="816">
        <f t="shared" ref="S408" si="915">T408+U408</f>
        <v>0</v>
      </c>
      <c r="T408" s="814">
        <v>0</v>
      </c>
      <c r="U408" s="814">
        <v>0</v>
      </c>
      <c r="V408" s="816">
        <f t="shared" ref="V408" si="916">W408+X408</f>
        <v>0</v>
      </c>
      <c r="W408" s="814">
        <v>0</v>
      </c>
      <c r="X408" s="814">
        <v>0</v>
      </c>
    </row>
    <row r="409" spans="1:24" ht="15.6" hidden="1" customHeight="1">
      <c r="A409" s="820"/>
      <c r="B409" s="847"/>
      <c r="C409" s="849"/>
      <c r="D409" s="823"/>
      <c r="E409" s="819"/>
      <c r="F409" s="819"/>
      <c r="G409" s="819"/>
      <c r="H409" s="411" t="s">
        <v>210</v>
      </c>
      <c r="I409" s="411" t="s">
        <v>210</v>
      </c>
      <c r="J409" s="818"/>
      <c r="K409" s="816"/>
      <c r="L409" s="816"/>
      <c r="M409" s="814"/>
      <c r="N409" s="814"/>
      <c r="O409" s="816"/>
      <c r="P409" s="816"/>
      <c r="Q409" s="814"/>
      <c r="R409" s="814"/>
      <c r="S409" s="816"/>
      <c r="T409" s="814"/>
      <c r="U409" s="814"/>
      <c r="V409" s="816"/>
      <c r="W409" s="814"/>
      <c r="X409" s="814"/>
    </row>
    <row r="410" spans="1:24" ht="15.6" hidden="1" customHeight="1">
      <c r="A410" s="820"/>
      <c r="B410" s="847"/>
      <c r="C410" s="849"/>
      <c r="D410" s="823"/>
      <c r="E410" s="819"/>
      <c r="F410" s="819"/>
      <c r="G410" s="819"/>
      <c r="H410" s="411" t="s">
        <v>210</v>
      </c>
      <c r="I410" s="411" t="s">
        <v>210</v>
      </c>
      <c r="J410" s="411" t="s">
        <v>6</v>
      </c>
      <c r="K410" s="413">
        <f t="shared" ref="K410" si="917">L410+O410</f>
        <v>0</v>
      </c>
      <c r="L410" s="413">
        <f t="shared" ref="L410" si="918">M410+N410</f>
        <v>0</v>
      </c>
      <c r="M410" s="414">
        <v>0</v>
      </c>
      <c r="N410" s="414">
        <v>0</v>
      </c>
      <c r="O410" s="413">
        <f t="shared" ref="O410" si="919">P410+S410+V410</f>
        <v>0</v>
      </c>
      <c r="P410" s="413">
        <f t="shared" ref="P410" si="920">Q410+R410</f>
        <v>0</v>
      </c>
      <c r="Q410" s="414">
        <v>0</v>
      </c>
      <c r="R410" s="414">
        <v>0</v>
      </c>
      <c r="S410" s="413">
        <f t="shared" ref="S410" si="921">T410+U410</f>
        <v>0</v>
      </c>
      <c r="T410" s="414">
        <v>0</v>
      </c>
      <c r="U410" s="414">
        <v>0</v>
      </c>
      <c r="V410" s="413">
        <f t="shared" ref="V410" si="922">W410+X410</f>
        <v>0</v>
      </c>
      <c r="W410" s="414">
        <v>0</v>
      </c>
      <c r="X410" s="414">
        <v>0</v>
      </c>
    </row>
    <row r="411" spans="1:24" ht="15.6" hidden="1" customHeight="1">
      <c r="A411" s="820"/>
      <c r="B411" s="847"/>
      <c r="C411" s="849"/>
      <c r="D411" s="823"/>
      <c r="E411" s="819"/>
      <c r="F411" s="819"/>
      <c r="G411" s="819"/>
      <c r="H411" s="411" t="s">
        <v>210</v>
      </c>
      <c r="I411" s="411" t="s">
        <v>210</v>
      </c>
      <c r="J411" s="817" t="s">
        <v>7</v>
      </c>
      <c r="K411" s="816">
        <f t="shared" ref="K411:X411" si="923">K408+K410</f>
        <v>1037995</v>
      </c>
      <c r="L411" s="816">
        <f t="shared" si="923"/>
        <v>0</v>
      </c>
      <c r="M411" s="814">
        <f t="shared" si="923"/>
        <v>0</v>
      </c>
      <c r="N411" s="814">
        <f t="shared" si="923"/>
        <v>0</v>
      </c>
      <c r="O411" s="816">
        <f t="shared" si="923"/>
        <v>1037995</v>
      </c>
      <c r="P411" s="816">
        <f t="shared" si="923"/>
        <v>1037995</v>
      </c>
      <c r="Q411" s="814">
        <f t="shared" si="923"/>
        <v>0</v>
      </c>
      <c r="R411" s="814">
        <f t="shared" si="923"/>
        <v>1037995</v>
      </c>
      <c r="S411" s="816">
        <f t="shared" si="923"/>
        <v>0</v>
      </c>
      <c r="T411" s="814">
        <f t="shared" si="923"/>
        <v>0</v>
      </c>
      <c r="U411" s="814">
        <f t="shared" si="923"/>
        <v>0</v>
      </c>
      <c r="V411" s="816">
        <f t="shared" si="923"/>
        <v>0</v>
      </c>
      <c r="W411" s="814">
        <f t="shared" si="923"/>
        <v>0</v>
      </c>
      <c r="X411" s="814">
        <f t="shared" si="923"/>
        <v>0</v>
      </c>
    </row>
    <row r="412" spans="1:24" ht="15.6" hidden="1" customHeight="1">
      <c r="A412" s="820"/>
      <c r="B412" s="847"/>
      <c r="C412" s="850"/>
      <c r="D412" s="823"/>
      <c r="E412" s="819"/>
      <c r="F412" s="819"/>
      <c r="G412" s="819"/>
      <c r="H412" s="411" t="s">
        <v>210</v>
      </c>
      <c r="I412" s="411" t="s">
        <v>210</v>
      </c>
      <c r="J412" s="818"/>
      <c r="K412" s="816"/>
      <c r="L412" s="816"/>
      <c r="M412" s="814"/>
      <c r="N412" s="814"/>
      <c r="O412" s="816"/>
      <c r="P412" s="816"/>
      <c r="Q412" s="814"/>
      <c r="R412" s="814"/>
      <c r="S412" s="816"/>
      <c r="T412" s="814"/>
      <c r="U412" s="814"/>
      <c r="V412" s="816"/>
      <c r="W412" s="814"/>
      <c r="X412" s="814"/>
    </row>
    <row r="413" spans="1:24" ht="15.6" hidden="1" customHeight="1">
      <c r="A413" s="820">
        <v>3</v>
      </c>
      <c r="B413" s="847" t="s">
        <v>811</v>
      </c>
      <c r="C413" s="848" t="s">
        <v>812</v>
      </c>
      <c r="D413" s="823" t="s">
        <v>813</v>
      </c>
      <c r="E413" s="819" t="s">
        <v>624</v>
      </c>
      <c r="F413" s="819" t="s">
        <v>814</v>
      </c>
      <c r="G413" s="819" t="s">
        <v>802</v>
      </c>
      <c r="H413" s="411" t="s">
        <v>210</v>
      </c>
      <c r="I413" s="411" t="s">
        <v>210</v>
      </c>
      <c r="J413" s="817" t="s">
        <v>5</v>
      </c>
      <c r="K413" s="816">
        <f t="shared" ref="K413" si="924">L413+O413</f>
        <v>60878</v>
      </c>
      <c r="L413" s="816">
        <f t="shared" ref="L413" si="925">M413+N413</f>
        <v>0</v>
      </c>
      <c r="M413" s="814">
        <v>0</v>
      </c>
      <c r="N413" s="814">
        <v>0</v>
      </c>
      <c r="O413" s="816">
        <f t="shared" ref="O413" si="926">P413+S413+V413</f>
        <v>60878</v>
      </c>
      <c r="P413" s="816">
        <f t="shared" ref="P413" si="927">Q413+R413</f>
        <v>60878</v>
      </c>
      <c r="Q413" s="814">
        <v>0</v>
      </c>
      <c r="R413" s="814">
        <v>60878</v>
      </c>
      <c r="S413" s="816">
        <f t="shared" ref="S413" si="928">T413+U413</f>
        <v>0</v>
      </c>
      <c r="T413" s="814">
        <v>0</v>
      </c>
      <c r="U413" s="814">
        <v>0</v>
      </c>
      <c r="V413" s="816">
        <f t="shared" ref="V413" si="929">W413+X413</f>
        <v>0</v>
      </c>
      <c r="W413" s="814">
        <v>0</v>
      </c>
      <c r="X413" s="814">
        <v>0</v>
      </c>
    </row>
    <row r="414" spans="1:24" ht="15.6" hidden="1" customHeight="1">
      <c r="A414" s="820"/>
      <c r="B414" s="847"/>
      <c r="C414" s="849"/>
      <c r="D414" s="823"/>
      <c r="E414" s="819"/>
      <c r="F414" s="819"/>
      <c r="G414" s="819"/>
      <c r="H414" s="411" t="s">
        <v>210</v>
      </c>
      <c r="I414" s="411" t="s">
        <v>210</v>
      </c>
      <c r="J414" s="818"/>
      <c r="K414" s="816"/>
      <c r="L414" s="816"/>
      <c r="M414" s="814"/>
      <c r="N414" s="814"/>
      <c r="O414" s="816"/>
      <c r="P414" s="816"/>
      <c r="Q414" s="814"/>
      <c r="R414" s="814"/>
      <c r="S414" s="816"/>
      <c r="T414" s="814"/>
      <c r="U414" s="814"/>
      <c r="V414" s="816"/>
      <c r="W414" s="814"/>
      <c r="X414" s="814"/>
    </row>
    <row r="415" spans="1:24" ht="15.6" hidden="1" customHeight="1">
      <c r="A415" s="820"/>
      <c r="B415" s="847"/>
      <c r="C415" s="849"/>
      <c r="D415" s="823"/>
      <c r="E415" s="819"/>
      <c r="F415" s="819"/>
      <c r="G415" s="819"/>
      <c r="H415" s="411" t="s">
        <v>210</v>
      </c>
      <c r="I415" s="411" t="s">
        <v>210</v>
      </c>
      <c r="J415" s="411" t="s">
        <v>6</v>
      </c>
      <c r="K415" s="413">
        <f t="shared" ref="K415" si="930">L415+O415</f>
        <v>0</v>
      </c>
      <c r="L415" s="413">
        <f t="shared" ref="L415" si="931">M415+N415</f>
        <v>0</v>
      </c>
      <c r="M415" s="414">
        <v>0</v>
      </c>
      <c r="N415" s="414">
        <v>0</v>
      </c>
      <c r="O415" s="413">
        <f t="shared" ref="O415" si="932">P415+S415+V415</f>
        <v>0</v>
      </c>
      <c r="P415" s="413">
        <f t="shared" ref="P415" si="933">Q415+R415</f>
        <v>0</v>
      </c>
      <c r="Q415" s="414">
        <v>0</v>
      </c>
      <c r="R415" s="414">
        <v>0</v>
      </c>
      <c r="S415" s="413">
        <f t="shared" ref="S415" si="934">T415+U415</f>
        <v>0</v>
      </c>
      <c r="T415" s="414">
        <v>0</v>
      </c>
      <c r="U415" s="414">
        <v>0</v>
      </c>
      <c r="V415" s="413">
        <f t="shared" ref="V415" si="935">W415+X415</f>
        <v>0</v>
      </c>
      <c r="W415" s="414">
        <v>0</v>
      </c>
      <c r="X415" s="414">
        <v>0</v>
      </c>
    </row>
    <row r="416" spans="1:24" ht="15.6" hidden="1" customHeight="1">
      <c r="A416" s="820"/>
      <c r="B416" s="847"/>
      <c r="C416" s="849"/>
      <c r="D416" s="823"/>
      <c r="E416" s="819"/>
      <c r="F416" s="819"/>
      <c r="G416" s="819"/>
      <c r="H416" s="411" t="s">
        <v>210</v>
      </c>
      <c r="I416" s="411" t="s">
        <v>210</v>
      </c>
      <c r="J416" s="817" t="s">
        <v>7</v>
      </c>
      <c r="K416" s="816">
        <f t="shared" ref="K416:X416" si="936">K413+K415</f>
        <v>60878</v>
      </c>
      <c r="L416" s="816">
        <f t="shared" si="936"/>
        <v>0</v>
      </c>
      <c r="M416" s="814">
        <f t="shared" si="936"/>
        <v>0</v>
      </c>
      <c r="N416" s="814">
        <f t="shared" si="936"/>
        <v>0</v>
      </c>
      <c r="O416" s="816">
        <f t="shared" si="936"/>
        <v>60878</v>
      </c>
      <c r="P416" s="816">
        <f t="shared" si="936"/>
        <v>60878</v>
      </c>
      <c r="Q416" s="814">
        <f t="shared" si="936"/>
        <v>0</v>
      </c>
      <c r="R416" s="814">
        <f t="shared" si="936"/>
        <v>60878</v>
      </c>
      <c r="S416" s="816">
        <f t="shared" si="936"/>
        <v>0</v>
      </c>
      <c r="T416" s="814">
        <f t="shared" si="936"/>
        <v>0</v>
      </c>
      <c r="U416" s="814">
        <f t="shared" si="936"/>
        <v>0</v>
      </c>
      <c r="V416" s="816">
        <f t="shared" si="936"/>
        <v>0</v>
      </c>
      <c r="W416" s="814">
        <f t="shared" si="936"/>
        <v>0</v>
      </c>
      <c r="X416" s="814">
        <f t="shared" si="936"/>
        <v>0</v>
      </c>
    </row>
    <row r="417" spans="1:24" ht="15.6" hidden="1" customHeight="1">
      <c r="A417" s="820"/>
      <c r="B417" s="847"/>
      <c r="C417" s="850"/>
      <c r="D417" s="823"/>
      <c r="E417" s="819"/>
      <c r="F417" s="819"/>
      <c r="G417" s="819"/>
      <c r="H417" s="411" t="s">
        <v>210</v>
      </c>
      <c r="I417" s="411" t="s">
        <v>210</v>
      </c>
      <c r="J417" s="818"/>
      <c r="K417" s="816"/>
      <c r="L417" s="816"/>
      <c r="M417" s="814"/>
      <c r="N417" s="814"/>
      <c r="O417" s="816"/>
      <c r="P417" s="816"/>
      <c r="Q417" s="814"/>
      <c r="R417" s="814"/>
      <c r="S417" s="816"/>
      <c r="T417" s="814"/>
      <c r="U417" s="814"/>
      <c r="V417" s="816"/>
      <c r="W417" s="814"/>
      <c r="X417" s="814"/>
    </row>
    <row r="418" spans="1:24" ht="15.6" hidden="1" customHeight="1">
      <c r="A418" s="820">
        <v>2</v>
      </c>
      <c r="B418" s="821" t="s">
        <v>704</v>
      </c>
      <c r="C418" s="848" t="s">
        <v>815</v>
      </c>
      <c r="D418" s="823" t="s">
        <v>816</v>
      </c>
      <c r="E418" s="819" t="s">
        <v>624</v>
      </c>
      <c r="F418" s="819" t="s">
        <v>817</v>
      </c>
      <c r="G418" s="819" t="s">
        <v>802</v>
      </c>
      <c r="H418" s="411" t="s">
        <v>210</v>
      </c>
      <c r="I418" s="411" t="s">
        <v>210</v>
      </c>
      <c r="J418" s="817" t="s">
        <v>5</v>
      </c>
      <c r="K418" s="816">
        <f t="shared" ref="K418" si="937">L418+O418</f>
        <v>23171692</v>
      </c>
      <c r="L418" s="816">
        <f t="shared" ref="L418" si="938">M418+N418</f>
        <v>0</v>
      </c>
      <c r="M418" s="814">
        <v>0</v>
      </c>
      <c r="N418" s="814">
        <v>0</v>
      </c>
      <c r="O418" s="816">
        <f t="shared" ref="O418" si="939">P418+S418+V418</f>
        <v>23171692</v>
      </c>
      <c r="P418" s="816">
        <f t="shared" ref="P418" si="940">Q418+R418</f>
        <v>23171692</v>
      </c>
      <c r="Q418" s="814">
        <v>213463</v>
      </c>
      <c r="R418" s="814">
        <v>22958229</v>
      </c>
      <c r="S418" s="816">
        <f t="shared" ref="S418" si="941">T418+U418</f>
        <v>0</v>
      </c>
      <c r="T418" s="814">
        <v>0</v>
      </c>
      <c r="U418" s="814">
        <v>0</v>
      </c>
      <c r="V418" s="816">
        <f t="shared" ref="V418" si="942">W418+X418</f>
        <v>0</v>
      </c>
      <c r="W418" s="814">
        <v>0</v>
      </c>
      <c r="X418" s="814">
        <v>0</v>
      </c>
    </row>
    <row r="419" spans="1:24" ht="15.6" hidden="1" customHeight="1">
      <c r="A419" s="820"/>
      <c r="B419" s="821"/>
      <c r="C419" s="849"/>
      <c r="D419" s="823"/>
      <c r="E419" s="819"/>
      <c r="F419" s="819"/>
      <c r="G419" s="819"/>
      <c r="H419" s="411" t="s">
        <v>210</v>
      </c>
      <c r="I419" s="411" t="s">
        <v>210</v>
      </c>
      <c r="J419" s="818"/>
      <c r="K419" s="816"/>
      <c r="L419" s="816"/>
      <c r="M419" s="814"/>
      <c r="N419" s="814"/>
      <c r="O419" s="816"/>
      <c r="P419" s="816"/>
      <c r="Q419" s="814"/>
      <c r="R419" s="814"/>
      <c r="S419" s="816"/>
      <c r="T419" s="814"/>
      <c r="U419" s="814"/>
      <c r="V419" s="816"/>
      <c r="W419" s="814"/>
      <c r="X419" s="814"/>
    </row>
    <row r="420" spans="1:24" ht="15.6" hidden="1" customHeight="1">
      <c r="A420" s="820"/>
      <c r="B420" s="821"/>
      <c r="C420" s="849"/>
      <c r="D420" s="823"/>
      <c r="E420" s="819"/>
      <c r="F420" s="819"/>
      <c r="G420" s="819"/>
      <c r="H420" s="411" t="s">
        <v>210</v>
      </c>
      <c r="I420" s="411" t="s">
        <v>210</v>
      </c>
      <c r="J420" s="411" t="s">
        <v>6</v>
      </c>
      <c r="K420" s="413">
        <f t="shared" ref="K420" si="943">L420+O420</f>
        <v>0</v>
      </c>
      <c r="L420" s="413">
        <f t="shared" ref="L420" si="944">M420+N420</f>
        <v>0</v>
      </c>
      <c r="M420" s="414">
        <v>0</v>
      </c>
      <c r="N420" s="414">
        <v>0</v>
      </c>
      <c r="O420" s="413">
        <f t="shared" ref="O420" si="945">P420+S420+V420</f>
        <v>0</v>
      </c>
      <c r="P420" s="413">
        <f t="shared" ref="P420" si="946">Q420+R420</f>
        <v>0</v>
      </c>
      <c r="Q420" s="414">
        <v>0</v>
      </c>
      <c r="R420" s="414">
        <v>0</v>
      </c>
      <c r="S420" s="413">
        <f t="shared" ref="S420" si="947">T420+U420</f>
        <v>0</v>
      </c>
      <c r="T420" s="414">
        <v>0</v>
      </c>
      <c r="U420" s="414">
        <v>0</v>
      </c>
      <c r="V420" s="413">
        <f t="shared" ref="V420" si="948">W420+X420</f>
        <v>0</v>
      </c>
      <c r="W420" s="414">
        <v>0</v>
      </c>
      <c r="X420" s="414">
        <v>0</v>
      </c>
    </row>
    <row r="421" spans="1:24" ht="15.6" hidden="1" customHeight="1">
      <c r="A421" s="820"/>
      <c r="B421" s="821"/>
      <c r="C421" s="849"/>
      <c r="D421" s="823"/>
      <c r="E421" s="819"/>
      <c r="F421" s="819"/>
      <c r="G421" s="819"/>
      <c r="H421" s="411" t="s">
        <v>210</v>
      </c>
      <c r="I421" s="411" t="s">
        <v>210</v>
      </c>
      <c r="J421" s="817" t="s">
        <v>7</v>
      </c>
      <c r="K421" s="816">
        <f t="shared" ref="K421:X421" si="949">K418+K420</f>
        <v>23171692</v>
      </c>
      <c r="L421" s="816">
        <f t="shared" si="949"/>
        <v>0</v>
      </c>
      <c r="M421" s="814">
        <f t="shared" si="949"/>
        <v>0</v>
      </c>
      <c r="N421" s="814">
        <f t="shared" si="949"/>
        <v>0</v>
      </c>
      <c r="O421" s="816">
        <f t="shared" si="949"/>
        <v>23171692</v>
      </c>
      <c r="P421" s="816">
        <f t="shared" si="949"/>
        <v>23171692</v>
      </c>
      <c r="Q421" s="814">
        <f t="shared" si="949"/>
        <v>213463</v>
      </c>
      <c r="R421" s="814">
        <f t="shared" si="949"/>
        <v>22958229</v>
      </c>
      <c r="S421" s="816">
        <f t="shared" si="949"/>
        <v>0</v>
      </c>
      <c r="T421" s="814">
        <f t="shared" si="949"/>
        <v>0</v>
      </c>
      <c r="U421" s="814">
        <f t="shared" si="949"/>
        <v>0</v>
      </c>
      <c r="V421" s="816">
        <f t="shared" si="949"/>
        <v>0</v>
      </c>
      <c r="W421" s="814">
        <f t="shared" si="949"/>
        <v>0</v>
      </c>
      <c r="X421" s="814">
        <f t="shared" si="949"/>
        <v>0</v>
      </c>
    </row>
    <row r="422" spans="1:24" ht="15.6" hidden="1" customHeight="1">
      <c r="A422" s="820"/>
      <c r="B422" s="821"/>
      <c r="C422" s="850"/>
      <c r="D422" s="823"/>
      <c r="E422" s="819"/>
      <c r="F422" s="819"/>
      <c r="G422" s="819"/>
      <c r="H422" s="411" t="s">
        <v>210</v>
      </c>
      <c r="I422" s="411" t="s">
        <v>210</v>
      </c>
      <c r="J422" s="818"/>
      <c r="K422" s="816"/>
      <c r="L422" s="816"/>
      <c r="M422" s="814"/>
      <c r="N422" s="814"/>
      <c r="O422" s="816"/>
      <c r="P422" s="816"/>
      <c r="Q422" s="814"/>
      <c r="R422" s="814"/>
      <c r="S422" s="816"/>
      <c r="T422" s="814"/>
      <c r="U422" s="814"/>
      <c r="V422" s="816"/>
      <c r="W422" s="814"/>
      <c r="X422" s="814"/>
    </row>
    <row r="423" spans="1:24" ht="15.6" hidden="1" customHeight="1">
      <c r="A423" s="820">
        <v>3</v>
      </c>
      <c r="B423" s="821" t="s">
        <v>818</v>
      </c>
      <c r="C423" s="848" t="s">
        <v>819</v>
      </c>
      <c r="D423" s="823" t="s">
        <v>820</v>
      </c>
      <c r="E423" s="819" t="s">
        <v>624</v>
      </c>
      <c r="F423" s="819" t="s">
        <v>738</v>
      </c>
      <c r="G423" s="819" t="s">
        <v>802</v>
      </c>
      <c r="H423" s="411" t="s">
        <v>210</v>
      </c>
      <c r="I423" s="411" t="s">
        <v>210</v>
      </c>
      <c r="J423" s="817" t="s">
        <v>5</v>
      </c>
      <c r="K423" s="816">
        <f t="shared" ref="K423" si="950">L423+O423</f>
        <v>698851</v>
      </c>
      <c r="L423" s="816">
        <f t="shared" ref="L423" si="951">M423+N423</f>
        <v>0</v>
      </c>
      <c r="M423" s="814">
        <v>0</v>
      </c>
      <c r="N423" s="814">
        <v>0</v>
      </c>
      <c r="O423" s="816">
        <f t="shared" ref="O423" si="952">P423+S423+V423</f>
        <v>698851</v>
      </c>
      <c r="P423" s="816">
        <f t="shared" ref="P423" si="953">Q423+R423</f>
        <v>698851</v>
      </c>
      <c r="Q423" s="814">
        <v>11591</v>
      </c>
      <c r="R423" s="814">
        <v>687260</v>
      </c>
      <c r="S423" s="816">
        <f t="shared" ref="S423" si="954">T423+U423</f>
        <v>0</v>
      </c>
      <c r="T423" s="814">
        <v>0</v>
      </c>
      <c r="U423" s="814">
        <v>0</v>
      </c>
      <c r="V423" s="816">
        <f t="shared" ref="V423" si="955">W423+X423</f>
        <v>0</v>
      </c>
      <c r="W423" s="814">
        <v>0</v>
      </c>
      <c r="X423" s="814">
        <v>0</v>
      </c>
    </row>
    <row r="424" spans="1:24" ht="15.6" hidden="1" customHeight="1">
      <c r="A424" s="820"/>
      <c r="B424" s="821"/>
      <c r="C424" s="849"/>
      <c r="D424" s="823"/>
      <c r="E424" s="819"/>
      <c r="F424" s="819"/>
      <c r="G424" s="819"/>
      <c r="H424" s="411" t="s">
        <v>210</v>
      </c>
      <c r="I424" s="411" t="s">
        <v>210</v>
      </c>
      <c r="J424" s="818"/>
      <c r="K424" s="816"/>
      <c r="L424" s="816"/>
      <c r="M424" s="814"/>
      <c r="N424" s="814"/>
      <c r="O424" s="816"/>
      <c r="P424" s="816"/>
      <c r="Q424" s="814"/>
      <c r="R424" s="814"/>
      <c r="S424" s="816"/>
      <c r="T424" s="814"/>
      <c r="U424" s="814"/>
      <c r="V424" s="816"/>
      <c r="W424" s="814"/>
      <c r="X424" s="814"/>
    </row>
    <row r="425" spans="1:24" ht="15.6" hidden="1" customHeight="1">
      <c r="A425" s="820"/>
      <c r="B425" s="821"/>
      <c r="C425" s="849"/>
      <c r="D425" s="823"/>
      <c r="E425" s="819"/>
      <c r="F425" s="819"/>
      <c r="G425" s="819"/>
      <c r="H425" s="411" t="s">
        <v>210</v>
      </c>
      <c r="I425" s="411" t="s">
        <v>210</v>
      </c>
      <c r="J425" s="411" t="s">
        <v>6</v>
      </c>
      <c r="K425" s="413">
        <f t="shared" ref="K425" si="956">L425+O425</f>
        <v>0</v>
      </c>
      <c r="L425" s="413">
        <f t="shared" ref="L425" si="957">M425+N425</f>
        <v>0</v>
      </c>
      <c r="M425" s="414">
        <v>0</v>
      </c>
      <c r="N425" s="414">
        <v>0</v>
      </c>
      <c r="O425" s="413">
        <f t="shared" ref="O425" si="958">P425+S425+V425</f>
        <v>0</v>
      </c>
      <c r="P425" s="413">
        <f t="shared" ref="P425" si="959">Q425+R425</f>
        <v>0</v>
      </c>
      <c r="Q425" s="414">
        <v>0</v>
      </c>
      <c r="R425" s="414">
        <v>0</v>
      </c>
      <c r="S425" s="413">
        <f t="shared" ref="S425" si="960">T425+U425</f>
        <v>0</v>
      </c>
      <c r="T425" s="414">
        <v>0</v>
      </c>
      <c r="U425" s="414">
        <v>0</v>
      </c>
      <c r="V425" s="413">
        <f t="shared" ref="V425" si="961">W425+X425</f>
        <v>0</v>
      </c>
      <c r="W425" s="414">
        <v>0</v>
      </c>
      <c r="X425" s="414">
        <v>0</v>
      </c>
    </row>
    <row r="426" spans="1:24" ht="15.6" hidden="1" customHeight="1">
      <c r="A426" s="820"/>
      <c r="B426" s="821"/>
      <c r="C426" s="849"/>
      <c r="D426" s="823"/>
      <c r="E426" s="819"/>
      <c r="F426" s="819"/>
      <c r="G426" s="819"/>
      <c r="H426" s="411" t="s">
        <v>210</v>
      </c>
      <c r="I426" s="411" t="s">
        <v>210</v>
      </c>
      <c r="J426" s="817" t="s">
        <v>7</v>
      </c>
      <c r="K426" s="816">
        <f t="shared" ref="K426:X426" si="962">K423+K425</f>
        <v>698851</v>
      </c>
      <c r="L426" s="816">
        <f t="shared" si="962"/>
        <v>0</v>
      </c>
      <c r="M426" s="814">
        <f t="shared" si="962"/>
        <v>0</v>
      </c>
      <c r="N426" s="814">
        <f t="shared" si="962"/>
        <v>0</v>
      </c>
      <c r="O426" s="816">
        <f t="shared" si="962"/>
        <v>698851</v>
      </c>
      <c r="P426" s="816">
        <f t="shared" si="962"/>
        <v>698851</v>
      </c>
      <c r="Q426" s="814">
        <f t="shared" si="962"/>
        <v>11591</v>
      </c>
      <c r="R426" s="814">
        <f t="shared" si="962"/>
        <v>687260</v>
      </c>
      <c r="S426" s="816">
        <f t="shared" si="962"/>
        <v>0</v>
      </c>
      <c r="T426" s="814">
        <f t="shared" si="962"/>
        <v>0</v>
      </c>
      <c r="U426" s="814">
        <f t="shared" si="962"/>
        <v>0</v>
      </c>
      <c r="V426" s="816">
        <f t="shared" si="962"/>
        <v>0</v>
      </c>
      <c r="W426" s="814">
        <f t="shared" si="962"/>
        <v>0</v>
      </c>
      <c r="X426" s="814">
        <f t="shared" si="962"/>
        <v>0</v>
      </c>
    </row>
    <row r="427" spans="1:24" ht="15.6" hidden="1" customHeight="1">
      <c r="A427" s="820"/>
      <c r="B427" s="821"/>
      <c r="C427" s="850"/>
      <c r="D427" s="823"/>
      <c r="E427" s="819"/>
      <c r="F427" s="819"/>
      <c r="G427" s="819"/>
      <c r="H427" s="411" t="s">
        <v>210</v>
      </c>
      <c r="I427" s="411" t="s">
        <v>210</v>
      </c>
      <c r="J427" s="818"/>
      <c r="K427" s="816"/>
      <c r="L427" s="816"/>
      <c r="M427" s="814"/>
      <c r="N427" s="814"/>
      <c r="O427" s="816"/>
      <c r="P427" s="816"/>
      <c r="Q427" s="814"/>
      <c r="R427" s="814"/>
      <c r="S427" s="816"/>
      <c r="T427" s="814"/>
      <c r="U427" s="814"/>
      <c r="V427" s="816"/>
      <c r="W427" s="814"/>
      <c r="X427" s="814"/>
    </row>
    <row r="428" spans="1:24" ht="15.6" hidden="1" customHeight="1">
      <c r="A428" s="820">
        <v>6</v>
      </c>
      <c r="B428" s="821" t="s">
        <v>821</v>
      </c>
      <c r="C428" s="848" t="s">
        <v>822</v>
      </c>
      <c r="D428" s="823" t="s">
        <v>823</v>
      </c>
      <c r="E428" s="819" t="s">
        <v>624</v>
      </c>
      <c r="F428" s="819" t="s">
        <v>801</v>
      </c>
      <c r="G428" s="819" t="s">
        <v>802</v>
      </c>
      <c r="H428" s="411" t="s">
        <v>210</v>
      </c>
      <c r="I428" s="411" t="s">
        <v>210</v>
      </c>
      <c r="J428" s="817" t="s">
        <v>5</v>
      </c>
      <c r="K428" s="816">
        <f t="shared" ref="K428" si="963">L428+O428</f>
        <v>4023353</v>
      </c>
      <c r="L428" s="816">
        <f t="shared" ref="L428" si="964">M428+N428</f>
        <v>0</v>
      </c>
      <c r="M428" s="814">
        <v>0</v>
      </c>
      <c r="N428" s="814">
        <v>0</v>
      </c>
      <c r="O428" s="816">
        <f t="shared" ref="O428" si="965">P428+S428+V428</f>
        <v>4023353</v>
      </c>
      <c r="P428" s="816">
        <f t="shared" ref="P428" si="966">Q428+R428</f>
        <v>4023353</v>
      </c>
      <c r="Q428" s="814">
        <v>12856</v>
      </c>
      <c r="R428" s="814">
        <v>4010497</v>
      </c>
      <c r="S428" s="816">
        <f t="shared" ref="S428" si="967">T428+U428</f>
        <v>0</v>
      </c>
      <c r="T428" s="814">
        <v>0</v>
      </c>
      <c r="U428" s="814">
        <v>0</v>
      </c>
      <c r="V428" s="816">
        <f t="shared" ref="V428" si="968">W428+X428</f>
        <v>0</v>
      </c>
      <c r="W428" s="814">
        <v>0</v>
      </c>
      <c r="X428" s="814">
        <v>0</v>
      </c>
    </row>
    <row r="429" spans="1:24" ht="15.6" hidden="1" customHeight="1">
      <c r="A429" s="820"/>
      <c r="B429" s="821"/>
      <c r="C429" s="849"/>
      <c r="D429" s="823"/>
      <c r="E429" s="819"/>
      <c r="F429" s="819"/>
      <c r="G429" s="819"/>
      <c r="H429" s="411" t="s">
        <v>210</v>
      </c>
      <c r="I429" s="411" t="s">
        <v>210</v>
      </c>
      <c r="J429" s="818"/>
      <c r="K429" s="816"/>
      <c r="L429" s="816"/>
      <c r="M429" s="814"/>
      <c r="N429" s="814"/>
      <c r="O429" s="816"/>
      <c r="P429" s="816"/>
      <c r="Q429" s="814"/>
      <c r="R429" s="814"/>
      <c r="S429" s="816"/>
      <c r="T429" s="814"/>
      <c r="U429" s="814"/>
      <c r="V429" s="816"/>
      <c r="W429" s="814"/>
      <c r="X429" s="814"/>
    </row>
    <row r="430" spans="1:24" ht="15.6" hidden="1" customHeight="1">
      <c r="A430" s="820"/>
      <c r="B430" s="821"/>
      <c r="C430" s="849"/>
      <c r="D430" s="823"/>
      <c r="E430" s="819"/>
      <c r="F430" s="819"/>
      <c r="G430" s="819"/>
      <c r="H430" s="411" t="s">
        <v>210</v>
      </c>
      <c r="I430" s="411" t="s">
        <v>210</v>
      </c>
      <c r="J430" s="411" t="s">
        <v>6</v>
      </c>
      <c r="K430" s="413">
        <f t="shared" ref="K430" si="969">L430+O430</f>
        <v>0</v>
      </c>
      <c r="L430" s="413">
        <f t="shared" ref="L430" si="970">M430+N430</f>
        <v>0</v>
      </c>
      <c r="M430" s="414">
        <v>0</v>
      </c>
      <c r="N430" s="414">
        <v>0</v>
      </c>
      <c r="O430" s="413">
        <f t="shared" ref="O430" si="971">P430+S430+V430</f>
        <v>0</v>
      </c>
      <c r="P430" s="413">
        <f t="shared" ref="P430" si="972">Q430+R430</f>
        <v>0</v>
      </c>
      <c r="Q430" s="414">
        <v>0</v>
      </c>
      <c r="R430" s="414">
        <v>0</v>
      </c>
      <c r="S430" s="413">
        <f t="shared" ref="S430" si="973">T430+U430</f>
        <v>0</v>
      </c>
      <c r="T430" s="414">
        <v>0</v>
      </c>
      <c r="U430" s="414">
        <v>0</v>
      </c>
      <c r="V430" s="413">
        <f t="shared" ref="V430" si="974">W430+X430</f>
        <v>0</v>
      </c>
      <c r="W430" s="414">
        <v>0</v>
      </c>
      <c r="X430" s="414">
        <v>0</v>
      </c>
    </row>
    <row r="431" spans="1:24" ht="15.6" hidden="1" customHeight="1">
      <c r="A431" s="820"/>
      <c r="B431" s="821"/>
      <c r="C431" s="849"/>
      <c r="D431" s="823"/>
      <c r="E431" s="819"/>
      <c r="F431" s="819"/>
      <c r="G431" s="819"/>
      <c r="H431" s="411" t="s">
        <v>210</v>
      </c>
      <c r="I431" s="411" t="s">
        <v>210</v>
      </c>
      <c r="J431" s="817" t="s">
        <v>7</v>
      </c>
      <c r="K431" s="816">
        <f t="shared" ref="K431:X431" si="975">K428+K430</f>
        <v>4023353</v>
      </c>
      <c r="L431" s="816">
        <f t="shared" si="975"/>
        <v>0</v>
      </c>
      <c r="M431" s="814">
        <f t="shared" si="975"/>
        <v>0</v>
      </c>
      <c r="N431" s="814">
        <f t="shared" si="975"/>
        <v>0</v>
      </c>
      <c r="O431" s="816">
        <f t="shared" si="975"/>
        <v>4023353</v>
      </c>
      <c r="P431" s="816">
        <f t="shared" si="975"/>
        <v>4023353</v>
      </c>
      <c r="Q431" s="814">
        <f t="shared" si="975"/>
        <v>12856</v>
      </c>
      <c r="R431" s="814">
        <f t="shared" si="975"/>
        <v>4010497</v>
      </c>
      <c r="S431" s="816">
        <f t="shared" si="975"/>
        <v>0</v>
      </c>
      <c r="T431" s="814">
        <f t="shared" si="975"/>
        <v>0</v>
      </c>
      <c r="U431" s="814">
        <f t="shared" si="975"/>
        <v>0</v>
      </c>
      <c r="V431" s="816">
        <f t="shared" si="975"/>
        <v>0</v>
      </c>
      <c r="W431" s="814">
        <f t="shared" si="975"/>
        <v>0</v>
      </c>
      <c r="X431" s="814">
        <f t="shared" si="975"/>
        <v>0</v>
      </c>
    </row>
    <row r="432" spans="1:24" ht="15.6" hidden="1" customHeight="1">
      <c r="A432" s="820"/>
      <c r="B432" s="821"/>
      <c r="C432" s="850"/>
      <c r="D432" s="823"/>
      <c r="E432" s="819"/>
      <c r="F432" s="819"/>
      <c r="G432" s="819"/>
      <c r="H432" s="411" t="s">
        <v>210</v>
      </c>
      <c r="I432" s="411" t="s">
        <v>210</v>
      </c>
      <c r="J432" s="818"/>
      <c r="K432" s="816"/>
      <c r="L432" s="816"/>
      <c r="M432" s="814"/>
      <c r="N432" s="814"/>
      <c r="O432" s="816"/>
      <c r="P432" s="816"/>
      <c r="Q432" s="814"/>
      <c r="R432" s="814"/>
      <c r="S432" s="816"/>
      <c r="T432" s="814"/>
      <c r="U432" s="814"/>
      <c r="V432" s="816"/>
      <c r="W432" s="814"/>
      <c r="X432" s="814"/>
    </row>
    <row r="433" spans="1:24" ht="15.6" hidden="1" customHeight="1">
      <c r="A433" s="820">
        <v>7</v>
      </c>
      <c r="B433" s="847" t="s">
        <v>710</v>
      </c>
      <c r="C433" s="848" t="s">
        <v>824</v>
      </c>
      <c r="D433" s="823" t="s">
        <v>825</v>
      </c>
      <c r="E433" s="819" t="s">
        <v>624</v>
      </c>
      <c r="F433" s="819" t="s">
        <v>826</v>
      </c>
      <c r="G433" s="819" t="s">
        <v>802</v>
      </c>
      <c r="H433" s="411" t="s">
        <v>210</v>
      </c>
      <c r="I433" s="411" t="s">
        <v>210</v>
      </c>
      <c r="J433" s="817" t="s">
        <v>5</v>
      </c>
      <c r="K433" s="816">
        <f t="shared" ref="K433" si="976">L433+O433</f>
        <v>192660</v>
      </c>
      <c r="L433" s="816">
        <f t="shared" ref="L433" si="977">M433+N433</f>
        <v>0</v>
      </c>
      <c r="M433" s="814">
        <v>0</v>
      </c>
      <c r="N433" s="814">
        <v>0</v>
      </c>
      <c r="O433" s="816">
        <f t="shared" ref="O433" si="978">P433+S433+V433</f>
        <v>192660</v>
      </c>
      <c r="P433" s="816">
        <f t="shared" ref="P433" si="979">Q433+R433</f>
        <v>192660</v>
      </c>
      <c r="Q433" s="814">
        <v>0</v>
      </c>
      <c r="R433" s="814">
        <v>192660</v>
      </c>
      <c r="S433" s="816">
        <f t="shared" ref="S433" si="980">T433+U433</f>
        <v>0</v>
      </c>
      <c r="T433" s="814">
        <v>0</v>
      </c>
      <c r="U433" s="814">
        <v>0</v>
      </c>
      <c r="V433" s="816">
        <f t="shared" ref="V433" si="981">W433+X433</f>
        <v>0</v>
      </c>
      <c r="W433" s="814">
        <v>0</v>
      </c>
      <c r="X433" s="814">
        <v>0</v>
      </c>
    </row>
    <row r="434" spans="1:24" ht="15.6" hidden="1" customHeight="1">
      <c r="A434" s="820"/>
      <c r="B434" s="847"/>
      <c r="C434" s="849"/>
      <c r="D434" s="823"/>
      <c r="E434" s="819"/>
      <c r="F434" s="819"/>
      <c r="G434" s="819"/>
      <c r="H434" s="411" t="s">
        <v>210</v>
      </c>
      <c r="I434" s="411" t="s">
        <v>210</v>
      </c>
      <c r="J434" s="818"/>
      <c r="K434" s="816"/>
      <c r="L434" s="816"/>
      <c r="M434" s="814"/>
      <c r="N434" s="814"/>
      <c r="O434" s="816"/>
      <c r="P434" s="816"/>
      <c r="Q434" s="814"/>
      <c r="R434" s="814"/>
      <c r="S434" s="816"/>
      <c r="T434" s="814"/>
      <c r="U434" s="814"/>
      <c r="V434" s="816"/>
      <c r="W434" s="814"/>
      <c r="X434" s="814"/>
    </row>
    <row r="435" spans="1:24" ht="15.6" hidden="1" customHeight="1">
      <c r="A435" s="820"/>
      <c r="B435" s="847"/>
      <c r="C435" s="849"/>
      <c r="D435" s="823"/>
      <c r="E435" s="819"/>
      <c r="F435" s="819"/>
      <c r="G435" s="819"/>
      <c r="H435" s="411" t="s">
        <v>210</v>
      </c>
      <c r="I435" s="411" t="s">
        <v>210</v>
      </c>
      <c r="J435" s="411" t="s">
        <v>6</v>
      </c>
      <c r="K435" s="413">
        <f t="shared" ref="K435" si="982">L435+O435</f>
        <v>0</v>
      </c>
      <c r="L435" s="413">
        <f t="shared" ref="L435" si="983">M435+N435</f>
        <v>0</v>
      </c>
      <c r="M435" s="414">
        <v>0</v>
      </c>
      <c r="N435" s="414">
        <v>0</v>
      </c>
      <c r="O435" s="413">
        <f t="shared" ref="O435" si="984">P435+S435+V435</f>
        <v>0</v>
      </c>
      <c r="P435" s="413">
        <f t="shared" ref="P435" si="985">Q435+R435</f>
        <v>0</v>
      </c>
      <c r="Q435" s="414">
        <v>0</v>
      </c>
      <c r="R435" s="414">
        <v>0</v>
      </c>
      <c r="S435" s="413">
        <f t="shared" ref="S435" si="986">T435+U435</f>
        <v>0</v>
      </c>
      <c r="T435" s="414">
        <v>0</v>
      </c>
      <c r="U435" s="414">
        <v>0</v>
      </c>
      <c r="V435" s="413">
        <f t="shared" ref="V435" si="987">W435+X435</f>
        <v>0</v>
      </c>
      <c r="W435" s="414">
        <v>0</v>
      </c>
      <c r="X435" s="414">
        <v>0</v>
      </c>
    </row>
    <row r="436" spans="1:24" ht="15.6" hidden="1" customHeight="1">
      <c r="A436" s="820"/>
      <c r="B436" s="847"/>
      <c r="C436" s="849"/>
      <c r="D436" s="823"/>
      <c r="E436" s="819"/>
      <c r="F436" s="819"/>
      <c r="G436" s="819"/>
      <c r="H436" s="411" t="s">
        <v>210</v>
      </c>
      <c r="I436" s="411" t="s">
        <v>210</v>
      </c>
      <c r="J436" s="817" t="s">
        <v>7</v>
      </c>
      <c r="K436" s="816">
        <f t="shared" ref="K436:X436" si="988">K433+K435</f>
        <v>192660</v>
      </c>
      <c r="L436" s="816">
        <f t="shared" si="988"/>
        <v>0</v>
      </c>
      <c r="M436" s="814">
        <f t="shared" si="988"/>
        <v>0</v>
      </c>
      <c r="N436" s="814">
        <f t="shared" si="988"/>
        <v>0</v>
      </c>
      <c r="O436" s="816">
        <f t="shared" si="988"/>
        <v>192660</v>
      </c>
      <c r="P436" s="816">
        <f t="shared" si="988"/>
        <v>192660</v>
      </c>
      <c r="Q436" s="814">
        <f t="shared" si="988"/>
        <v>0</v>
      </c>
      <c r="R436" s="814">
        <f t="shared" si="988"/>
        <v>192660</v>
      </c>
      <c r="S436" s="816">
        <f t="shared" si="988"/>
        <v>0</v>
      </c>
      <c r="T436" s="814">
        <f t="shared" si="988"/>
        <v>0</v>
      </c>
      <c r="U436" s="814">
        <f t="shared" si="988"/>
        <v>0</v>
      </c>
      <c r="V436" s="816">
        <f t="shared" si="988"/>
        <v>0</v>
      </c>
      <c r="W436" s="814">
        <f t="shared" si="988"/>
        <v>0</v>
      </c>
      <c r="X436" s="814">
        <f t="shared" si="988"/>
        <v>0</v>
      </c>
    </row>
    <row r="437" spans="1:24" ht="15.6" hidden="1" customHeight="1">
      <c r="A437" s="820"/>
      <c r="B437" s="847"/>
      <c r="C437" s="850"/>
      <c r="D437" s="823"/>
      <c r="E437" s="819"/>
      <c r="F437" s="819"/>
      <c r="G437" s="819"/>
      <c r="H437" s="411" t="s">
        <v>210</v>
      </c>
      <c r="I437" s="411" t="s">
        <v>210</v>
      </c>
      <c r="J437" s="818"/>
      <c r="K437" s="816"/>
      <c r="L437" s="816"/>
      <c r="M437" s="814"/>
      <c r="N437" s="814"/>
      <c r="O437" s="816"/>
      <c r="P437" s="816"/>
      <c r="Q437" s="814"/>
      <c r="R437" s="814"/>
      <c r="S437" s="816"/>
      <c r="T437" s="814"/>
      <c r="U437" s="814"/>
      <c r="V437" s="816"/>
      <c r="W437" s="814"/>
      <c r="X437" s="814"/>
    </row>
    <row r="438" spans="1:24" ht="15.6" hidden="1" customHeight="1">
      <c r="A438" s="820">
        <v>8</v>
      </c>
      <c r="B438" s="847" t="s">
        <v>715</v>
      </c>
      <c r="C438" s="848" t="s">
        <v>827</v>
      </c>
      <c r="D438" s="823" t="s">
        <v>828</v>
      </c>
      <c r="E438" s="819" t="s">
        <v>624</v>
      </c>
      <c r="F438" s="819" t="s">
        <v>829</v>
      </c>
      <c r="G438" s="819" t="s">
        <v>802</v>
      </c>
      <c r="H438" s="411" t="s">
        <v>210</v>
      </c>
      <c r="I438" s="411" t="s">
        <v>210</v>
      </c>
      <c r="J438" s="817" t="s">
        <v>5</v>
      </c>
      <c r="K438" s="816">
        <f t="shared" ref="K438" si="989">L438+O438</f>
        <v>19129</v>
      </c>
      <c r="L438" s="816">
        <f t="shared" ref="L438" si="990">M438+N438</f>
        <v>0</v>
      </c>
      <c r="M438" s="814">
        <v>0</v>
      </c>
      <c r="N438" s="814">
        <v>0</v>
      </c>
      <c r="O438" s="816">
        <f t="shared" ref="O438" si="991">P438+S438+V438</f>
        <v>19129</v>
      </c>
      <c r="P438" s="816">
        <f t="shared" ref="P438" si="992">Q438+R438</f>
        <v>19129</v>
      </c>
      <c r="Q438" s="814">
        <v>0</v>
      </c>
      <c r="R438" s="814">
        <v>19129</v>
      </c>
      <c r="S438" s="816">
        <f t="shared" ref="S438" si="993">T438+U438</f>
        <v>0</v>
      </c>
      <c r="T438" s="814">
        <v>0</v>
      </c>
      <c r="U438" s="814">
        <v>0</v>
      </c>
      <c r="V438" s="816">
        <f t="shared" ref="V438" si="994">W438+X438</f>
        <v>0</v>
      </c>
      <c r="W438" s="814">
        <v>0</v>
      </c>
      <c r="X438" s="814">
        <v>0</v>
      </c>
    </row>
    <row r="439" spans="1:24" ht="15.6" hidden="1" customHeight="1">
      <c r="A439" s="820"/>
      <c r="B439" s="847"/>
      <c r="C439" s="849"/>
      <c r="D439" s="823"/>
      <c r="E439" s="819"/>
      <c r="F439" s="819"/>
      <c r="G439" s="819"/>
      <c r="H439" s="411" t="s">
        <v>210</v>
      </c>
      <c r="I439" s="411" t="s">
        <v>210</v>
      </c>
      <c r="J439" s="818"/>
      <c r="K439" s="816"/>
      <c r="L439" s="816"/>
      <c r="M439" s="814"/>
      <c r="N439" s="814"/>
      <c r="O439" s="816"/>
      <c r="P439" s="816"/>
      <c r="Q439" s="814"/>
      <c r="R439" s="814"/>
      <c r="S439" s="816"/>
      <c r="T439" s="814"/>
      <c r="U439" s="814"/>
      <c r="V439" s="816"/>
      <c r="W439" s="814"/>
      <c r="X439" s="814"/>
    </row>
    <row r="440" spans="1:24" ht="15.6" hidden="1" customHeight="1">
      <c r="A440" s="820"/>
      <c r="B440" s="847"/>
      <c r="C440" s="849"/>
      <c r="D440" s="823"/>
      <c r="E440" s="819"/>
      <c r="F440" s="819"/>
      <c r="G440" s="819"/>
      <c r="H440" s="411" t="s">
        <v>210</v>
      </c>
      <c r="I440" s="411" t="s">
        <v>210</v>
      </c>
      <c r="J440" s="411" t="s">
        <v>6</v>
      </c>
      <c r="K440" s="413">
        <f t="shared" ref="K440" si="995">L440+O440</f>
        <v>0</v>
      </c>
      <c r="L440" s="413">
        <f t="shared" ref="L440" si="996">M440+N440</f>
        <v>0</v>
      </c>
      <c r="M440" s="414">
        <v>0</v>
      </c>
      <c r="N440" s="414">
        <v>0</v>
      </c>
      <c r="O440" s="413">
        <f t="shared" ref="O440" si="997">P440+S440+V440</f>
        <v>0</v>
      </c>
      <c r="P440" s="413">
        <f t="shared" ref="P440" si="998">Q440+R440</f>
        <v>0</v>
      </c>
      <c r="Q440" s="414">
        <v>0</v>
      </c>
      <c r="R440" s="414">
        <v>0</v>
      </c>
      <c r="S440" s="413">
        <f t="shared" ref="S440" si="999">T440+U440</f>
        <v>0</v>
      </c>
      <c r="T440" s="414">
        <v>0</v>
      </c>
      <c r="U440" s="414">
        <v>0</v>
      </c>
      <c r="V440" s="413">
        <f t="shared" ref="V440" si="1000">W440+X440</f>
        <v>0</v>
      </c>
      <c r="W440" s="414">
        <v>0</v>
      </c>
      <c r="X440" s="414">
        <v>0</v>
      </c>
    </row>
    <row r="441" spans="1:24" ht="15.6" hidden="1" customHeight="1">
      <c r="A441" s="820"/>
      <c r="B441" s="847"/>
      <c r="C441" s="849"/>
      <c r="D441" s="823"/>
      <c r="E441" s="819"/>
      <c r="F441" s="819"/>
      <c r="G441" s="819"/>
      <c r="H441" s="411" t="s">
        <v>210</v>
      </c>
      <c r="I441" s="411" t="s">
        <v>210</v>
      </c>
      <c r="J441" s="817" t="s">
        <v>7</v>
      </c>
      <c r="K441" s="816">
        <f t="shared" ref="K441:X441" si="1001">K438+K440</f>
        <v>19129</v>
      </c>
      <c r="L441" s="816">
        <f t="shared" si="1001"/>
        <v>0</v>
      </c>
      <c r="M441" s="814">
        <f t="shared" si="1001"/>
        <v>0</v>
      </c>
      <c r="N441" s="814">
        <f t="shared" si="1001"/>
        <v>0</v>
      </c>
      <c r="O441" s="816">
        <f t="shared" si="1001"/>
        <v>19129</v>
      </c>
      <c r="P441" s="816">
        <f t="shared" si="1001"/>
        <v>19129</v>
      </c>
      <c r="Q441" s="814">
        <f t="shared" si="1001"/>
        <v>0</v>
      </c>
      <c r="R441" s="814">
        <f t="shared" si="1001"/>
        <v>19129</v>
      </c>
      <c r="S441" s="816">
        <f t="shared" si="1001"/>
        <v>0</v>
      </c>
      <c r="T441" s="814">
        <f t="shared" si="1001"/>
        <v>0</v>
      </c>
      <c r="U441" s="814">
        <f t="shared" si="1001"/>
        <v>0</v>
      </c>
      <c r="V441" s="816">
        <f t="shared" si="1001"/>
        <v>0</v>
      </c>
      <c r="W441" s="814">
        <f t="shared" si="1001"/>
        <v>0</v>
      </c>
      <c r="X441" s="814">
        <f t="shared" si="1001"/>
        <v>0</v>
      </c>
    </row>
    <row r="442" spans="1:24" ht="15.6" hidden="1" customHeight="1">
      <c r="A442" s="820"/>
      <c r="B442" s="847"/>
      <c r="C442" s="850"/>
      <c r="D442" s="823"/>
      <c r="E442" s="819"/>
      <c r="F442" s="819"/>
      <c r="G442" s="819"/>
      <c r="H442" s="411" t="s">
        <v>210</v>
      </c>
      <c r="I442" s="411" t="s">
        <v>210</v>
      </c>
      <c r="J442" s="818"/>
      <c r="K442" s="816"/>
      <c r="L442" s="816"/>
      <c r="M442" s="814"/>
      <c r="N442" s="814"/>
      <c r="O442" s="816"/>
      <c r="P442" s="816"/>
      <c r="Q442" s="814"/>
      <c r="R442" s="814"/>
      <c r="S442" s="816"/>
      <c r="T442" s="814"/>
      <c r="U442" s="814"/>
      <c r="V442" s="816"/>
      <c r="W442" s="814"/>
      <c r="X442" s="814"/>
    </row>
    <row r="443" spans="1:24" ht="15.6" hidden="1" customHeight="1">
      <c r="A443" s="820">
        <v>4</v>
      </c>
      <c r="B443" s="821" t="s">
        <v>830</v>
      </c>
      <c r="C443" s="848" t="s">
        <v>822</v>
      </c>
      <c r="D443" s="823" t="s">
        <v>831</v>
      </c>
      <c r="E443" s="819" t="s">
        <v>624</v>
      </c>
      <c r="F443" s="819" t="s">
        <v>801</v>
      </c>
      <c r="G443" s="819" t="s">
        <v>802</v>
      </c>
      <c r="H443" s="411" t="s">
        <v>210</v>
      </c>
      <c r="I443" s="411" t="s">
        <v>210</v>
      </c>
      <c r="J443" s="817" t="s">
        <v>5</v>
      </c>
      <c r="K443" s="816">
        <f t="shared" ref="K443" si="1002">L443+O443</f>
        <v>3918649</v>
      </c>
      <c r="L443" s="816">
        <f t="shared" ref="L443" si="1003">M443+N443</f>
        <v>0</v>
      </c>
      <c r="M443" s="814">
        <v>0</v>
      </c>
      <c r="N443" s="814">
        <v>0</v>
      </c>
      <c r="O443" s="816">
        <f t="shared" ref="O443" si="1004">P443+S443+V443</f>
        <v>3918649</v>
      </c>
      <c r="P443" s="816">
        <f t="shared" ref="P443" si="1005">Q443+R443</f>
        <v>3918649</v>
      </c>
      <c r="Q443" s="814">
        <v>13301</v>
      </c>
      <c r="R443" s="814">
        <v>3905348</v>
      </c>
      <c r="S443" s="816">
        <f t="shared" ref="S443" si="1006">T443+U443</f>
        <v>0</v>
      </c>
      <c r="T443" s="814">
        <v>0</v>
      </c>
      <c r="U443" s="814">
        <v>0</v>
      </c>
      <c r="V443" s="816">
        <f t="shared" ref="V443" si="1007">W443+X443</f>
        <v>0</v>
      </c>
      <c r="W443" s="814">
        <v>0</v>
      </c>
      <c r="X443" s="814">
        <v>0</v>
      </c>
    </row>
    <row r="444" spans="1:24" ht="15.6" hidden="1" customHeight="1">
      <c r="A444" s="820"/>
      <c r="B444" s="821"/>
      <c r="C444" s="849"/>
      <c r="D444" s="823"/>
      <c r="E444" s="819"/>
      <c r="F444" s="819"/>
      <c r="G444" s="819"/>
      <c r="H444" s="411" t="s">
        <v>210</v>
      </c>
      <c r="I444" s="411" t="s">
        <v>210</v>
      </c>
      <c r="J444" s="818"/>
      <c r="K444" s="816"/>
      <c r="L444" s="816"/>
      <c r="M444" s="814"/>
      <c r="N444" s="814"/>
      <c r="O444" s="816"/>
      <c r="P444" s="816"/>
      <c r="Q444" s="814"/>
      <c r="R444" s="814"/>
      <c r="S444" s="816"/>
      <c r="T444" s="814"/>
      <c r="U444" s="814"/>
      <c r="V444" s="816"/>
      <c r="W444" s="814"/>
      <c r="X444" s="814"/>
    </row>
    <row r="445" spans="1:24" ht="15.6" hidden="1" customHeight="1">
      <c r="A445" s="820"/>
      <c r="B445" s="821"/>
      <c r="C445" s="849"/>
      <c r="D445" s="823"/>
      <c r="E445" s="819"/>
      <c r="F445" s="819"/>
      <c r="G445" s="819"/>
      <c r="H445" s="411" t="s">
        <v>210</v>
      </c>
      <c r="I445" s="411" t="s">
        <v>210</v>
      </c>
      <c r="J445" s="411" t="s">
        <v>6</v>
      </c>
      <c r="K445" s="413">
        <f t="shared" ref="K445" si="1008">L445+O445</f>
        <v>0</v>
      </c>
      <c r="L445" s="413">
        <f t="shared" ref="L445" si="1009">M445+N445</f>
        <v>0</v>
      </c>
      <c r="M445" s="414">
        <v>0</v>
      </c>
      <c r="N445" s="414">
        <v>0</v>
      </c>
      <c r="O445" s="413">
        <f t="shared" ref="O445" si="1010">P445+S445+V445</f>
        <v>0</v>
      </c>
      <c r="P445" s="413">
        <f t="shared" ref="P445" si="1011">Q445+R445</f>
        <v>0</v>
      </c>
      <c r="Q445" s="414">
        <v>0</v>
      </c>
      <c r="R445" s="414">
        <v>0</v>
      </c>
      <c r="S445" s="413">
        <f t="shared" ref="S445" si="1012">T445+U445</f>
        <v>0</v>
      </c>
      <c r="T445" s="414">
        <v>0</v>
      </c>
      <c r="U445" s="414">
        <v>0</v>
      </c>
      <c r="V445" s="413">
        <f t="shared" ref="V445" si="1013">W445+X445</f>
        <v>0</v>
      </c>
      <c r="W445" s="414">
        <v>0</v>
      </c>
      <c r="X445" s="414">
        <v>0</v>
      </c>
    </row>
    <row r="446" spans="1:24" ht="15.6" hidden="1" customHeight="1">
      <c r="A446" s="820"/>
      <c r="B446" s="821"/>
      <c r="C446" s="849"/>
      <c r="D446" s="823"/>
      <c r="E446" s="819"/>
      <c r="F446" s="819"/>
      <c r="G446" s="819"/>
      <c r="H446" s="411" t="s">
        <v>210</v>
      </c>
      <c r="I446" s="411" t="s">
        <v>210</v>
      </c>
      <c r="J446" s="817" t="s">
        <v>7</v>
      </c>
      <c r="K446" s="816">
        <f t="shared" ref="K446:X446" si="1014">K443+K445</f>
        <v>3918649</v>
      </c>
      <c r="L446" s="816">
        <f t="shared" si="1014"/>
        <v>0</v>
      </c>
      <c r="M446" s="814">
        <f t="shared" si="1014"/>
        <v>0</v>
      </c>
      <c r="N446" s="814">
        <f t="shared" si="1014"/>
        <v>0</v>
      </c>
      <c r="O446" s="816">
        <f t="shared" si="1014"/>
        <v>3918649</v>
      </c>
      <c r="P446" s="816">
        <f t="shared" si="1014"/>
        <v>3918649</v>
      </c>
      <c r="Q446" s="814">
        <f t="shared" si="1014"/>
        <v>13301</v>
      </c>
      <c r="R446" s="814">
        <f t="shared" si="1014"/>
        <v>3905348</v>
      </c>
      <c r="S446" s="816">
        <f t="shared" si="1014"/>
        <v>0</v>
      </c>
      <c r="T446" s="814">
        <f t="shared" si="1014"/>
        <v>0</v>
      </c>
      <c r="U446" s="814">
        <f t="shared" si="1014"/>
        <v>0</v>
      </c>
      <c r="V446" s="816">
        <f t="shared" si="1014"/>
        <v>0</v>
      </c>
      <c r="W446" s="814">
        <f t="shared" si="1014"/>
        <v>0</v>
      </c>
      <c r="X446" s="814">
        <f t="shared" si="1014"/>
        <v>0</v>
      </c>
    </row>
    <row r="447" spans="1:24" ht="15.6" hidden="1" customHeight="1">
      <c r="A447" s="820"/>
      <c r="B447" s="821"/>
      <c r="C447" s="850"/>
      <c r="D447" s="823"/>
      <c r="E447" s="819"/>
      <c r="F447" s="819"/>
      <c r="G447" s="819"/>
      <c r="H447" s="411" t="s">
        <v>210</v>
      </c>
      <c r="I447" s="411" t="s">
        <v>210</v>
      </c>
      <c r="J447" s="818"/>
      <c r="K447" s="816"/>
      <c r="L447" s="816"/>
      <c r="M447" s="814"/>
      <c r="N447" s="814"/>
      <c r="O447" s="816"/>
      <c r="P447" s="816"/>
      <c r="Q447" s="814"/>
      <c r="R447" s="814"/>
      <c r="S447" s="816"/>
      <c r="T447" s="814"/>
      <c r="U447" s="814"/>
      <c r="V447" s="816"/>
      <c r="W447" s="814"/>
      <c r="X447" s="814"/>
    </row>
    <row r="448" spans="1:24" ht="15.6" hidden="1" customHeight="1">
      <c r="A448" s="820">
        <v>5</v>
      </c>
      <c r="B448" s="847" t="s">
        <v>832</v>
      </c>
      <c r="C448" s="848" t="s">
        <v>833</v>
      </c>
      <c r="D448" s="823" t="s">
        <v>834</v>
      </c>
      <c r="E448" s="819" t="s">
        <v>624</v>
      </c>
      <c r="F448" s="819" t="s">
        <v>801</v>
      </c>
      <c r="G448" s="819" t="s">
        <v>802</v>
      </c>
      <c r="H448" s="411" t="s">
        <v>210</v>
      </c>
      <c r="I448" s="411" t="s">
        <v>210</v>
      </c>
      <c r="J448" s="817" t="s">
        <v>5</v>
      </c>
      <c r="K448" s="816">
        <f t="shared" ref="K448" si="1015">L448+O448</f>
        <v>1257481</v>
      </c>
      <c r="L448" s="816">
        <f t="shared" ref="L448" si="1016">M448+N448</f>
        <v>0</v>
      </c>
      <c r="M448" s="814">
        <v>0</v>
      </c>
      <c r="N448" s="814">
        <v>0</v>
      </c>
      <c r="O448" s="816">
        <f t="shared" ref="O448" si="1017">P448+S448+V448</f>
        <v>1257481</v>
      </c>
      <c r="P448" s="816">
        <f t="shared" ref="P448" si="1018">Q448+R448</f>
        <v>1257481</v>
      </c>
      <c r="Q448" s="814">
        <v>0</v>
      </c>
      <c r="R448" s="814">
        <v>1257481</v>
      </c>
      <c r="S448" s="816">
        <f t="shared" ref="S448" si="1019">T448+U448</f>
        <v>0</v>
      </c>
      <c r="T448" s="814">
        <v>0</v>
      </c>
      <c r="U448" s="814">
        <v>0</v>
      </c>
      <c r="V448" s="816">
        <f t="shared" ref="V448" si="1020">W448+X448</f>
        <v>0</v>
      </c>
      <c r="W448" s="814">
        <v>0</v>
      </c>
      <c r="X448" s="814">
        <v>0</v>
      </c>
    </row>
    <row r="449" spans="1:24" ht="15.6" hidden="1" customHeight="1">
      <c r="A449" s="820"/>
      <c r="B449" s="847"/>
      <c r="C449" s="849"/>
      <c r="D449" s="823"/>
      <c r="E449" s="819"/>
      <c r="F449" s="819"/>
      <c r="G449" s="819"/>
      <c r="H449" s="411" t="s">
        <v>210</v>
      </c>
      <c r="I449" s="411" t="s">
        <v>210</v>
      </c>
      <c r="J449" s="818"/>
      <c r="K449" s="816"/>
      <c r="L449" s="816"/>
      <c r="M449" s="814"/>
      <c r="N449" s="814"/>
      <c r="O449" s="816"/>
      <c r="P449" s="816"/>
      <c r="Q449" s="814"/>
      <c r="R449" s="814"/>
      <c r="S449" s="816"/>
      <c r="T449" s="814"/>
      <c r="U449" s="814"/>
      <c r="V449" s="816"/>
      <c r="W449" s="814"/>
      <c r="X449" s="814"/>
    </row>
    <row r="450" spans="1:24" ht="15.6" hidden="1" customHeight="1">
      <c r="A450" s="820"/>
      <c r="B450" s="847"/>
      <c r="C450" s="849"/>
      <c r="D450" s="823"/>
      <c r="E450" s="819"/>
      <c r="F450" s="819"/>
      <c r="G450" s="819"/>
      <c r="H450" s="411" t="s">
        <v>210</v>
      </c>
      <c r="I450" s="411" t="s">
        <v>210</v>
      </c>
      <c r="J450" s="411" t="s">
        <v>6</v>
      </c>
      <c r="K450" s="413">
        <f t="shared" ref="K450" si="1021">L450+O450</f>
        <v>0</v>
      </c>
      <c r="L450" s="413">
        <f t="shared" ref="L450" si="1022">M450+N450</f>
        <v>0</v>
      </c>
      <c r="M450" s="414">
        <v>0</v>
      </c>
      <c r="N450" s="414">
        <v>0</v>
      </c>
      <c r="O450" s="413">
        <f t="shared" ref="O450" si="1023">P450+S450+V450</f>
        <v>0</v>
      </c>
      <c r="P450" s="413">
        <f t="shared" ref="P450" si="1024">Q450+R450</f>
        <v>0</v>
      </c>
      <c r="Q450" s="414">
        <v>0</v>
      </c>
      <c r="R450" s="414">
        <v>0</v>
      </c>
      <c r="S450" s="413">
        <f t="shared" ref="S450" si="1025">T450+U450</f>
        <v>0</v>
      </c>
      <c r="T450" s="414">
        <v>0</v>
      </c>
      <c r="U450" s="414">
        <v>0</v>
      </c>
      <c r="V450" s="413">
        <f t="shared" ref="V450" si="1026">W450+X450</f>
        <v>0</v>
      </c>
      <c r="W450" s="414">
        <v>0</v>
      </c>
      <c r="X450" s="414">
        <v>0</v>
      </c>
    </row>
    <row r="451" spans="1:24" ht="15.6" hidden="1" customHeight="1">
      <c r="A451" s="820"/>
      <c r="B451" s="847"/>
      <c r="C451" s="849"/>
      <c r="D451" s="823"/>
      <c r="E451" s="819"/>
      <c r="F451" s="819"/>
      <c r="G451" s="819"/>
      <c r="H451" s="411" t="s">
        <v>210</v>
      </c>
      <c r="I451" s="411" t="s">
        <v>210</v>
      </c>
      <c r="J451" s="817" t="s">
        <v>7</v>
      </c>
      <c r="K451" s="816">
        <f t="shared" ref="K451:X451" si="1027">K448+K450</f>
        <v>1257481</v>
      </c>
      <c r="L451" s="816">
        <f t="shared" si="1027"/>
        <v>0</v>
      </c>
      <c r="M451" s="814">
        <f t="shared" si="1027"/>
        <v>0</v>
      </c>
      <c r="N451" s="814">
        <f t="shared" si="1027"/>
        <v>0</v>
      </c>
      <c r="O451" s="816">
        <f t="shared" si="1027"/>
        <v>1257481</v>
      </c>
      <c r="P451" s="816">
        <f t="shared" si="1027"/>
        <v>1257481</v>
      </c>
      <c r="Q451" s="814">
        <f t="shared" si="1027"/>
        <v>0</v>
      </c>
      <c r="R451" s="814">
        <f t="shared" si="1027"/>
        <v>1257481</v>
      </c>
      <c r="S451" s="816">
        <f t="shared" si="1027"/>
        <v>0</v>
      </c>
      <c r="T451" s="814">
        <f t="shared" si="1027"/>
        <v>0</v>
      </c>
      <c r="U451" s="814">
        <f t="shared" si="1027"/>
        <v>0</v>
      </c>
      <c r="V451" s="816">
        <f t="shared" si="1027"/>
        <v>0</v>
      </c>
      <c r="W451" s="814">
        <f t="shared" si="1027"/>
        <v>0</v>
      </c>
      <c r="X451" s="814">
        <f t="shared" si="1027"/>
        <v>0</v>
      </c>
    </row>
    <row r="452" spans="1:24" ht="15.6" hidden="1" customHeight="1">
      <c r="A452" s="820"/>
      <c r="B452" s="847"/>
      <c r="C452" s="850"/>
      <c r="D452" s="823"/>
      <c r="E452" s="819"/>
      <c r="F452" s="819"/>
      <c r="G452" s="819"/>
      <c r="H452" s="411" t="s">
        <v>210</v>
      </c>
      <c r="I452" s="411" t="s">
        <v>210</v>
      </c>
      <c r="J452" s="818"/>
      <c r="K452" s="816"/>
      <c r="L452" s="816"/>
      <c r="M452" s="814"/>
      <c r="N452" s="814"/>
      <c r="O452" s="816"/>
      <c r="P452" s="816"/>
      <c r="Q452" s="814"/>
      <c r="R452" s="814"/>
      <c r="S452" s="816"/>
      <c r="T452" s="814"/>
      <c r="U452" s="814"/>
      <c r="V452" s="816"/>
      <c r="W452" s="814"/>
      <c r="X452" s="814"/>
    </row>
    <row r="453" spans="1:24" ht="15.75" hidden="1" customHeight="1">
      <c r="A453" s="820">
        <v>1</v>
      </c>
      <c r="B453" s="821" t="s">
        <v>835</v>
      </c>
      <c r="C453" s="820">
        <v>102</v>
      </c>
      <c r="D453" s="823" t="s">
        <v>836</v>
      </c>
      <c r="E453" s="825" t="s">
        <v>732</v>
      </c>
      <c r="F453" s="825" t="s">
        <v>755</v>
      </c>
      <c r="G453" s="819" t="s">
        <v>802</v>
      </c>
      <c r="H453" s="411" t="s">
        <v>210</v>
      </c>
      <c r="I453" s="411" t="s">
        <v>210</v>
      </c>
      <c r="J453" s="817" t="s">
        <v>5</v>
      </c>
      <c r="K453" s="816">
        <f t="shared" ref="K453" si="1028">L453+O453</f>
        <v>56650</v>
      </c>
      <c r="L453" s="816">
        <f t="shared" ref="L453" si="1029">M453+N453</f>
        <v>0</v>
      </c>
      <c r="M453" s="814">
        <v>0</v>
      </c>
      <c r="N453" s="814">
        <v>0</v>
      </c>
      <c r="O453" s="816">
        <f t="shared" ref="O453" si="1030">P453+S453+V453</f>
        <v>56650</v>
      </c>
      <c r="P453" s="816">
        <f t="shared" ref="P453" si="1031">Q453+R453</f>
        <v>56650</v>
      </c>
      <c r="Q453" s="814">
        <v>56650</v>
      </c>
      <c r="R453" s="814">
        <v>0</v>
      </c>
      <c r="S453" s="816">
        <f t="shared" ref="S453" si="1032">T453+U453</f>
        <v>0</v>
      </c>
      <c r="T453" s="814">
        <v>0</v>
      </c>
      <c r="U453" s="814">
        <v>0</v>
      </c>
      <c r="V453" s="816">
        <f t="shared" ref="V453" si="1033">W453+X453</f>
        <v>0</v>
      </c>
      <c r="W453" s="814">
        <v>0</v>
      </c>
      <c r="X453" s="814">
        <v>0</v>
      </c>
    </row>
    <row r="454" spans="1:24" ht="15.75" hidden="1" customHeight="1">
      <c r="A454" s="820"/>
      <c r="B454" s="821"/>
      <c r="C454" s="820"/>
      <c r="D454" s="823"/>
      <c r="E454" s="826"/>
      <c r="F454" s="826"/>
      <c r="G454" s="819"/>
      <c r="H454" s="411" t="s">
        <v>210</v>
      </c>
      <c r="I454" s="411" t="s">
        <v>210</v>
      </c>
      <c r="J454" s="818"/>
      <c r="K454" s="816"/>
      <c r="L454" s="816"/>
      <c r="M454" s="814"/>
      <c r="N454" s="814"/>
      <c r="O454" s="816"/>
      <c r="P454" s="816"/>
      <c r="Q454" s="814"/>
      <c r="R454" s="814"/>
      <c r="S454" s="816"/>
      <c r="T454" s="814"/>
      <c r="U454" s="814"/>
      <c r="V454" s="816"/>
      <c r="W454" s="814"/>
      <c r="X454" s="814"/>
    </row>
    <row r="455" spans="1:24" ht="15.75" hidden="1" customHeight="1">
      <c r="A455" s="820"/>
      <c r="B455" s="821"/>
      <c r="C455" s="820"/>
      <c r="D455" s="823"/>
      <c r="E455" s="826"/>
      <c r="F455" s="826"/>
      <c r="G455" s="819"/>
      <c r="H455" s="411" t="s">
        <v>210</v>
      </c>
      <c r="I455" s="411" t="s">
        <v>210</v>
      </c>
      <c r="J455" s="411" t="s">
        <v>6</v>
      </c>
      <c r="K455" s="413">
        <f t="shared" ref="K455" si="1034">L455+O455</f>
        <v>0</v>
      </c>
      <c r="L455" s="413">
        <f t="shared" ref="L455" si="1035">M455+N455</f>
        <v>0</v>
      </c>
      <c r="M455" s="414">
        <v>0</v>
      </c>
      <c r="N455" s="414">
        <v>0</v>
      </c>
      <c r="O455" s="413">
        <f t="shared" ref="O455" si="1036">P455+S455+V455</f>
        <v>0</v>
      </c>
      <c r="P455" s="413">
        <f t="shared" ref="P455" si="1037">Q455+R455</f>
        <v>0</v>
      </c>
      <c r="Q455" s="414">
        <v>0</v>
      </c>
      <c r="R455" s="414">
        <v>0</v>
      </c>
      <c r="S455" s="413">
        <f t="shared" ref="S455" si="1038">T455+U455</f>
        <v>0</v>
      </c>
      <c r="T455" s="414">
        <v>0</v>
      </c>
      <c r="U455" s="414">
        <v>0</v>
      </c>
      <c r="V455" s="413">
        <f t="shared" ref="V455" si="1039">W455+X455</f>
        <v>0</v>
      </c>
      <c r="W455" s="414">
        <v>0</v>
      </c>
      <c r="X455" s="414">
        <v>0</v>
      </c>
    </row>
    <row r="456" spans="1:24" ht="15.75" hidden="1" customHeight="1">
      <c r="A456" s="820"/>
      <c r="B456" s="821"/>
      <c r="C456" s="820"/>
      <c r="D456" s="823"/>
      <c r="E456" s="826"/>
      <c r="F456" s="826"/>
      <c r="G456" s="819"/>
      <c r="H456" s="411" t="s">
        <v>210</v>
      </c>
      <c r="I456" s="411" t="s">
        <v>210</v>
      </c>
      <c r="J456" s="817" t="s">
        <v>7</v>
      </c>
      <c r="K456" s="816">
        <f t="shared" ref="K456:X456" si="1040">K453+K455</f>
        <v>56650</v>
      </c>
      <c r="L456" s="816">
        <f t="shared" si="1040"/>
        <v>0</v>
      </c>
      <c r="M456" s="814">
        <f t="shared" si="1040"/>
        <v>0</v>
      </c>
      <c r="N456" s="814">
        <f t="shared" si="1040"/>
        <v>0</v>
      </c>
      <c r="O456" s="816">
        <f t="shared" si="1040"/>
        <v>56650</v>
      </c>
      <c r="P456" s="816">
        <f t="shared" si="1040"/>
        <v>56650</v>
      </c>
      <c r="Q456" s="814">
        <f t="shared" si="1040"/>
        <v>56650</v>
      </c>
      <c r="R456" s="814">
        <f t="shared" si="1040"/>
        <v>0</v>
      </c>
      <c r="S456" s="816">
        <f t="shared" si="1040"/>
        <v>0</v>
      </c>
      <c r="T456" s="814">
        <f t="shared" si="1040"/>
        <v>0</v>
      </c>
      <c r="U456" s="814">
        <f t="shared" si="1040"/>
        <v>0</v>
      </c>
      <c r="V456" s="816">
        <f t="shared" si="1040"/>
        <v>0</v>
      </c>
      <c r="W456" s="814">
        <f t="shared" si="1040"/>
        <v>0</v>
      </c>
      <c r="X456" s="814">
        <f t="shared" si="1040"/>
        <v>0</v>
      </c>
    </row>
    <row r="457" spans="1:24" ht="15.75" hidden="1" customHeight="1">
      <c r="A457" s="820"/>
      <c r="B457" s="821"/>
      <c r="C457" s="820"/>
      <c r="D457" s="823"/>
      <c r="E457" s="827"/>
      <c r="F457" s="827"/>
      <c r="G457" s="819"/>
      <c r="H457" s="411" t="s">
        <v>210</v>
      </c>
      <c r="I457" s="411" t="s">
        <v>210</v>
      </c>
      <c r="J457" s="818"/>
      <c r="K457" s="816"/>
      <c r="L457" s="816"/>
      <c r="M457" s="814"/>
      <c r="N457" s="814"/>
      <c r="O457" s="816"/>
      <c r="P457" s="816"/>
      <c r="Q457" s="814"/>
      <c r="R457" s="814"/>
      <c r="S457" s="816"/>
      <c r="T457" s="814"/>
      <c r="U457" s="814"/>
      <c r="V457" s="816"/>
      <c r="W457" s="814"/>
      <c r="X457" s="814"/>
    </row>
    <row r="458" spans="1:24" ht="15.75" hidden="1" customHeight="1">
      <c r="A458" s="820">
        <v>2</v>
      </c>
      <c r="B458" s="821" t="s">
        <v>837</v>
      </c>
      <c r="C458" s="822" t="s">
        <v>838</v>
      </c>
      <c r="D458" s="823" t="s">
        <v>839</v>
      </c>
      <c r="E458" s="825" t="s">
        <v>732</v>
      </c>
      <c r="F458" s="825" t="s">
        <v>755</v>
      </c>
      <c r="G458" s="819" t="s">
        <v>802</v>
      </c>
      <c r="H458" s="411" t="s">
        <v>210</v>
      </c>
      <c r="I458" s="411" t="s">
        <v>210</v>
      </c>
      <c r="J458" s="817" t="s">
        <v>5</v>
      </c>
      <c r="K458" s="816">
        <f t="shared" ref="K458" si="1041">L458+O458</f>
        <v>525200</v>
      </c>
      <c r="L458" s="816">
        <f t="shared" ref="L458" si="1042">M458+N458</f>
        <v>0</v>
      </c>
      <c r="M458" s="814">
        <v>0</v>
      </c>
      <c r="N458" s="814">
        <v>0</v>
      </c>
      <c r="O458" s="816">
        <f t="shared" ref="O458" si="1043">P458+S458+V458</f>
        <v>525200</v>
      </c>
      <c r="P458" s="816">
        <f t="shared" ref="P458" si="1044">Q458+R458</f>
        <v>525200</v>
      </c>
      <c r="Q458" s="814">
        <v>525200</v>
      </c>
      <c r="R458" s="814">
        <v>0</v>
      </c>
      <c r="S458" s="816">
        <f t="shared" ref="S458" si="1045">T458+U458</f>
        <v>0</v>
      </c>
      <c r="T458" s="814">
        <v>0</v>
      </c>
      <c r="U458" s="814">
        <v>0</v>
      </c>
      <c r="V458" s="816">
        <f t="shared" ref="V458" si="1046">W458+X458</f>
        <v>0</v>
      </c>
      <c r="W458" s="814">
        <v>0</v>
      </c>
      <c r="X458" s="814">
        <v>0</v>
      </c>
    </row>
    <row r="459" spans="1:24" ht="15.75" hidden="1" customHeight="1">
      <c r="A459" s="820"/>
      <c r="B459" s="821"/>
      <c r="C459" s="822"/>
      <c r="D459" s="823"/>
      <c r="E459" s="826"/>
      <c r="F459" s="826"/>
      <c r="G459" s="819"/>
      <c r="H459" s="411" t="s">
        <v>210</v>
      </c>
      <c r="I459" s="411" t="s">
        <v>210</v>
      </c>
      <c r="J459" s="818"/>
      <c r="K459" s="816"/>
      <c r="L459" s="816"/>
      <c r="M459" s="814"/>
      <c r="N459" s="814"/>
      <c r="O459" s="816"/>
      <c r="P459" s="816"/>
      <c r="Q459" s="814"/>
      <c r="R459" s="814"/>
      <c r="S459" s="816"/>
      <c r="T459" s="814"/>
      <c r="U459" s="814"/>
      <c r="V459" s="816"/>
      <c r="W459" s="814"/>
      <c r="X459" s="814"/>
    </row>
    <row r="460" spans="1:24" ht="15.75" hidden="1" customHeight="1">
      <c r="A460" s="820"/>
      <c r="B460" s="821"/>
      <c r="C460" s="822"/>
      <c r="D460" s="823"/>
      <c r="E460" s="826"/>
      <c r="F460" s="826"/>
      <c r="G460" s="819"/>
      <c r="H460" s="411" t="s">
        <v>210</v>
      </c>
      <c r="I460" s="411" t="s">
        <v>210</v>
      </c>
      <c r="J460" s="411" t="s">
        <v>6</v>
      </c>
      <c r="K460" s="413">
        <f t="shared" ref="K460" si="1047">L460+O460</f>
        <v>0</v>
      </c>
      <c r="L460" s="413">
        <f t="shared" ref="L460" si="1048">M460+N460</f>
        <v>0</v>
      </c>
      <c r="M460" s="414">
        <v>0</v>
      </c>
      <c r="N460" s="414">
        <v>0</v>
      </c>
      <c r="O460" s="413">
        <f t="shared" ref="O460" si="1049">P460+S460+V460</f>
        <v>0</v>
      </c>
      <c r="P460" s="413">
        <f t="shared" ref="P460" si="1050">Q460+R460</f>
        <v>0</v>
      </c>
      <c r="Q460" s="414">
        <v>0</v>
      </c>
      <c r="R460" s="414">
        <v>0</v>
      </c>
      <c r="S460" s="413">
        <f t="shared" ref="S460" si="1051">T460+U460</f>
        <v>0</v>
      </c>
      <c r="T460" s="414">
        <v>0</v>
      </c>
      <c r="U460" s="414">
        <v>0</v>
      </c>
      <c r="V460" s="413">
        <f t="shared" ref="V460" si="1052">W460+X460</f>
        <v>0</v>
      </c>
      <c r="W460" s="414">
        <v>0</v>
      </c>
      <c r="X460" s="414">
        <v>0</v>
      </c>
    </row>
    <row r="461" spans="1:24" ht="15.75" hidden="1" customHeight="1">
      <c r="A461" s="820"/>
      <c r="B461" s="821"/>
      <c r="C461" s="822"/>
      <c r="D461" s="823"/>
      <c r="E461" s="826"/>
      <c r="F461" s="826"/>
      <c r="G461" s="819"/>
      <c r="H461" s="411" t="s">
        <v>210</v>
      </c>
      <c r="I461" s="411" t="s">
        <v>210</v>
      </c>
      <c r="J461" s="817" t="s">
        <v>7</v>
      </c>
      <c r="K461" s="816">
        <f t="shared" ref="K461:X461" si="1053">K458+K460</f>
        <v>525200</v>
      </c>
      <c r="L461" s="816">
        <f t="shared" si="1053"/>
        <v>0</v>
      </c>
      <c r="M461" s="814">
        <f t="shared" si="1053"/>
        <v>0</v>
      </c>
      <c r="N461" s="814">
        <f t="shared" si="1053"/>
        <v>0</v>
      </c>
      <c r="O461" s="816">
        <f t="shared" si="1053"/>
        <v>525200</v>
      </c>
      <c r="P461" s="816">
        <f t="shared" si="1053"/>
        <v>525200</v>
      </c>
      <c r="Q461" s="814">
        <f t="shared" si="1053"/>
        <v>525200</v>
      </c>
      <c r="R461" s="814">
        <f t="shared" si="1053"/>
        <v>0</v>
      </c>
      <c r="S461" s="816">
        <f t="shared" si="1053"/>
        <v>0</v>
      </c>
      <c r="T461" s="814">
        <f t="shared" si="1053"/>
        <v>0</v>
      </c>
      <c r="U461" s="814">
        <f t="shared" si="1053"/>
        <v>0</v>
      </c>
      <c r="V461" s="816">
        <f t="shared" si="1053"/>
        <v>0</v>
      </c>
      <c r="W461" s="814">
        <f t="shared" si="1053"/>
        <v>0</v>
      </c>
      <c r="X461" s="814">
        <f t="shared" si="1053"/>
        <v>0</v>
      </c>
    </row>
    <row r="462" spans="1:24" ht="15.75" hidden="1" customHeight="1">
      <c r="A462" s="820"/>
      <c r="B462" s="821"/>
      <c r="C462" s="822"/>
      <c r="D462" s="823"/>
      <c r="E462" s="827"/>
      <c r="F462" s="827"/>
      <c r="G462" s="819"/>
      <c r="H462" s="411" t="s">
        <v>210</v>
      </c>
      <c r="I462" s="411" t="s">
        <v>210</v>
      </c>
      <c r="J462" s="818"/>
      <c r="K462" s="816"/>
      <c r="L462" s="816"/>
      <c r="M462" s="814"/>
      <c r="N462" s="814"/>
      <c r="O462" s="816"/>
      <c r="P462" s="816"/>
      <c r="Q462" s="814"/>
      <c r="R462" s="814"/>
      <c r="S462" s="816"/>
      <c r="T462" s="814"/>
      <c r="U462" s="814"/>
      <c r="V462" s="816"/>
      <c r="W462" s="814"/>
      <c r="X462" s="814"/>
    </row>
    <row r="463" spans="1:24" ht="14.25" customHeight="1">
      <c r="A463" s="824">
        <v>1</v>
      </c>
      <c r="B463" s="821" t="s">
        <v>840</v>
      </c>
      <c r="C463" s="822" t="s">
        <v>841</v>
      </c>
      <c r="D463" s="823" t="s">
        <v>842</v>
      </c>
      <c r="E463" s="819" t="s">
        <v>226</v>
      </c>
      <c r="F463" s="825" t="s">
        <v>783</v>
      </c>
      <c r="G463" s="819" t="s">
        <v>802</v>
      </c>
      <c r="H463" s="411" t="s">
        <v>210</v>
      </c>
      <c r="I463" s="411" t="s">
        <v>210</v>
      </c>
      <c r="J463" s="817" t="s">
        <v>5</v>
      </c>
      <c r="K463" s="816">
        <f t="shared" ref="K463" si="1054">L463+O463</f>
        <v>1500000</v>
      </c>
      <c r="L463" s="816">
        <f t="shared" ref="L463" si="1055">M463+N463</f>
        <v>0</v>
      </c>
      <c r="M463" s="814">
        <v>0</v>
      </c>
      <c r="N463" s="814">
        <v>0</v>
      </c>
      <c r="O463" s="816">
        <f t="shared" ref="O463" si="1056">P463+S463+V463</f>
        <v>1500000</v>
      </c>
      <c r="P463" s="816">
        <f t="shared" ref="P463" si="1057">Q463+R463</f>
        <v>1500000</v>
      </c>
      <c r="Q463" s="814">
        <v>1500000</v>
      </c>
      <c r="R463" s="814">
        <v>0</v>
      </c>
      <c r="S463" s="816">
        <f t="shared" ref="S463" si="1058">T463+U463</f>
        <v>0</v>
      </c>
      <c r="T463" s="814">
        <v>0</v>
      </c>
      <c r="U463" s="814">
        <v>0</v>
      </c>
      <c r="V463" s="816">
        <f t="shared" ref="V463" si="1059">W463+X463</f>
        <v>0</v>
      </c>
      <c r="W463" s="814">
        <v>0</v>
      </c>
      <c r="X463" s="814">
        <v>0</v>
      </c>
    </row>
    <row r="464" spans="1:24" ht="14.25" customHeight="1">
      <c r="A464" s="824"/>
      <c r="B464" s="821"/>
      <c r="C464" s="822"/>
      <c r="D464" s="823"/>
      <c r="E464" s="819"/>
      <c r="F464" s="826"/>
      <c r="G464" s="819"/>
      <c r="H464" s="411" t="s">
        <v>210</v>
      </c>
      <c r="I464" s="411" t="s">
        <v>210</v>
      </c>
      <c r="J464" s="818"/>
      <c r="K464" s="816"/>
      <c r="L464" s="816"/>
      <c r="M464" s="814"/>
      <c r="N464" s="814"/>
      <c r="O464" s="816"/>
      <c r="P464" s="816"/>
      <c r="Q464" s="814"/>
      <c r="R464" s="814"/>
      <c r="S464" s="816"/>
      <c r="T464" s="814"/>
      <c r="U464" s="814"/>
      <c r="V464" s="816"/>
      <c r="W464" s="814"/>
      <c r="X464" s="814"/>
    </row>
    <row r="465" spans="1:24" ht="14.25" customHeight="1">
      <c r="A465" s="824"/>
      <c r="B465" s="821"/>
      <c r="C465" s="822"/>
      <c r="D465" s="823"/>
      <c r="E465" s="819"/>
      <c r="F465" s="826"/>
      <c r="G465" s="819"/>
      <c r="H465" s="411" t="s">
        <v>210</v>
      </c>
      <c r="I465" s="411" t="s">
        <v>210</v>
      </c>
      <c r="J465" s="411" t="s">
        <v>6</v>
      </c>
      <c r="K465" s="413">
        <f t="shared" ref="K465" si="1060">L465+O465</f>
        <v>-100000</v>
      </c>
      <c r="L465" s="413">
        <f t="shared" ref="L465" si="1061">M465+N465</f>
        <v>0</v>
      </c>
      <c r="M465" s="414">
        <v>0</v>
      </c>
      <c r="N465" s="414">
        <v>0</v>
      </c>
      <c r="O465" s="413">
        <f t="shared" ref="O465" si="1062">P465+S465+V465</f>
        <v>-100000</v>
      </c>
      <c r="P465" s="413">
        <f t="shared" ref="P465" si="1063">Q465+R465</f>
        <v>-100000</v>
      </c>
      <c r="Q465" s="414">
        <v>-100000</v>
      </c>
      <c r="R465" s="414">
        <v>0</v>
      </c>
      <c r="S465" s="413">
        <f t="shared" ref="S465" si="1064">T465+U465</f>
        <v>0</v>
      </c>
      <c r="T465" s="414">
        <v>0</v>
      </c>
      <c r="U465" s="414">
        <v>0</v>
      </c>
      <c r="V465" s="413">
        <f t="shared" ref="V465" si="1065">W465+X465</f>
        <v>0</v>
      </c>
      <c r="W465" s="414">
        <v>0</v>
      </c>
      <c r="X465" s="414">
        <v>0</v>
      </c>
    </row>
    <row r="466" spans="1:24" ht="14.25" customHeight="1">
      <c r="A466" s="824"/>
      <c r="B466" s="821"/>
      <c r="C466" s="822"/>
      <c r="D466" s="823"/>
      <c r="E466" s="819"/>
      <c r="F466" s="826"/>
      <c r="G466" s="819"/>
      <c r="H466" s="411" t="s">
        <v>210</v>
      </c>
      <c r="I466" s="411" t="s">
        <v>210</v>
      </c>
      <c r="J466" s="817" t="s">
        <v>7</v>
      </c>
      <c r="K466" s="816">
        <f t="shared" ref="K466:X466" si="1066">K463+K465</f>
        <v>1400000</v>
      </c>
      <c r="L466" s="816">
        <f t="shared" si="1066"/>
        <v>0</v>
      </c>
      <c r="M466" s="814">
        <f t="shared" si="1066"/>
        <v>0</v>
      </c>
      <c r="N466" s="814">
        <f t="shared" si="1066"/>
        <v>0</v>
      </c>
      <c r="O466" s="816">
        <f t="shared" si="1066"/>
        <v>1400000</v>
      </c>
      <c r="P466" s="816">
        <f t="shared" si="1066"/>
        <v>1400000</v>
      </c>
      <c r="Q466" s="814">
        <f t="shared" si="1066"/>
        <v>1400000</v>
      </c>
      <c r="R466" s="814">
        <f t="shared" si="1066"/>
        <v>0</v>
      </c>
      <c r="S466" s="816">
        <f t="shared" si="1066"/>
        <v>0</v>
      </c>
      <c r="T466" s="814">
        <f t="shared" si="1066"/>
        <v>0</v>
      </c>
      <c r="U466" s="814">
        <f t="shared" si="1066"/>
        <v>0</v>
      </c>
      <c r="V466" s="816">
        <f t="shared" si="1066"/>
        <v>0</v>
      </c>
      <c r="W466" s="814">
        <f t="shared" si="1066"/>
        <v>0</v>
      </c>
      <c r="X466" s="814">
        <f t="shared" si="1066"/>
        <v>0</v>
      </c>
    </row>
    <row r="467" spans="1:24" ht="14.25" customHeight="1">
      <c r="A467" s="824"/>
      <c r="B467" s="821"/>
      <c r="C467" s="822"/>
      <c r="D467" s="823"/>
      <c r="E467" s="819"/>
      <c r="F467" s="827"/>
      <c r="G467" s="819"/>
      <c r="H467" s="411" t="s">
        <v>210</v>
      </c>
      <c r="I467" s="411" t="s">
        <v>210</v>
      </c>
      <c r="J467" s="818"/>
      <c r="K467" s="816"/>
      <c r="L467" s="816"/>
      <c r="M467" s="814"/>
      <c r="N467" s="814"/>
      <c r="O467" s="816"/>
      <c r="P467" s="816"/>
      <c r="Q467" s="814"/>
      <c r="R467" s="814"/>
      <c r="S467" s="816"/>
      <c r="T467" s="814"/>
      <c r="U467" s="814"/>
      <c r="V467" s="816"/>
      <c r="W467" s="814"/>
      <c r="X467" s="814"/>
    </row>
    <row r="468" spans="1:24" ht="15.75" hidden="1" customHeight="1">
      <c r="A468" s="820">
        <v>3</v>
      </c>
      <c r="B468" s="840" t="s">
        <v>724</v>
      </c>
      <c r="C468" s="841" t="s">
        <v>725</v>
      </c>
      <c r="D468" s="842" t="s">
        <v>843</v>
      </c>
      <c r="E468" s="843" t="s">
        <v>226</v>
      </c>
      <c r="F468" s="844" t="s">
        <v>738</v>
      </c>
      <c r="G468" s="819" t="s">
        <v>802</v>
      </c>
      <c r="H468" s="411" t="s">
        <v>210</v>
      </c>
      <c r="I468" s="411" t="s">
        <v>210</v>
      </c>
      <c r="J468" s="817" t="s">
        <v>5</v>
      </c>
      <c r="K468" s="816">
        <f t="shared" ref="K468" si="1067">L468+O468</f>
        <v>38563</v>
      </c>
      <c r="L468" s="816">
        <f t="shared" ref="L468" si="1068">M468+N468</f>
        <v>0</v>
      </c>
      <c r="M468" s="814">
        <v>0</v>
      </c>
      <c r="N468" s="814">
        <v>0</v>
      </c>
      <c r="O468" s="816">
        <f t="shared" ref="O468" si="1069">P468+S468+V468</f>
        <v>38563</v>
      </c>
      <c r="P468" s="816">
        <f t="shared" ref="P468" si="1070">Q468+R468</f>
        <v>38563</v>
      </c>
      <c r="Q468" s="814">
        <v>38563</v>
      </c>
      <c r="R468" s="814">
        <v>0</v>
      </c>
      <c r="S468" s="816">
        <f t="shared" ref="S468" si="1071">T468+U468</f>
        <v>0</v>
      </c>
      <c r="T468" s="814">
        <v>0</v>
      </c>
      <c r="U468" s="814">
        <v>0</v>
      </c>
      <c r="V468" s="816">
        <f t="shared" ref="V468" si="1072">W468+X468</f>
        <v>0</v>
      </c>
      <c r="W468" s="814">
        <v>0</v>
      </c>
      <c r="X468" s="814">
        <v>0</v>
      </c>
    </row>
    <row r="469" spans="1:24" ht="15.75" hidden="1" customHeight="1">
      <c r="A469" s="820"/>
      <c r="B469" s="840"/>
      <c r="C469" s="841"/>
      <c r="D469" s="842"/>
      <c r="E469" s="843"/>
      <c r="F469" s="845"/>
      <c r="G469" s="819"/>
      <c r="H469" s="411" t="s">
        <v>210</v>
      </c>
      <c r="I469" s="411" t="s">
        <v>210</v>
      </c>
      <c r="J469" s="818"/>
      <c r="K469" s="816"/>
      <c r="L469" s="816"/>
      <c r="M469" s="814"/>
      <c r="N469" s="814"/>
      <c r="O469" s="816"/>
      <c r="P469" s="816"/>
      <c r="Q469" s="814"/>
      <c r="R469" s="814"/>
      <c r="S469" s="816"/>
      <c r="T469" s="814"/>
      <c r="U469" s="814"/>
      <c r="V469" s="816"/>
      <c r="W469" s="814"/>
      <c r="X469" s="814"/>
    </row>
    <row r="470" spans="1:24" ht="15.75" hidden="1" customHeight="1">
      <c r="A470" s="820"/>
      <c r="B470" s="840"/>
      <c r="C470" s="841"/>
      <c r="D470" s="842"/>
      <c r="E470" s="843"/>
      <c r="F470" s="845"/>
      <c r="G470" s="819"/>
      <c r="H470" s="411" t="s">
        <v>210</v>
      </c>
      <c r="I470" s="411" t="s">
        <v>210</v>
      </c>
      <c r="J470" s="411" t="s">
        <v>6</v>
      </c>
      <c r="K470" s="413">
        <f t="shared" ref="K470" si="1073">L470+O470</f>
        <v>0</v>
      </c>
      <c r="L470" s="413">
        <f t="shared" ref="L470" si="1074">M470+N470</f>
        <v>0</v>
      </c>
      <c r="M470" s="414">
        <v>0</v>
      </c>
      <c r="N470" s="414">
        <v>0</v>
      </c>
      <c r="O470" s="413">
        <f t="shared" ref="O470" si="1075">P470+S470+V470</f>
        <v>0</v>
      </c>
      <c r="P470" s="413">
        <f t="shared" ref="P470" si="1076">Q470+R470</f>
        <v>0</v>
      </c>
      <c r="Q470" s="414">
        <v>0</v>
      </c>
      <c r="R470" s="414">
        <v>0</v>
      </c>
      <c r="S470" s="413">
        <f t="shared" ref="S470" si="1077">T470+U470</f>
        <v>0</v>
      </c>
      <c r="T470" s="414">
        <v>0</v>
      </c>
      <c r="U470" s="414">
        <v>0</v>
      </c>
      <c r="V470" s="413">
        <f t="shared" ref="V470" si="1078">W470+X470</f>
        <v>0</v>
      </c>
      <c r="W470" s="414">
        <v>0</v>
      </c>
      <c r="X470" s="414">
        <v>0</v>
      </c>
    </row>
    <row r="471" spans="1:24" ht="15.75" hidden="1" customHeight="1">
      <c r="A471" s="820"/>
      <c r="B471" s="840"/>
      <c r="C471" s="841"/>
      <c r="D471" s="842"/>
      <c r="E471" s="843"/>
      <c r="F471" s="845"/>
      <c r="G471" s="819"/>
      <c r="H471" s="411" t="s">
        <v>210</v>
      </c>
      <c r="I471" s="411" t="s">
        <v>210</v>
      </c>
      <c r="J471" s="817" t="s">
        <v>7</v>
      </c>
      <c r="K471" s="816">
        <f t="shared" ref="K471:X471" si="1079">K468+K470</f>
        <v>38563</v>
      </c>
      <c r="L471" s="816">
        <f t="shared" si="1079"/>
        <v>0</v>
      </c>
      <c r="M471" s="814">
        <f t="shared" si="1079"/>
        <v>0</v>
      </c>
      <c r="N471" s="814">
        <f t="shared" si="1079"/>
        <v>0</v>
      </c>
      <c r="O471" s="816">
        <f t="shared" si="1079"/>
        <v>38563</v>
      </c>
      <c r="P471" s="816">
        <f t="shared" si="1079"/>
        <v>38563</v>
      </c>
      <c r="Q471" s="814">
        <f t="shared" si="1079"/>
        <v>38563</v>
      </c>
      <c r="R471" s="814">
        <f t="shared" si="1079"/>
        <v>0</v>
      </c>
      <c r="S471" s="816">
        <f t="shared" si="1079"/>
        <v>0</v>
      </c>
      <c r="T471" s="814">
        <f t="shared" si="1079"/>
        <v>0</v>
      </c>
      <c r="U471" s="814">
        <f t="shared" si="1079"/>
        <v>0</v>
      </c>
      <c r="V471" s="816">
        <f t="shared" si="1079"/>
        <v>0</v>
      </c>
      <c r="W471" s="814">
        <f t="shared" si="1079"/>
        <v>0</v>
      </c>
      <c r="X471" s="814">
        <f t="shared" si="1079"/>
        <v>0</v>
      </c>
    </row>
    <row r="472" spans="1:24" ht="15.75" hidden="1" customHeight="1">
      <c r="A472" s="820"/>
      <c r="B472" s="840"/>
      <c r="C472" s="841"/>
      <c r="D472" s="842"/>
      <c r="E472" s="843"/>
      <c r="F472" s="846"/>
      <c r="G472" s="819"/>
      <c r="H472" s="411" t="s">
        <v>210</v>
      </c>
      <c r="I472" s="411" t="s">
        <v>210</v>
      </c>
      <c r="J472" s="818"/>
      <c r="K472" s="816"/>
      <c r="L472" s="816"/>
      <c r="M472" s="814"/>
      <c r="N472" s="814"/>
      <c r="O472" s="816"/>
      <c r="P472" s="816"/>
      <c r="Q472" s="814"/>
      <c r="R472" s="814"/>
      <c r="S472" s="816"/>
      <c r="T472" s="814"/>
      <c r="U472" s="814"/>
      <c r="V472" s="816"/>
      <c r="W472" s="814"/>
      <c r="X472" s="814"/>
    </row>
    <row r="473" spans="1:24" ht="15.75" hidden="1" customHeight="1">
      <c r="A473" s="820">
        <v>3</v>
      </c>
      <c r="B473" s="821" t="s">
        <v>844</v>
      </c>
      <c r="C473" s="822" t="s">
        <v>845</v>
      </c>
      <c r="D473" s="823" t="s">
        <v>846</v>
      </c>
      <c r="E473" s="825" t="s">
        <v>732</v>
      </c>
      <c r="F473" s="825" t="s">
        <v>755</v>
      </c>
      <c r="G473" s="819" t="s">
        <v>802</v>
      </c>
      <c r="H473" s="411" t="s">
        <v>210</v>
      </c>
      <c r="I473" s="411" t="s">
        <v>210</v>
      </c>
      <c r="J473" s="817" t="s">
        <v>5</v>
      </c>
      <c r="K473" s="816">
        <f t="shared" ref="K473" si="1080">L473+O473</f>
        <v>718150</v>
      </c>
      <c r="L473" s="816">
        <f t="shared" ref="L473" si="1081">M473+N473</f>
        <v>0</v>
      </c>
      <c r="M473" s="814">
        <v>0</v>
      </c>
      <c r="N473" s="814">
        <v>0</v>
      </c>
      <c r="O473" s="816">
        <f t="shared" ref="O473" si="1082">P473+S473+V473</f>
        <v>718150</v>
      </c>
      <c r="P473" s="816">
        <f t="shared" ref="P473" si="1083">Q473+R473</f>
        <v>718150</v>
      </c>
      <c r="Q473" s="814">
        <v>718150</v>
      </c>
      <c r="R473" s="814">
        <v>0</v>
      </c>
      <c r="S473" s="816">
        <f t="shared" ref="S473" si="1084">T473+U473</f>
        <v>0</v>
      </c>
      <c r="T473" s="814">
        <v>0</v>
      </c>
      <c r="U473" s="814">
        <v>0</v>
      </c>
      <c r="V473" s="816">
        <f t="shared" ref="V473" si="1085">W473+X473</f>
        <v>0</v>
      </c>
      <c r="W473" s="814">
        <v>0</v>
      </c>
      <c r="X473" s="814">
        <v>0</v>
      </c>
    </row>
    <row r="474" spans="1:24" ht="15.75" hidden="1" customHeight="1">
      <c r="A474" s="820"/>
      <c r="B474" s="821"/>
      <c r="C474" s="822"/>
      <c r="D474" s="823"/>
      <c r="E474" s="826"/>
      <c r="F474" s="826"/>
      <c r="G474" s="819"/>
      <c r="H474" s="411" t="s">
        <v>210</v>
      </c>
      <c r="I474" s="411" t="s">
        <v>210</v>
      </c>
      <c r="J474" s="818"/>
      <c r="K474" s="816"/>
      <c r="L474" s="816"/>
      <c r="M474" s="814"/>
      <c r="N474" s="814"/>
      <c r="O474" s="816"/>
      <c r="P474" s="816"/>
      <c r="Q474" s="814"/>
      <c r="R474" s="814"/>
      <c r="S474" s="816"/>
      <c r="T474" s="814"/>
      <c r="U474" s="814"/>
      <c r="V474" s="816"/>
      <c r="W474" s="814"/>
      <c r="X474" s="814"/>
    </row>
    <row r="475" spans="1:24" ht="15.75" hidden="1" customHeight="1">
      <c r="A475" s="820"/>
      <c r="B475" s="821"/>
      <c r="C475" s="822"/>
      <c r="D475" s="823"/>
      <c r="E475" s="826"/>
      <c r="F475" s="826"/>
      <c r="G475" s="819"/>
      <c r="H475" s="411" t="s">
        <v>210</v>
      </c>
      <c r="I475" s="411" t="s">
        <v>210</v>
      </c>
      <c r="J475" s="411" t="s">
        <v>6</v>
      </c>
      <c r="K475" s="413">
        <f t="shared" ref="K475" si="1086">L475+O475</f>
        <v>0</v>
      </c>
      <c r="L475" s="413">
        <f t="shared" ref="L475" si="1087">M475+N475</f>
        <v>0</v>
      </c>
      <c r="M475" s="414">
        <v>0</v>
      </c>
      <c r="N475" s="414">
        <v>0</v>
      </c>
      <c r="O475" s="413">
        <f t="shared" ref="O475" si="1088">P475+S475+V475</f>
        <v>0</v>
      </c>
      <c r="P475" s="413">
        <f t="shared" ref="P475" si="1089">Q475+R475</f>
        <v>0</v>
      </c>
      <c r="Q475" s="414">
        <v>0</v>
      </c>
      <c r="R475" s="414">
        <v>0</v>
      </c>
      <c r="S475" s="413">
        <f t="shared" ref="S475" si="1090">T475+U475</f>
        <v>0</v>
      </c>
      <c r="T475" s="414">
        <v>0</v>
      </c>
      <c r="U475" s="414">
        <v>0</v>
      </c>
      <c r="V475" s="413">
        <f t="shared" ref="V475" si="1091">W475+X475</f>
        <v>0</v>
      </c>
      <c r="W475" s="414">
        <v>0</v>
      </c>
      <c r="X475" s="414">
        <v>0</v>
      </c>
    </row>
    <row r="476" spans="1:24" ht="15.75" hidden="1" customHeight="1">
      <c r="A476" s="820"/>
      <c r="B476" s="821"/>
      <c r="C476" s="822"/>
      <c r="D476" s="823"/>
      <c r="E476" s="826"/>
      <c r="F476" s="826"/>
      <c r="G476" s="819"/>
      <c r="H476" s="411" t="s">
        <v>210</v>
      </c>
      <c r="I476" s="411" t="s">
        <v>210</v>
      </c>
      <c r="J476" s="817" t="s">
        <v>7</v>
      </c>
      <c r="K476" s="816">
        <f t="shared" ref="K476:X476" si="1092">K473+K475</f>
        <v>718150</v>
      </c>
      <c r="L476" s="816">
        <f t="shared" si="1092"/>
        <v>0</v>
      </c>
      <c r="M476" s="814">
        <f t="shared" si="1092"/>
        <v>0</v>
      </c>
      <c r="N476" s="814">
        <f t="shared" si="1092"/>
        <v>0</v>
      </c>
      <c r="O476" s="816">
        <f t="shared" si="1092"/>
        <v>718150</v>
      </c>
      <c r="P476" s="816">
        <f t="shared" si="1092"/>
        <v>718150</v>
      </c>
      <c r="Q476" s="814">
        <f t="shared" si="1092"/>
        <v>718150</v>
      </c>
      <c r="R476" s="814">
        <f t="shared" si="1092"/>
        <v>0</v>
      </c>
      <c r="S476" s="816">
        <f t="shared" si="1092"/>
        <v>0</v>
      </c>
      <c r="T476" s="814">
        <f t="shared" si="1092"/>
        <v>0</v>
      </c>
      <c r="U476" s="814">
        <f t="shared" si="1092"/>
        <v>0</v>
      </c>
      <c r="V476" s="816">
        <f t="shared" si="1092"/>
        <v>0</v>
      </c>
      <c r="W476" s="814">
        <f t="shared" si="1092"/>
        <v>0</v>
      </c>
      <c r="X476" s="814">
        <f t="shared" si="1092"/>
        <v>0</v>
      </c>
    </row>
    <row r="477" spans="1:24" ht="15.75" hidden="1" customHeight="1">
      <c r="A477" s="820"/>
      <c r="B477" s="821"/>
      <c r="C477" s="822"/>
      <c r="D477" s="823"/>
      <c r="E477" s="827"/>
      <c r="F477" s="827"/>
      <c r="G477" s="819"/>
      <c r="H477" s="411" t="s">
        <v>210</v>
      </c>
      <c r="I477" s="411" t="s">
        <v>210</v>
      </c>
      <c r="J477" s="818"/>
      <c r="K477" s="816"/>
      <c r="L477" s="816"/>
      <c r="M477" s="814"/>
      <c r="N477" s="814"/>
      <c r="O477" s="816"/>
      <c r="P477" s="816"/>
      <c r="Q477" s="814"/>
      <c r="R477" s="814"/>
      <c r="S477" s="816"/>
      <c r="T477" s="814"/>
      <c r="U477" s="814"/>
      <c r="V477" s="816"/>
      <c r="W477" s="814"/>
      <c r="X477" s="814"/>
    </row>
    <row r="478" spans="1:24" ht="15.75" hidden="1" customHeight="1">
      <c r="A478" s="820">
        <v>15</v>
      </c>
      <c r="B478" s="821" t="s">
        <v>728</v>
      </c>
      <c r="C478" s="822" t="s">
        <v>729</v>
      </c>
      <c r="D478" s="823" t="s">
        <v>847</v>
      </c>
      <c r="E478" s="819" t="s">
        <v>226</v>
      </c>
      <c r="F478" s="819" t="s">
        <v>848</v>
      </c>
      <c r="G478" s="819" t="s">
        <v>802</v>
      </c>
      <c r="H478" s="411" t="s">
        <v>210</v>
      </c>
      <c r="I478" s="411" t="s">
        <v>210</v>
      </c>
      <c r="J478" s="817" t="s">
        <v>5</v>
      </c>
      <c r="K478" s="816">
        <f t="shared" ref="K478" si="1093">L478+O478</f>
        <v>315000</v>
      </c>
      <c r="L478" s="816">
        <f t="shared" ref="L478" si="1094">M478+N478</f>
        <v>0</v>
      </c>
      <c r="M478" s="814">
        <v>0</v>
      </c>
      <c r="N478" s="814">
        <v>0</v>
      </c>
      <c r="O478" s="816">
        <f t="shared" ref="O478" si="1095">P478+S478+V478</f>
        <v>315000</v>
      </c>
      <c r="P478" s="816">
        <f t="shared" ref="P478" si="1096">Q478+R478</f>
        <v>315000</v>
      </c>
      <c r="Q478" s="814">
        <v>315000</v>
      </c>
      <c r="R478" s="814">
        <v>0</v>
      </c>
      <c r="S478" s="816">
        <f t="shared" ref="S478" si="1097">T478+U478</f>
        <v>0</v>
      </c>
      <c r="T478" s="814">
        <v>0</v>
      </c>
      <c r="U478" s="814">
        <v>0</v>
      </c>
      <c r="V478" s="816">
        <f t="shared" ref="V478" si="1098">W478+X478</f>
        <v>0</v>
      </c>
      <c r="W478" s="814">
        <v>0</v>
      </c>
      <c r="X478" s="814">
        <v>0</v>
      </c>
    </row>
    <row r="479" spans="1:24" ht="15.75" hidden="1" customHeight="1">
      <c r="A479" s="820"/>
      <c r="B479" s="821"/>
      <c r="C479" s="822"/>
      <c r="D479" s="823"/>
      <c r="E479" s="819"/>
      <c r="F479" s="819"/>
      <c r="G479" s="819"/>
      <c r="H479" s="411" t="s">
        <v>210</v>
      </c>
      <c r="I479" s="411" t="s">
        <v>210</v>
      </c>
      <c r="J479" s="818"/>
      <c r="K479" s="816"/>
      <c r="L479" s="816"/>
      <c r="M479" s="814"/>
      <c r="N479" s="814"/>
      <c r="O479" s="816"/>
      <c r="P479" s="816"/>
      <c r="Q479" s="814"/>
      <c r="R479" s="814"/>
      <c r="S479" s="816"/>
      <c r="T479" s="814"/>
      <c r="U479" s="814"/>
      <c r="V479" s="816"/>
      <c r="W479" s="814"/>
      <c r="X479" s="814"/>
    </row>
    <row r="480" spans="1:24" ht="15.75" hidden="1" customHeight="1">
      <c r="A480" s="820"/>
      <c r="B480" s="821"/>
      <c r="C480" s="822"/>
      <c r="D480" s="823"/>
      <c r="E480" s="819"/>
      <c r="F480" s="819"/>
      <c r="G480" s="819"/>
      <c r="H480" s="411" t="s">
        <v>210</v>
      </c>
      <c r="I480" s="411" t="s">
        <v>210</v>
      </c>
      <c r="J480" s="411" t="s">
        <v>6</v>
      </c>
      <c r="K480" s="413">
        <f t="shared" ref="K480" si="1099">L480+O480</f>
        <v>0</v>
      </c>
      <c r="L480" s="413">
        <f t="shared" ref="L480" si="1100">M480+N480</f>
        <v>0</v>
      </c>
      <c r="M480" s="414">
        <v>0</v>
      </c>
      <c r="N480" s="414">
        <v>0</v>
      </c>
      <c r="O480" s="413">
        <f t="shared" ref="O480" si="1101">P480+S480+V480</f>
        <v>0</v>
      </c>
      <c r="P480" s="413">
        <f t="shared" ref="P480" si="1102">Q480+R480</f>
        <v>0</v>
      </c>
      <c r="Q480" s="414">
        <v>0</v>
      </c>
      <c r="R480" s="414">
        <v>0</v>
      </c>
      <c r="S480" s="413">
        <f t="shared" ref="S480" si="1103">T480+U480</f>
        <v>0</v>
      </c>
      <c r="T480" s="414">
        <v>0</v>
      </c>
      <c r="U480" s="414">
        <v>0</v>
      </c>
      <c r="V480" s="413">
        <f t="shared" ref="V480" si="1104">W480+X480</f>
        <v>0</v>
      </c>
      <c r="W480" s="414">
        <v>0</v>
      </c>
      <c r="X480" s="414">
        <v>0</v>
      </c>
    </row>
    <row r="481" spans="1:24" ht="15.75" hidden="1" customHeight="1">
      <c r="A481" s="820"/>
      <c r="B481" s="821"/>
      <c r="C481" s="822"/>
      <c r="D481" s="823"/>
      <c r="E481" s="819"/>
      <c r="F481" s="819"/>
      <c r="G481" s="819"/>
      <c r="H481" s="411" t="s">
        <v>210</v>
      </c>
      <c r="I481" s="411" t="s">
        <v>210</v>
      </c>
      <c r="J481" s="817" t="s">
        <v>7</v>
      </c>
      <c r="K481" s="816">
        <f t="shared" ref="K481:X481" si="1105">K478+K480</f>
        <v>315000</v>
      </c>
      <c r="L481" s="816">
        <f t="shared" si="1105"/>
        <v>0</v>
      </c>
      <c r="M481" s="814">
        <f t="shared" si="1105"/>
        <v>0</v>
      </c>
      <c r="N481" s="814">
        <f t="shared" si="1105"/>
        <v>0</v>
      </c>
      <c r="O481" s="816">
        <f t="shared" si="1105"/>
        <v>315000</v>
      </c>
      <c r="P481" s="816">
        <f t="shared" si="1105"/>
        <v>315000</v>
      </c>
      <c r="Q481" s="814">
        <f t="shared" si="1105"/>
        <v>315000</v>
      </c>
      <c r="R481" s="814">
        <f t="shared" si="1105"/>
        <v>0</v>
      </c>
      <c r="S481" s="816">
        <f t="shared" si="1105"/>
        <v>0</v>
      </c>
      <c r="T481" s="814">
        <f t="shared" si="1105"/>
        <v>0</v>
      </c>
      <c r="U481" s="814">
        <f t="shared" si="1105"/>
        <v>0</v>
      </c>
      <c r="V481" s="816">
        <f t="shared" si="1105"/>
        <v>0</v>
      </c>
      <c r="W481" s="814">
        <f t="shared" si="1105"/>
        <v>0</v>
      </c>
      <c r="X481" s="814">
        <f t="shared" si="1105"/>
        <v>0</v>
      </c>
    </row>
    <row r="482" spans="1:24" ht="15.75" hidden="1" customHeight="1">
      <c r="A482" s="820"/>
      <c r="B482" s="821"/>
      <c r="C482" s="822"/>
      <c r="D482" s="823"/>
      <c r="E482" s="819"/>
      <c r="F482" s="819"/>
      <c r="G482" s="819"/>
      <c r="H482" s="411" t="s">
        <v>210</v>
      </c>
      <c r="I482" s="411" t="s">
        <v>210</v>
      </c>
      <c r="J482" s="818"/>
      <c r="K482" s="816"/>
      <c r="L482" s="816"/>
      <c r="M482" s="814"/>
      <c r="N482" s="814"/>
      <c r="O482" s="816"/>
      <c r="P482" s="816"/>
      <c r="Q482" s="814"/>
      <c r="R482" s="814"/>
      <c r="S482" s="816"/>
      <c r="T482" s="814"/>
      <c r="U482" s="814"/>
      <c r="V482" s="816"/>
      <c r="W482" s="814"/>
      <c r="X482" s="814"/>
    </row>
    <row r="483" spans="1:24" ht="15.75" hidden="1" customHeight="1">
      <c r="A483" s="820">
        <v>3</v>
      </c>
      <c r="B483" s="821" t="s">
        <v>849</v>
      </c>
      <c r="C483" s="822" t="s">
        <v>729</v>
      </c>
      <c r="D483" s="823" t="s">
        <v>850</v>
      </c>
      <c r="E483" s="819" t="s">
        <v>226</v>
      </c>
      <c r="F483" s="819" t="s">
        <v>851</v>
      </c>
      <c r="G483" s="819" t="s">
        <v>802</v>
      </c>
      <c r="H483" s="411" t="s">
        <v>210</v>
      </c>
      <c r="I483" s="411" t="s">
        <v>210</v>
      </c>
      <c r="J483" s="817" t="s">
        <v>5</v>
      </c>
      <c r="K483" s="816">
        <f t="shared" ref="K483" si="1106">L483+O483</f>
        <v>760000</v>
      </c>
      <c r="L483" s="816">
        <f t="shared" ref="L483" si="1107">M483+N483</f>
        <v>0</v>
      </c>
      <c r="M483" s="814">
        <v>0</v>
      </c>
      <c r="N483" s="814">
        <v>0</v>
      </c>
      <c r="O483" s="816">
        <f t="shared" ref="O483" si="1108">P483+S483+V483</f>
        <v>760000</v>
      </c>
      <c r="P483" s="816">
        <f t="shared" ref="P483" si="1109">Q483+R483</f>
        <v>760000</v>
      </c>
      <c r="Q483" s="814">
        <v>760000</v>
      </c>
      <c r="R483" s="814">
        <v>0</v>
      </c>
      <c r="S483" s="816">
        <f t="shared" ref="S483" si="1110">T483+U483</f>
        <v>0</v>
      </c>
      <c r="T483" s="814">
        <v>0</v>
      </c>
      <c r="U483" s="814">
        <v>0</v>
      </c>
      <c r="V483" s="816">
        <f t="shared" ref="V483" si="1111">W483+X483</f>
        <v>0</v>
      </c>
      <c r="W483" s="814">
        <v>0</v>
      </c>
      <c r="X483" s="814">
        <v>0</v>
      </c>
    </row>
    <row r="484" spans="1:24" ht="15.75" hidden="1" customHeight="1">
      <c r="A484" s="820"/>
      <c r="B484" s="821"/>
      <c r="C484" s="822"/>
      <c r="D484" s="823"/>
      <c r="E484" s="819"/>
      <c r="F484" s="819"/>
      <c r="G484" s="819"/>
      <c r="H484" s="411" t="s">
        <v>210</v>
      </c>
      <c r="I484" s="411" t="s">
        <v>210</v>
      </c>
      <c r="J484" s="818"/>
      <c r="K484" s="816"/>
      <c r="L484" s="816"/>
      <c r="M484" s="814"/>
      <c r="N484" s="814"/>
      <c r="O484" s="816"/>
      <c r="P484" s="816"/>
      <c r="Q484" s="814"/>
      <c r="R484" s="814"/>
      <c r="S484" s="816"/>
      <c r="T484" s="814"/>
      <c r="U484" s="814"/>
      <c r="V484" s="816"/>
      <c r="W484" s="814"/>
      <c r="X484" s="814"/>
    </row>
    <row r="485" spans="1:24" ht="15.75" hidden="1" customHeight="1">
      <c r="A485" s="820"/>
      <c r="B485" s="821"/>
      <c r="C485" s="822"/>
      <c r="D485" s="823"/>
      <c r="E485" s="819"/>
      <c r="F485" s="819"/>
      <c r="G485" s="819"/>
      <c r="H485" s="411" t="s">
        <v>210</v>
      </c>
      <c r="I485" s="411" t="s">
        <v>210</v>
      </c>
      <c r="J485" s="411" t="s">
        <v>6</v>
      </c>
      <c r="K485" s="413">
        <f t="shared" ref="K485" si="1112">L485+O485</f>
        <v>0</v>
      </c>
      <c r="L485" s="413">
        <f t="shared" ref="L485" si="1113">M485+N485</f>
        <v>0</v>
      </c>
      <c r="M485" s="414">
        <v>0</v>
      </c>
      <c r="N485" s="414">
        <v>0</v>
      </c>
      <c r="O485" s="413">
        <f t="shared" ref="O485" si="1114">P485+S485+V485</f>
        <v>0</v>
      </c>
      <c r="P485" s="413">
        <f t="shared" ref="P485" si="1115">Q485+R485</f>
        <v>0</v>
      </c>
      <c r="Q485" s="414">
        <v>0</v>
      </c>
      <c r="R485" s="414">
        <v>0</v>
      </c>
      <c r="S485" s="413">
        <f t="shared" ref="S485" si="1116">T485+U485</f>
        <v>0</v>
      </c>
      <c r="T485" s="414">
        <v>0</v>
      </c>
      <c r="U485" s="414">
        <v>0</v>
      </c>
      <c r="V485" s="413">
        <f t="shared" ref="V485" si="1117">W485+X485</f>
        <v>0</v>
      </c>
      <c r="W485" s="414">
        <v>0</v>
      </c>
      <c r="X485" s="414">
        <v>0</v>
      </c>
    </row>
    <row r="486" spans="1:24" ht="15.75" hidden="1" customHeight="1">
      <c r="A486" s="820"/>
      <c r="B486" s="821"/>
      <c r="C486" s="822"/>
      <c r="D486" s="823"/>
      <c r="E486" s="819"/>
      <c r="F486" s="819"/>
      <c r="G486" s="819"/>
      <c r="H486" s="411" t="s">
        <v>210</v>
      </c>
      <c r="I486" s="411" t="s">
        <v>210</v>
      </c>
      <c r="J486" s="817" t="s">
        <v>7</v>
      </c>
      <c r="K486" s="816">
        <f t="shared" ref="K486:X486" si="1118">K483+K485</f>
        <v>760000</v>
      </c>
      <c r="L486" s="816">
        <f t="shared" si="1118"/>
        <v>0</v>
      </c>
      <c r="M486" s="814">
        <f t="shared" si="1118"/>
        <v>0</v>
      </c>
      <c r="N486" s="814">
        <f t="shared" si="1118"/>
        <v>0</v>
      </c>
      <c r="O486" s="816">
        <f t="shared" si="1118"/>
        <v>760000</v>
      </c>
      <c r="P486" s="816">
        <f t="shared" si="1118"/>
        <v>760000</v>
      </c>
      <c r="Q486" s="814">
        <f t="shared" si="1118"/>
        <v>760000</v>
      </c>
      <c r="R486" s="814">
        <f t="shared" si="1118"/>
        <v>0</v>
      </c>
      <c r="S486" s="816">
        <f t="shared" si="1118"/>
        <v>0</v>
      </c>
      <c r="T486" s="814">
        <f t="shared" si="1118"/>
        <v>0</v>
      </c>
      <c r="U486" s="814">
        <f t="shared" si="1118"/>
        <v>0</v>
      </c>
      <c r="V486" s="816">
        <f t="shared" si="1118"/>
        <v>0</v>
      </c>
      <c r="W486" s="814">
        <f t="shared" si="1118"/>
        <v>0</v>
      </c>
      <c r="X486" s="814">
        <f t="shared" si="1118"/>
        <v>0</v>
      </c>
    </row>
    <row r="487" spans="1:24" ht="15.75" hidden="1" customHeight="1">
      <c r="A487" s="820"/>
      <c r="B487" s="821"/>
      <c r="C487" s="822"/>
      <c r="D487" s="823"/>
      <c r="E487" s="819"/>
      <c r="F487" s="819"/>
      <c r="G487" s="819"/>
      <c r="H487" s="411" t="s">
        <v>210</v>
      </c>
      <c r="I487" s="411" t="s">
        <v>210</v>
      </c>
      <c r="J487" s="818"/>
      <c r="K487" s="816"/>
      <c r="L487" s="816"/>
      <c r="M487" s="814"/>
      <c r="N487" s="814"/>
      <c r="O487" s="816"/>
      <c r="P487" s="816"/>
      <c r="Q487" s="814"/>
      <c r="R487" s="814"/>
      <c r="S487" s="816"/>
      <c r="T487" s="814"/>
      <c r="U487" s="814"/>
      <c r="V487" s="816"/>
      <c r="W487" s="814"/>
      <c r="X487" s="814"/>
    </row>
    <row r="488" spans="1:24" ht="15.75" hidden="1" customHeight="1">
      <c r="A488" s="820">
        <v>1</v>
      </c>
      <c r="B488" s="821" t="s">
        <v>566</v>
      </c>
      <c r="C488" s="822" t="s">
        <v>742</v>
      </c>
      <c r="D488" s="823" t="s">
        <v>852</v>
      </c>
      <c r="E488" s="819" t="s">
        <v>226</v>
      </c>
      <c r="F488" s="819" t="s">
        <v>853</v>
      </c>
      <c r="G488" s="819" t="s">
        <v>802</v>
      </c>
      <c r="H488" s="411" t="s">
        <v>210</v>
      </c>
      <c r="I488" s="411" t="s">
        <v>210</v>
      </c>
      <c r="J488" s="817" t="s">
        <v>5</v>
      </c>
      <c r="K488" s="816">
        <f t="shared" ref="K488" si="1119">L488+O488</f>
        <v>93619</v>
      </c>
      <c r="L488" s="816">
        <f t="shared" ref="L488" si="1120">M488+N488</f>
        <v>0</v>
      </c>
      <c r="M488" s="814">
        <v>0</v>
      </c>
      <c r="N488" s="814">
        <v>0</v>
      </c>
      <c r="O488" s="816">
        <f t="shared" ref="O488" si="1121">P488+S488+V488</f>
        <v>93619</v>
      </c>
      <c r="P488" s="816">
        <f t="shared" ref="P488" si="1122">Q488+R488</f>
        <v>93619</v>
      </c>
      <c r="Q488" s="814">
        <v>93619</v>
      </c>
      <c r="R488" s="814">
        <v>0</v>
      </c>
      <c r="S488" s="816">
        <f t="shared" ref="S488" si="1123">T488+U488</f>
        <v>0</v>
      </c>
      <c r="T488" s="814">
        <v>0</v>
      </c>
      <c r="U488" s="814">
        <v>0</v>
      </c>
      <c r="V488" s="816">
        <f t="shared" ref="V488" si="1124">W488+X488</f>
        <v>0</v>
      </c>
      <c r="W488" s="814">
        <v>0</v>
      </c>
      <c r="X488" s="814">
        <v>0</v>
      </c>
    </row>
    <row r="489" spans="1:24" ht="15.75" hidden="1" customHeight="1">
      <c r="A489" s="820"/>
      <c r="B489" s="821"/>
      <c r="C489" s="822"/>
      <c r="D489" s="823"/>
      <c r="E489" s="819"/>
      <c r="F489" s="819"/>
      <c r="G489" s="819"/>
      <c r="H489" s="411" t="s">
        <v>210</v>
      </c>
      <c r="I489" s="411" t="s">
        <v>210</v>
      </c>
      <c r="J489" s="818"/>
      <c r="K489" s="816"/>
      <c r="L489" s="816"/>
      <c r="M489" s="814"/>
      <c r="N489" s="814"/>
      <c r="O489" s="816"/>
      <c r="P489" s="816"/>
      <c r="Q489" s="814"/>
      <c r="R489" s="814"/>
      <c r="S489" s="816"/>
      <c r="T489" s="814"/>
      <c r="U489" s="814"/>
      <c r="V489" s="816"/>
      <c r="W489" s="814"/>
      <c r="X489" s="814"/>
    </row>
    <row r="490" spans="1:24" ht="15.75" hidden="1" customHeight="1">
      <c r="A490" s="820"/>
      <c r="B490" s="821"/>
      <c r="C490" s="822"/>
      <c r="D490" s="823"/>
      <c r="E490" s="819"/>
      <c r="F490" s="819"/>
      <c r="G490" s="819"/>
      <c r="H490" s="411" t="s">
        <v>210</v>
      </c>
      <c r="I490" s="411" t="s">
        <v>210</v>
      </c>
      <c r="J490" s="411" t="s">
        <v>6</v>
      </c>
      <c r="K490" s="413">
        <f t="shared" ref="K490" si="1125">L490+O490</f>
        <v>0</v>
      </c>
      <c r="L490" s="413">
        <f t="shared" ref="L490" si="1126">M490+N490</f>
        <v>0</v>
      </c>
      <c r="M490" s="414">
        <v>0</v>
      </c>
      <c r="N490" s="414">
        <v>0</v>
      </c>
      <c r="O490" s="413">
        <f t="shared" ref="O490" si="1127">P490+S490+V490</f>
        <v>0</v>
      </c>
      <c r="P490" s="413">
        <f t="shared" ref="P490" si="1128">Q490+R490</f>
        <v>0</v>
      </c>
      <c r="Q490" s="414">
        <v>0</v>
      </c>
      <c r="R490" s="414">
        <v>0</v>
      </c>
      <c r="S490" s="413">
        <f t="shared" ref="S490" si="1129">T490+U490</f>
        <v>0</v>
      </c>
      <c r="T490" s="414">
        <v>0</v>
      </c>
      <c r="U490" s="414">
        <v>0</v>
      </c>
      <c r="V490" s="413">
        <f t="shared" ref="V490" si="1130">W490+X490</f>
        <v>0</v>
      </c>
      <c r="W490" s="414">
        <v>0</v>
      </c>
      <c r="X490" s="414">
        <v>0</v>
      </c>
    </row>
    <row r="491" spans="1:24" ht="15.75" hidden="1" customHeight="1">
      <c r="A491" s="820"/>
      <c r="B491" s="821"/>
      <c r="C491" s="822"/>
      <c r="D491" s="823"/>
      <c r="E491" s="819"/>
      <c r="F491" s="819"/>
      <c r="G491" s="819"/>
      <c r="H491" s="411" t="s">
        <v>210</v>
      </c>
      <c r="I491" s="411" t="s">
        <v>210</v>
      </c>
      <c r="J491" s="817" t="s">
        <v>7</v>
      </c>
      <c r="K491" s="816">
        <f t="shared" ref="K491:X491" si="1131">K488+K490</f>
        <v>93619</v>
      </c>
      <c r="L491" s="816">
        <f t="shared" si="1131"/>
        <v>0</v>
      </c>
      <c r="M491" s="814">
        <f t="shared" si="1131"/>
        <v>0</v>
      </c>
      <c r="N491" s="814">
        <f t="shared" si="1131"/>
        <v>0</v>
      </c>
      <c r="O491" s="816">
        <f t="shared" si="1131"/>
        <v>93619</v>
      </c>
      <c r="P491" s="816">
        <f t="shared" si="1131"/>
        <v>93619</v>
      </c>
      <c r="Q491" s="814">
        <f t="shared" si="1131"/>
        <v>93619</v>
      </c>
      <c r="R491" s="814">
        <f t="shared" si="1131"/>
        <v>0</v>
      </c>
      <c r="S491" s="816">
        <f t="shared" si="1131"/>
        <v>0</v>
      </c>
      <c r="T491" s="814">
        <f t="shared" si="1131"/>
        <v>0</v>
      </c>
      <c r="U491" s="814">
        <f t="shared" si="1131"/>
        <v>0</v>
      </c>
      <c r="V491" s="816">
        <f t="shared" si="1131"/>
        <v>0</v>
      </c>
      <c r="W491" s="814">
        <f t="shared" si="1131"/>
        <v>0</v>
      </c>
      <c r="X491" s="814">
        <f t="shared" si="1131"/>
        <v>0</v>
      </c>
    </row>
    <row r="492" spans="1:24" ht="15.75" hidden="1" customHeight="1">
      <c r="A492" s="820"/>
      <c r="B492" s="821"/>
      <c r="C492" s="822"/>
      <c r="D492" s="823"/>
      <c r="E492" s="819"/>
      <c r="F492" s="819"/>
      <c r="G492" s="819"/>
      <c r="H492" s="411" t="s">
        <v>210</v>
      </c>
      <c r="I492" s="411" t="s">
        <v>210</v>
      </c>
      <c r="J492" s="818"/>
      <c r="K492" s="816"/>
      <c r="L492" s="816"/>
      <c r="M492" s="814"/>
      <c r="N492" s="814"/>
      <c r="O492" s="816"/>
      <c r="P492" s="816"/>
      <c r="Q492" s="814"/>
      <c r="R492" s="814"/>
      <c r="S492" s="816"/>
      <c r="T492" s="814"/>
      <c r="U492" s="814"/>
      <c r="V492" s="816"/>
      <c r="W492" s="814"/>
      <c r="X492" s="814"/>
    </row>
    <row r="493" spans="1:24" ht="15.75" hidden="1" customHeight="1">
      <c r="A493" s="820">
        <v>18</v>
      </c>
      <c r="B493" s="821" t="s">
        <v>735</v>
      </c>
      <c r="C493" s="822" t="s">
        <v>736</v>
      </c>
      <c r="D493" s="823" t="s">
        <v>854</v>
      </c>
      <c r="E493" s="819" t="s">
        <v>226</v>
      </c>
      <c r="F493" s="819" t="s">
        <v>855</v>
      </c>
      <c r="G493" s="819" t="s">
        <v>802</v>
      </c>
      <c r="H493" s="411" t="s">
        <v>210</v>
      </c>
      <c r="I493" s="411" t="s">
        <v>210</v>
      </c>
      <c r="J493" s="817" t="s">
        <v>5</v>
      </c>
      <c r="K493" s="816">
        <f t="shared" ref="K493" si="1132">L493+O493</f>
        <v>200000</v>
      </c>
      <c r="L493" s="816">
        <f t="shared" ref="L493" si="1133">M493+N493</f>
        <v>0</v>
      </c>
      <c r="M493" s="814">
        <v>0</v>
      </c>
      <c r="N493" s="814">
        <v>0</v>
      </c>
      <c r="O493" s="816">
        <f t="shared" ref="O493" si="1134">P493+S493+V493</f>
        <v>200000</v>
      </c>
      <c r="P493" s="816">
        <f t="shared" ref="P493" si="1135">Q493+R493</f>
        <v>200000</v>
      </c>
      <c r="Q493" s="814">
        <v>200000</v>
      </c>
      <c r="R493" s="814">
        <v>0</v>
      </c>
      <c r="S493" s="816">
        <f t="shared" ref="S493" si="1136">T493+U493</f>
        <v>0</v>
      </c>
      <c r="T493" s="814">
        <v>0</v>
      </c>
      <c r="U493" s="814">
        <v>0</v>
      </c>
      <c r="V493" s="816">
        <f t="shared" ref="V493" si="1137">W493+X493</f>
        <v>0</v>
      </c>
      <c r="W493" s="814">
        <v>0</v>
      </c>
      <c r="X493" s="814">
        <v>0</v>
      </c>
    </row>
    <row r="494" spans="1:24" ht="15.75" hidden="1" customHeight="1">
      <c r="A494" s="820"/>
      <c r="B494" s="821"/>
      <c r="C494" s="822"/>
      <c r="D494" s="823"/>
      <c r="E494" s="819"/>
      <c r="F494" s="819"/>
      <c r="G494" s="819"/>
      <c r="H494" s="411" t="s">
        <v>210</v>
      </c>
      <c r="I494" s="411" t="s">
        <v>210</v>
      </c>
      <c r="J494" s="818"/>
      <c r="K494" s="816"/>
      <c r="L494" s="816"/>
      <c r="M494" s="814"/>
      <c r="N494" s="814"/>
      <c r="O494" s="816"/>
      <c r="P494" s="816"/>
      <c r="Q494" s="814"/>
      <c r="R494" s="814"/>
      <c r="S494" s="816"/>
      <c r="T494" s="814"/>
      <c r="U494" s="814"/>
      <c r="V494" s="816"/>
      <c r="W494" s="814"/>
      <c r="X494" s="814"/>
    </row>
    <row r="495" spans="1:24" ht="15.75" hidden="1" customHeight="1">
      <c r="A495" s="820"/>
      <c r="B495" s="821"/>
      <c r="C495" s="822"/>
      <c r="D495" s="823"/>
      <c r="E495" s="819"/>
      <c r="F495" s="819"/>
      <c r="G495" s="819"/>
      <c r="H495" s="411" t="s">
        <v>210</v>
      </c>
      <c r="I495" s="411" t="s">
        <v>210</v>
      </c>
      <c r="J495" s="411" t="s">
        <v>6</v>
      </c>
      <c r="K495" s="413">
        <f t="shared" ref="K495" si="1138">L495+O495</f>
        <v>0</v>
      </c>
      <c r="L495" s="413">
        <f t="shared" ref="L495" si="1139">M495+N495</f>
        <v>0</v>
      </c>
      <c r="M495" s="414">
        <v>0</v>
      </c>
      <c r="N495" s="414">
        <v>0</v>
      </c>
      <c r="O495" s="413">
        <f t="shared" ref="O495" si="1140">P495+S495+V495</f>
        <v>0</v>
      </c>
      <c r="P495" s="413">
        <f t="shared" ref="P495" si="1141">Q495+R495</f>
        <v>0</v>
      </c>
      <c r="Q495" s="414">
        <v>0</v>
      </c>
      <c r="R495" s="414">
        <v>0</v>
      </c>
      <c r="S495" s="413">
        <f t="shared" ref="S495" si="1142">T495+U495</f>
        <v>0</v>
      </c>
      <c r="T495" s="414">
        <v>0</v>
      </c>
      <c r="U495" s="414">
        <v>0</v>
      </c>
      <c r="V495" s="413">
        <f t="shared" ref="V495" si="1143">W495+X495</f>
        <v>0</v>
      </c>
      <c r="W495" s="414">
        <v>0</v>
      </c>
      <c r="X495" s="414">
        <v>0</v>
      </c>
    </row>
    <row r="496" spans="1:24" ht="15.75" hidden="1" customHeight="1">
      <c r="A496" s="820"/>
      <c r="B496" s="821"/>
      <c r="C496" s="822"/>
      <c r="D496" s="823"/>
      <c r="E496" s="819"/>
      <c r="F496" s="819"/>
      <c r="G496" s="819"/>
      <c r="H496" s="411" t="s">
        <v>210</v>
      </c>
      <c r="I496" s="411" t="s">
        <v>210</v>
      </c>
      <c r="J496" s="817" t="s">
        <v>7</v>
      </c>
      <c r="K496" s="816">
        <f t="shared" ref="K496:X496" si="1144">K493+K495</f>
        <v>200000</v>
      </c>
      <c r="L496" s="816">
        <f t="shared" si="1144"/>
        <v>0</v>
      </c>
      <c r="M496" s="814">
        <f t="shared" si="1144"/>
        <v>0</v>
      </c>
      <c r="N496" s="814">
        <f t="shared" si="1144"/>
        <v>0</v>
      </c>
      <c r="O496" s="816">
        <f t="shared" si="1144"/>
        <v>200000</v>
      </c>
      <c r="P496" s="816">
        <f t="shared" si="1144"/>
        <v>200000</v>
      </c>
      <c r="Q496" s="814">
        <f t="shared" si="1144"/>
        <v>200000</v>
      </c>
      <c r="R496" s="814">
        <f t="shared" si="1144"/>
        <v>0</v>
      </c>
      <c r="S496" s="816">
        <f t="shared" si="1144"/>
        <v>0</v>
      </c>
      <c r="T496" s="814">
        <f t="shared" si="1144"/>
        <v>0</v>
      </c>
      <c r="U496" s="814">
        <f t="shared" si="1144"/>
        <v>0</v>
      </c>
      <c r="V496" s="816">
        <f t="shared" si="1144"/>
        <v>0</v>
      </c>
      <c r="W496" s="814">
        <f t="shared" si="1144"/>
        <v>0</v>
      </c>
      <c r="X496" s="814">
        <f t="shared" si="1144"/>
        <v>0</v>
      </c>
    </row>
    <row r="497" spans="1:24" ht="15.75" hidden="1" customHeight="1">
      <c r="A497" s="820"/>
      <c r="B497" s="821"/>
      <c r="C497" s="822"/>
      <c r="D497" s="823"/>
      <c r="E497" s="819"/>
      <c r="F497" s="819"/>
      <c r="G497" s="819"/>
      <c r="H497" s="411" t="s">
        <v>210</v>
      </c>
      <c r="I497" s="411" t="s">
        <v>210</v>
      </c>
      <c r="J497" s="818"/>
      <c r="K497" s="816"/>
      <c r="L497" s="816"/>
      <c r="M497" s="814"/>
      <c r="N497" s="814"/>
      <c r="O497" s="816"/>
      <c r="P497" s="816"/>
      <c r="Q497" s="814"/>
      <c r="R497" s="814"/>
      <c r="S497" s="816"/>
      <c r="T497" s="814"/>
      <c r="U497" s="814"/>
      <c r="V497" s="816"/>
      <c r="W497" s="814"/>
      <c r="X497" s="814"/>
    </row>
    <row r="498" spans="1:24" ht="15.75" hidden="1" customHeight="1">
      <c r="A498" s="828">
        <v>4</v>
      </c>
      <c r="B498" s="831" t="s">
        <v>741</v>
      </c>
      <c r="C498" s="834" t="s">
        <v>742</v>
      </c>
      <c r="D498" s="837" t="s">
        <v>856</v>
      </c>
      <c r="E498" s="825" t="s">
        <v>226</v>
      </c>
      <c r="F498" s="825" t="s">
        <v>848</v>
      </c>
      <c r="G498" s="825" t="s">
        <v>802</v>
      </c>
      <c r="H498" s="411" t="s">
        <v>210</v>
      </c>
      <c r="I498" s="411" t="s">
        <v>210</v>
      </c>
      <c r="J498" s="817" t="s">
        <v>5</v>
      </c>
      <c r="K498" s="816">
        <f t="shared" ref="K498" si="1145">L498+O498</f>
        <v>500000</v>
      </c>
      <c r="L498" s="816">
        <f t="shared" ref="L498" si="1146">M498+N498</f>
        <v>0</v>
      </c>
      <c r="M498" s="814">
        <v>0</v>
      </c>
      <c r="N498" s="814">
        <v>0</v>
      </c>
      <c r="O498" s="816">
        <f t="shared" ref="O498" si="1147">P498+S498+V498</f>
        <v>500000</v>
      </c>
      <c r="P498" s="816">
        <f t="shared" ref="P498" si="1148">Q498+R498</f>
        <v>500000</v>
      </c>
      <c r="Q498" s="814">
        <v>500000</v>
      </c>
      <c r="R498" s="814">
        <v>0</v>
      </c>
      <c r="S498" s="816">
        <f t="shared" ref="S498" si="1149">T498+U498</f>
        <v>0</v>
      </c>
      <c r="T498" s="814">
        <v>0</v>
      </c>
      <c r="U498" s="814">
        <v>0</v>
      </c>
      <c r="V498" s="816">
        <f t="shared" ref="V498" si="1150">W498+X498</f>
        <v>0</v>
      </c>
      <c r="W498" s="814">
        <v>0</v>
      </c>
      <c r="X498" s="814">
        <v>0</v>
      </c>
    </row>
    <row r="499" spans="1:24" ht="15.75" hidden="1" customHeight="1">
      <c r="A499" s="829"/>
      <c r="B499" s="832"/>
      <c r="C499" s="835"/>
      <c r="D499" s="838"/>
      <c r="E499" s="826"/>
      <c r="F499" s="826"/>
      <c r="G499" s="826"/>
      <c r="H499" s="411" t="s">
        <v>210</v>
      </c>
      <c r="I499" s="411" t="s">
        <v>210</v>
      </c>
      <c r="J499" s="818"/>
      <c r="K499" s="816"/>
      <c r="L499" s="816"/>
      <c r="M499" s="814"/>
      <c r="N499" s="814"/>
      <c r="O499" s="816"/>
      <c r="P499" s="816"/>
      <c r="Q499" s="814"/>
      <c r="R499" s="814"/>
      <c r="S499" s="816"/>
      <c r="T499" s="814"/>
      <c r="U499" s="814"/>
      <c r="V499" s="816"/>
      <c r="W499" s="814"/>
      <c r="X499" s="814"/>
    </row>
    <row r="500" spans="1:24" ht="15.75" hidden="1" customHeight="1">
      <c r="A500" s="829"/>
      <c r="B500" s="832"/>
      <c r="C500" s="835"/>
      <c r="D500" s="838"/>
      <c r="E500" s="826"/>
      <c r="F500" s="826"/>
      <c r="G500" s="826"/>
      <c r="H500" s="411" t="s">
        <v>210</v>
      </c>
      <c r="I500" s="411" t="s">
        <v>210</v>
      </c>
      <c r="J500" s="411" t="s">
        <v>6</v>
      </c>
      <c r="K500" s="413">
        <f t="shared" ref="K500" si="1151">L500+O500</f>
        <v>0</v>
      </c>
      <c r="L500" s="413">
        <f t="shared" ref="L500" si="1152">M500+N500</f>
        <v>0</v>
      </c>
      <c r="M500" s="414">
        <v>0</v>
      </c>
      <c r="N500" s="414">
        <v>0</v>
      </c>
      <c r="O500" s="413">
        <f t="shared" ref="O500" si="1153">P500+S500+V500</f>
        <v>0</v>
      </c>
      <c r="P500" s="413">
        <f t="shared" ref="P500" si="1154">Q500+R500</f>
        <v>0</v>
      </c>
      <c r="Q500" s="414">
        <v>0</v>
      </c>
      <c r="R500" s="414">
        <v>0</v>
      </c>
      <c r="S500" s="413">
        <f t="shared" ref="S500" si="1155">T500+U500</f>
        <v>0</v>
      </c>
      <c r="T500" s="414">
        <v>0</v>
      </c>
      <c r="U500" s="414">
        <v>0</v>
      </c>
      <c r="V500" s="413">
        <f t="shared" ref="V500" si="1156">W500+X500</f>
        <v>0</v>
      </c>
      <c r="W500" s="414">
        <v>0</v>
      </c>
      <c r="X500" s="414">
        <v>0</v>
      </c>
    </row>
    <row r="501" spans="1:24" ht="15.75" hidden="1" customHeight="1">
      <c r="A501" s="829"/>
      <c r="B501" s="832"/>
      <c r="C501" s="835"/>
      <c r="D501" s="838"/>
      <c r="E501" s="826"/>
      <c r="F501" s="826"/>
      <c r="G501" s="826"/>
      <c r="H501" s="411" t="s">
        <v>210</v>
      </c>
      <c r="I501" s="411" t="s">
        <v>210</v>
      </c>
      <c r="J501" s="817" t="s">
        <v>7</v>
      </c>
      <c r="K501" s="816">
        <f t="shared" ref="K501:X501" si="1157">K498+K500</f>
        <v>500000</v>
      </c>
      <c r="L501" s="816">
        <f t="shared" si="1157"/>
        <v>0</v>
      </c>
      <c r="M501" s="814">
        <f t="shared" si="1157"/>
        <v>0</v>
      </c>
      <c r="N501" s="814">
        <f t="shared" si="1157"/>
        <v>0</v>
      </c>
      <c r="O501" s="816">
        <f t="shared" si="1157"/>
        <v>500000</v>
      </c>
      <c r="P501" s="816">
        <f t="shared" si="1157"/>
        <v>500000</v>
      </c>
      <c r="Q501" s="814">
        <f t="shared" si="1157"/>
        <v>500000</v>
      </c>
      <c r="R501" s="814">
        <f t="shared" si="1157"/>
        <v>0</v>
      </c>
      <c r="S501" s="816">
        <f t="shared" si="1157"/>
        <v>0</v>
      </c>
      <c r="T501" s="814">
        <f t="shared" si="1157"/>
        <v>0</v>
      </c>
      <c r="U501" s="814">
        <f t="shared" si="1157"/>
        <v>0</v>
      </c>
      <c r="V501" s="816">
        <f t="shared" si="1157"/>
        <v>0</v>
      </c>
      <c r="W501" s="814">
        <f t="shared" si="1157"/>
        <v>0</v>
      </c>
      <c r="X501" s="814">
        <f t="shared" si="1157"/>
        <v>0</v>
      </c>
    </row>
    <row r="502" spans="1:24" ht="15.75" hidden="1" customHeight="1">
      <c r="A502" s="830"/>
      <c r="B502" s="833"/>
      <c r="C502" s="836"/>
      <c r="D502" s="839"/>
      <c r="E502" s="827"/>
      <c r="F502" s="827"/>
      <c r="G502" s="827"/>
      <c r="H502" s="411" t="s">
        <v>210</v>
      </c>
      <c r="I502" s="411" t="s">
        <v>210</v>
      </c>
      <c r="J502" s="818"/>
      <c r="K502" s="816"/>
      <c r="L502" s="816"/>
      <c r="M502" s="814"/>
      <c r="N502" s="814"/>
      <c r="O502" s="816"/>
      <c r="P502" s="816"/>
      <c r="Q502" s="814"/>
      <c r="R502" s="814"/>
      <c r="S502" s="816"/>
      <c r="T502" s="814"/>
      <c r="U502" s="814"/>
      <c r="V502" s="816"/>
      <c r="W502" s="814"/>
      <c r="X502" s="814"/>
    </row>
    <row r="503" spans="1:24" ht="14.25" customHeight="1">
      <c r="A503" s="824">
        <v>2</v>
      </c>
      <c r="B503" s="821" t="s">
        <v>747</v>
      </c>
      <c r="C503" s="822" t="s">
        <v>742</v>
      </c>
      <c r="D503" s="823" t="s">
        <v>857</v>
      </c>
      <c r="E503" s="819" t="s">
        <v>226</v>
      </c>
      <c r="F503" s="819" t="s">
        <v>855</v>
      </c>
      <c r="G503" s="819" t="s">
        <v>802</v>
      </c>
      <c r="H503" s="411" t="s">
        <v>210</v>
      </c>
      <c r="I503" s="411" t="s">
        <v>210</v>
      </c>
      <c r="J503" s="817" t="s">
        <v>5</v>
      </c>
      <c r="K503" s="816">
        <f t="shared" ref="K503" si="1158">L503+O503</f>
        <v>3300904</v>
      </c>
      <c r="L503" s="816">
        <f t="shared" ref="L503" si="1159">M503+N503</f>
        <v>0</v>
      </c>
      <c r="M503" s="814">
        <v>0</v>
      </c>
      <c r="N503" s="814">
        <v>0</v>
      </c>
      <c r="O503" s="816">
        <f t="shared" ref="O503" si="1160">P503+S503+V503</f>
        <v>3300904</v>
      </c>
      <c r="P503" s="816">
        <f t="shared" ref="P503" si="1161">Q503+R503</f>
        <v>3300904</v>
      </c>
      <c r="Q503" s="814">
        <v>3161799</v>
      </c>
      <c r="R503" s="814">
        <v>139105</v>
      </c>
      <c r="S503" s="816">
        <f t="shared" ref="S503" si="1162">T503+U503</f>
        <v>0</v>
      </c>
      <c r="T503" s="814">
        <v>0</v>
      </c>
      <c r="U503" s="814">
        <v>0</v>
      </c>
      <c r="V503" s="816">
        <f t="shared" ref="V503" si="1163">W503+X503</f>
        <v>0</v>
      </c>
      <c r="W503" s="814">
        <v>0</v>
      </c>
      <c r="X503" s="814">
        <v>0</v>
      </c>
    </row>
    <row r="504" spans="1:24" ht="14.25" customHeight="1">
      <c r="A504" s="824"/>
      <c r="B504" s="821"/>
      <c r="C504" s="822"/>
      <c r="D504" s="823"/>
      <c r="E504" s="819"/>
      <c r="F504" s="819"/>
      <c r="G504" s="819"/>
      <c r="H504" s="411" t="s">
        <v>210</v>
      </c>
      <c r="I504" s="411" t="s">
        <v>210</v>
      </c>
      <c r="J504" s="818"/>
      <c r="K504" s="816"/>
      <c r="L504" s="816"/>
      <c r="M504" s="814"/>
      <c r="N504" s="814"/>
      <c r="O504" s="816"/>
      <c r="P504" s="816"/>
      <c r="Q504" s="814"/>
      <c r="R504" s="814"/>
      <c r="S504" s="816"/>
      <c r="T504" s="814"/>
      <c r="U504" s="814"/>
      <c r="V504" s="816"/>
      <c r="W504" s="814"/>
      <c r="X504" s="814"/>
    </row>
    <row r="505" spans="1:24" ht="14.25" customHeight="1">
      <c r="A505" s="824"/>
      <c r="B505" s="821"/>
      <c r="C505" s="822"/>
      <c r="D505" s="823"/>
      <c r="E505" s="819"/>
      <c r="F505" s="819"/>
      <c r="G505" s="819"/>
      <c r="H505" s="411" t="s">
        <v>210</v>
      </c>
      <c r="I505" s="411" t="s">
        <v>210</v>
      </c>
      <c r="J505" s="411" t="s">
        <v>6</v>
      </c>
      <c r="K505" s="413">
        <f t="shared" ref="K505" si="1164">L505+O505</f>
        <v>96000</v>
      </c>
      <c r="L505" s="413">
        <f t="shared" ref="L505" si="1165">M505+N505</f>
        <v>0</v>
      </c>
      <c r="M505" s="414">
        <v>0</v>
      </c>
      <c r="N505" s="414">
        <v>0</v>
      </c>
      <c r="O505" s="413">
        <f t="shared" ref="O505" si="1166">P505+S505+V505</f>
        <v>96000</v>
      </c>
      <c r="P505" s="413">
        <f t="shared" ref="P505" si="1167">Q505+R505</f>
        <v>96000</v>
      </c>
      <c r="Q505" s="414">
        <v>0</v>
      </c>
      <c r="R505" s="414">
        <v>96000</v>
      </c>
      <c r="S505" s="413">
        <f t="shared" ref="S505" si="1168">T505+U505</f>
        <v>0</v>
      </c>
      <c r="T505" s="414">
        <v>0</v>
      </c>
      <c r="U505" s="414">
        <v>0</v>
      </c>
      <c r="V505" s="413">
        <f t="shared" ref="V505" si="1169">W505+X505</f>
        <v>0</v>
      </c>
      <c r="W505" s="414">
        <v>0</v>
      </c>
      <c r="X505" s="414">
        <v>0</v>
      </c>
    </row>
    <row r="506" spans="1:24" ht="14.25" customHeight="1">
      <c r="A506" s="824"/>
      <c r="B506" s="821"/>
      <c r="C506" s="822"/>
      <c r="D506" s="823"/>
      <c r="E506" s="819"/>
      <c r="F506" s="819"/>
      <c r="G506" s="819"/>
      <c r="H506" s="411" t="s">
        <v>210</v>
      </c>
      <c r="I506" s="411" t="s">
        <v>210</v>
      </c>
      <c r="J506" s="817" t="s">
        <v>7</v>
      </c>
      <c r="K506" s="816">
        <f t="shared" ref="K506:X506" si="1170">K503+K505</f>
        <v>3396904</v>
      </c>
      <c r="L506" s="816">
        <f t="shared" si="1170"/>
        <v>0</v>
      </c>
      <c r="M506" s="814">
        <f t="shared" si="1170"/>
        <v>0</v>
      </c>
      <c r="N506" s="814">
        <f t="shared" si="1170"/>
        <v>0</v>
      </c>
      <c r="O506" s="816">
        <f t="shared" si="1170"/>
        <v>3396904</v>
      </c>
      <c r="P506" s="816">
        <f t="shared" si="1170"/>
        <v>3396904</v>
      </c>
      <c r="Q506" s="814">
        <f t="shared" si="1170"/>
        <v>3161799</v>
      </c>
      <c r="R506" s="814">
        <f t="shared" si="1170"/>
        <v>235105</v>
      </c>
      <c r="S506" s="816">
        <f t="shared" si="1170"/>
        <v>0</v>
      </c>
      <c r="T506" s="814">
        <f t="shared" si="1170"/>
        <v>0</v>
      </c>
      <c r="U506" s="814">
        <f t="shared" si="1170"/>
        <v>0</v>
      </c>
      <c r="V506" s="816">
        <f t="shared" si="1170"/>
        <v>0</v>
      </c>
      <c r="W506" s="814">
        <f t="shared" si="1170"/>
        <v>0</v>
      </c>
      <c r="X506" s="814">
        <f t="shared" si="1170"/>
        <v>0</v>
      </c>
    </row>
    <row r="507" spans="1:24" ht="14.25" customHeight="1">
      <c r="A507" s="824"/>
      <c r="B507" s="821"/>
      <c r="C507" s="822"/>
      <c r="D507" s="823"/>
      <c r="E507" s="819"/>
      <c r="F507" s="819"/>
      <c r="G507" s="819"/>
      <c r="H507" s="411" t="s">
        <v>210</v>
      </c>
      <c r="I507" s="411" t="s">
        <v>210</v>
      </c>
      <c r="J507" s="818"/>
      <c r="K507" s="816"/>
      <c r="L507" s="816"/>
      <c r="M507" s="814"/>
      <c r="N507" s="814"/>
      <c r="O507" s="816"/>
      <c r="P507" s="816"/>
      <c r="Q507" s="814"/>
      <c r="R507" s="814"/>
      <c r="S507" s="816"/>
      <c r="T507" s="814"/>
      <c r="U507" s="814"/>
      <c r="V507" s="816"/>
      <c r="W507" s="814"/>
      <c r="X507" s="814"/>
    </row>
    <row r="508" spans="1:24" ht="15.75" hidden="1" customHeight="1">
      <c r="A508" s="820">
        <v>21</v>
      </c>
      <c r="B508" s="821" t="s">
        <v>858</v>
      </c>
      <c r="C508" s="822" t="s">
        <v>758</v>
      </c>
      <c r="D508" s="823" t="s">
        <v>859</v>
      </c>
      <c r="E508" s="819" t="s">
        <v>226</v>
      </c>
      <c r="F508" s="819" t="s">
        <v>860</v>
      </c>
      <c r="G508" s="819" t="s">
        <v>802</v>
      </c>
      <c r="H508" s="411" t="s">
        <v>210</v>
      </c>
      <c r="I508" s="411" t="s">
        <v>210</v>
      </c>
      <c r="J508" s="817" t="s">
        <v>5</v>
      </c>
      <c r="K508" s="816">
        <f t="shared" ref="K508" si="1171">L508+O508</f>
        <v>1500000</v>
      </c>
      <c r="L508" s="816">
        <f t="shared" ref="L508" si="1172">M508+N508</f>
        <v>0</v>
      </c>
      <c r="M508" s="814">
        <v>0</v>
      </c>
      <c r="N508" s="814">
        <v>0</v>
      </c>
      <c r="O508" s="816">
        <f t="shared" ref="O508" si="1173">P508+S508+V508</f>
        <v>1500000</v>
      </c>
      <c r="P508" s="816">
        <f t="shared" ref="P508" si="1174">Q508+R508</f>
        <v>1500000</v>
      </c>
      <c r="Q508" s="814">
        <v>1500000</v>
      </c>
      <c r="R508" s="814">
        <v>0</v>
      </c>
      <c r="S508" s="816">
        <f t="shared" ref="S508" si="1175">T508+U508</f>
        <v>0</v>
      </c>
      <c r="T508" s="814">
        <v>0</v>
      </c>
      <c r="U508" s="814">
        <v>0</v>
      </c>
      <c r="V508" s="816">
        <f t="shared" ref="V508" si="1176">W508+X508</f>
        <v>0</v>
      </c>
      <c r="W508" s="814">
        <v>0</v>
      </c>
      <c r="X508" s="814">
        <v>0</v>
      </c>
    </row>
    <row r="509" spans="1:24" ht="15.75" hidden="1" customHeight="1">
      <c r="A509" s="820"/>
      <c r="B509" s="821"/>
      <c r="C509" s="822"/>
      <c r="D509" s="823"/>
      <c r="E509" s="819"/>
      <c r="F509" s="819"/>
      <c r="G509" s="819"/>
      <c r="H509" s="411" t="s">
        <v>210</v>
      </c>
      <c r="I509" s="411" t="s">
        <v>210</v>
      </c>
      <c r="J509" s="818"/>
      <c r="K509" s="816"/>
      <c r="L509" s="816"/>
      <c r="M509" s="814"/>
      <c r="N509" s="814"/>
      <c r="O509" s="816"/>
      <c r="P509" s="816"/>
      <c r="Q509" s="814"/>
      <c r="R509" s="814"/>
      <c r="S509" s="816"/>
      <c r="T509" s="814"/>
      <c r="U509" s="814"/>
      <c r="V509" s="816"/>
      <c r="W509" s="814"/>
      <c r="X509" s="814"/>
    </row>
    <row r="510" spans="1:24" ht="15.75" hidden="1" customHeight="1">
      <c r="A510" s="820"/>
      <c r="B510" s="821"/>
      <c r="C510" s="822"/>
      <c r="D510" s="823"/>
      <c r="E510" s="819"/>
      <c r="F510" s="819"/>
      <c r="G510" s="819"/>
      <c r="H510" s="411" t="s">
        <v>210</v>
      </c>
      <c r="I510" s="411" t="s">
        <v>210</v>
      </c>
      <c r="J510" s="411" t="s">
        <v>6</v>
      </c>
      <c r="K510" s="413">
        <f t="shared" ref="K510" si="1177">L510+O510</f>
        <v>0</v>
      </c>
      <c r="L510" s="413">
        <f t="shared" ref="L510" si="1178">M510+N510</f>
        <v>0</v>
      </c>
      <c r="M510" s="414">
        <v>0</v>
      </c>
      <c r="N510" s="414">
        <v>0</v>
      </c>
      <c r="O510" s="413">
        <f t="shared" ref="O510" si="1179">P510+S510+V510</f>
        <v>0</v>
      </c>
      <c r="P510" s="413">
        <f t="shared" ref="P510" si="1180">Q510+R510</f>
        <v>0</v>
      </c>
      <c r="Q510" s="414">
        <v>0</v>
      </c>
      <c r="R510" s="414">
        <v>0</v>
      </c>
      <c r="S510" s="413">
        <f t="shared" ref="S510" si="1181">T510+U510</f>
        <v>0</v>
      </c>
      <c r="T510" s="414">
        <v>0</v>
      </c>
      <c r="U510" s="414">
        <v>0</v>
      </c>
      <c r="V510" s="413">
        <f t="shared" ref="V510" si="1182">W510+X510</f>
        <v>0</v>
      </c>
      <c r="W510" s="414">
        <v>0</v>
      </c>
      <c r="X510" s="414">
        <v>0</v>
      </c>
    </row>
    <row r="511" spans="1:24" ht="15.75" hidden="1" customHeight="1">
      <c r="A511" s="820"/>
      <c r="B511" s="821"/>
      <c r="C511" s="822"/>
      <c r="D511" s="823"/>
      <c r="E511" s="819"/>
      <c r="F511" s="819"/>
      <c r="G511" s="819"/>
      <c r="H511" s="411" t="s">
        <v>210</v>
      </c>
      <c r="I511" s="411" t="s">
        <v>210</v>
      </c>
      <c r="J511" s="817" t="s">
        <v>7</v>
      </c>
      <c r="K511" s="816">
        <f t="shared" ref="K511:X511" si="1183">K508+K510</f>
        <v>1500000</v>
      </c>
      <c r="L511" s="816">
        <f t="shared" si="1183"/>
        <v>0</v>
      </c>
      <c r="M511" s="814">
        <f t="shared" si="1183"/>
        <v>0</v>
      </c>
      <c r="N511" s="814">
        <f t="shared" si="1183"/>
        <v>0</v>
      </c>
      <c r="O511" s="816">
        <f t="shared" si="1183"/>
        <v>1500000</v>
      </c>
      <c r="P511" s="816">
        <f t="shared" si="1183"/>
        <v>1500000</v>
      </c>
      <c r="Q511" s="814">
        <f t="shared" si="1183"/>
        <v>1500000</v>
      </c>
      <c r="R511" s="814">
        <f t="shared" si="1183"/>
        <v>0</v>
      </c>
      <c r="S511" s="816">
        <f t="shared" si="1183"/>
        <v>0</v>
      </c>
      <c r="T511" s="814">
        <f t="shared" si="1183"/>
        <v>0</v>
      </c>
      <c r="U511" s="814">
        <f t="shared" si="1183"/>
        <v>0</v>
      </c>
      <c r="V511" s="816">
        <f t="shared" si="1183"/>
        <v>0</v>
      </c>
      <c r="W511" s="814">
        <f t="shared" si="1183"/>
        <v>0</v>
      </c>
      <c r="X511" s="814">
        <f t="shared" si="1183"/>
        <v>0</v>
      </c>
    </row>
    <row r="512" spans="1:24" ht="15.75" hidden="1" customHeight="1">
      <c r="A512" s="820"/>
      <c r="B512" s="821"/>
      <c r="C512" s="822"/>
      <c r="D512" s="823"/>
      <c r="E512" s="819"/>
      <c r="F512" s="819"/>
      <c r="G512" s="819"/>
      <c r="H512" s="411" t="s">
        <v>210</v>
      </c>
      <c r="I512" s="411" t="s">
        <v>210</v>
      </c>
      <c r="J512" s="818"/>
      <c r="K512" s="816"/>
      <c r="L512" s="816"/>
      <c r="M512" s="814"/>
      <c r="N512" s="814"/>
      <c r="O512" s="816"/>
      <c r="P512" s="816"/>
      <c r="Q512" s="814"/>
      <c r="R512" s="814"/>
      <c r="S512" s="816"/>
      <c r="T512" s="814"/>
      <c r="U512" s="814"/>
      <c r="V512" s="816"/>
      <c r="W512" s="814"/>
      <c r="X512" s="814"/>
    </row>
    <row r="513" spans="1:24" ht="15.2" hidden="1" customHeight="1">
      <c r="A513" s="820">
        <v>5</v>
      </c>
      <c r="B513" s="821" t="s">
        <v>861</v>
      </c>
      <c r="C513" s="822" t="s">
        <v>761</v>
      </c>
      <c r="D513" s="823" t="s">
        <v>862</v>
      </c>
      <c r="E513" s="819" t="s">
        <v>226</v>
      </c>
      <c r="F513" s="819" t="s">
        <v>863</v>
      </c>
      <c r="G513" s="819" t="s">
        <v>802</v>
      </c>
      <c r="H513" s="411" t="s">
        <v>210</v>
      </c>
      <c r="I513" s="411" t="s">
        <v>210</v>
      </c>
      <c r="J513" s="817" t="s">
        <v>5</v>
      </c>
      <c r="K513" s="816">
        <f t="shared" ref="K513" si="1184">L513+O513</f>
        <v>680000</v>
      </c>
      <c r="L513" s="816">
        <f t="shared" ref="L513" si="1185">M513+N513</f>
        <v>0</v>
      </c>
      <c r="M513" s="814">
        <v>0</v>
      </c>
      <c r="N513" s="814">
        <v>0</v>
      </c>
      <c r="O513" s="816">
        <f t="shared" ref="O513" si="1186">P513+S513+V513</f>
        <v>680000</v>
      </c>
      <c r="P513" s="816">
        <f t="shared" ref="P513" si="1187">Q513+R513</f>
        <v>680000</v>
      </c>
      <c r="Q513" s="814">
        <v>605000</v>
      </c>
      <c r="R513" s="814">
        <v>75000</v>
      </c>
      <c r="S513" s="816">
        <f t="shared" ref="S513" si="1188">T513+U513</f>
        <v>0</v>
      </c>
      <c r="T513" s="814">
        <v>0</v>
      </c>
      <c r="U513" s="814">
        <v>0</v>
      </c>
      <c r="V513" s="816">
        <f t="shared" ref="V513" si="1189">W513+X513</f>
        <v>0</v>
      </c>
      <c r="W513" s="814">
        <v>0</v>
      </c>
      <c r="X513" s="814">
        <v>0</v>
      </c>
    </row>
    <row r="514" spans="1:24" ht="15.2" hidden="1" customHeight="1">
      <c r="A514" s="820"/>
      <c r="B514" s="821"/>
      <c r="C514" s="822"/>
      <c r="D514" s="823"/>
      <c r="E514" s="819"/>
      <c r="F514" s="819"/>
      <c r="G514" s="819"/>
      <c r="H514" s="411" t="s">
        <v>210</v>
      </c>
      <c r="I514" s="411" t="s">
        <v>210</v>
      </c>
      <c r="J514" s="818"/>
      <c r="K514" s="816"/>
      <c r="L514" s="816"/>
      <c r="M514" s="814"/>
      <c r="N514" s="814"/>
      <c r="O514" s="816"/>
      <c r="P514" s="816"/>
      <c r="Q514" s="814"/>
      <c r="R514" s="814"/>
      <c r="S514" s="816"/>
      <c r="T514" s="814"/>
      <c r="U514" s="814"/>
      <c r="V514" s="816"/>
      <c r="W514" s="814"/>
      <c r="X514" s="814"/>
    </row>
    <row r="515" spans="1:24" ht="15.2" hidden="1" customHeight="1">
      <c r="A515" s="820"/>
      <c r="B515" s="821"/>
      <c r="C515" s="822"/>
      <c r="D515" s="823"/>
      <c r="E515" s="819"/>
      <c r="F515" s="819"/>
      <c r="G515" s="819"/>
      <c r="H515" s="411" t="s">
        <v>210</v>
      </c>
      <c r="I515" s="411" t="s">
        <v>210</v>
      </c>
      <c r="J515" s="411" t="s">
        <v>6</v>
      </c>
      <c r="K515" s="413">
        <f t="shared" ref="K515" si="1190">L515+O515</f>
        <v>0</v>
      </c>
      <c r="L515" s="413">
        <f t="shared" ref="L515" si="1191">M515+N515</f>
        <v>0</v>
      </c>
      <c r="M515" s="414">
        <v>0</v>
      </c>
      <c r="N515" s="414">
        <v>0</v>
      </c>
      <c r="O515" s="413">
        <f t="shared" ref="O515" si="1192">P515+S515+V515</f>
        <v>0</v>
      </c>
      <c r="P515" s="413">
        <f t="shared" ref="P515" si="1193">Q515+R515</f>
        <v>0</v>
      </c>
      <c r="Q515" s="414">
        <v>0</v>
      </c>
      <c r="R515" s="414">
        <v>0</v>
      </c>
      <c r="S515" s="413">
        <f t="shared" ref="S515" si="1194">T515+U515</f>
        <v>0</v>
      </c>
      <c r="T515" s="414">
        <v>0</v>
      </c>
      <c r="U515" s="414">
        <v>0</v>
      </c>
      <c r="V515" s="413">
        <f t="shared" ref="V515" si="1195">W515+X515</f>
        <v>0</v>
      </c>
      <c r="W515" s="414">
        <v>0</v>
      </c>
      <c r="X515" s="414">
        <v>0</v>
      </c>
    </row>
    <row r="516" spans="1:24" ht="15.2" hidden="1" customHeight="1">
      <c r="A516" s="820"/>
      <c r="B516" s="821"/>
      <c r="C516" s="822"/>
      <c r="D516" s="823"/>
      <c r="E516" s="819"/>
      <c r="F516" s="819"/>
      <c r="G516" s="819"/>
      <c r="H516" s="411" t="s">
        <v>210</v>
      </c>
      <c r="I516" s="411" t="s">
        <v>210</v>
      </c>
      <c r="J516" s="817" t="s">
        <v>7</v>
      </c>
      <c r="K516" s="816">
        <f t="shared" ref="K516:X516" si="1196">K513+K515</f>
        <v>680000</v>
      </c>
      <c r="L516" s="816">
        <f t="shared" si="1196"/>
        <v>0</v>
      </c>
      <c r="M516" s="814">
        <f t="shared" si="1196"/>
        <v>0</v>
      </c>
      <c r="N516" s="814">
        <f t="shared" si="1196"/>
        <v>0</v>
      </c>
      <c r="O516" s="816">
        <f t="shared" si="1196"/>
        <v>680000</v>
      </c>
      <c r="P516" s="816">
        <f t="shared" si="1196"/>
        <v>680000</v>
      </c>
      <c r="Q516" s="814">
        <f t="shared" si="1196"/>
        <v>605000</v>
      </c>
      <c r="R516" s="814">
        <f t="shared" si="1196"/>
        <v>75000</v>
      </c>
      <c r="S516" s="816">
        <f t="shared" si="1196"/>
        <v>0</v>
      </c>
      <c r="T516" s="814">
        <f t="shared" si="1196"/>
        <v>0</v>
      </c>
      <c r="U516" s="814">
        <f t="shared" si="1196"/>
        <v>0</v>
      </c>
      <c r="V516" s="816">
        <f t="shared" si="1196"/>
        <v>0</v>
      </c>
      <c r="W516" s="814">
        <f t="shared" si="1196"/>
        <v>0</v>
      </c>
      <c r="X516" s="814">
        <f t="shared" si="1196"/>
        <v>0</v>
      </c>
    </row>
    <row r="517" spans="1:24" ht="15.2" hidden="1" customHeight="1">
      <c r="A517" s="820"/>
      <c r="B517" s="821"/>
      <c r="C517" s="822"/>
      <c r="D517" s="823"/>
      <c r="E517" s="819"/>
      <c r="F517" s="819"/>
      <c r="G517" s="819"/>
      <c r="H517" s="411" t="s">
        <v>210</v>
      </c>
      <c r="I517" s="411" t="s">
        <v>210</v>
      </c>
      <c r="J517" s="818"/>
      <c r="K517" s="816"/>
      <c r="L517" s="816"/>
      <c r="M517" s="814"/>
      <c r="N517" s="814"/>
      <c r="O517" s="816"/>
      <c r="P517" s="816"/>
      <c r="Q517" s="814"/>
      <c r="R517" s="814"/>
      <c r="S517" s="816"/>
      <c r="T517" s="814"/>
      <c r="U517" s="814"/>
      <c r="V517" s="816"/>
      <c r="W517" s="814"/>
      <c r="X517" s="814"/>
    </row>
    <row r="518" spans="1:24" ht="15.75" hidden="1" customHeight="1">
      <c r="A518" s="820">
        <v>3</v>
      </c>
      <c r="B518" s="821" t="s">
        <v>864</v>
      </c>
      <c r="C518" s="822" t="s">
        <v>769</v>
      </c>
      <c r="D518" s="823" t="s">
        <v>865</v>
      </c>
      <c r="E518" s="819" t="s">
        <v>226</v>
      </c>
      <c r="F518" s="819" t="s">
        <v>863</v>
      </c>
      <c r="G518" s="819" t="s">
        <v>802</v>
      </c>
      <c r="H518" s="411" t="s">
        <v>210</v>
      </c>
      <c r="I518" s="411" t="s">
        <v>210</v>
      </c>
      <c r="J518" s="817" t="s">
        <v>5</v>
      </c>
      <c r="K518" s="816">
        <f t="shared" ref="K518" si="1197">L518+O518</f>
        <v>525000</v>
      </c>
      <c r="L518" s="816">
        <f t="shared" ref="L518" si="1198">M518+N518</f>
        <v>0</v>
      </c>
      <c r="M518" s="814">
        <v>0</v>
      </c>
      <c r="N518" s="814">
        <v>0</v>
      </c>
      <c r="O518" s="816">
        <f t="shared" ref="O518" si="1199">P518+S518+V518</f>
        <v>525000</v>
      </c>
      <c r="P518" s="816">
        <f t="shared" ref="P518" si="1200">Q518+R518</f>
        <v>525000</v>
      </c>
      <c r="Q518" s="814">
        <v>525000</v>
      </c>
      <c r="R518" s="814">
        <v>0</v>
      </c>
      <c r="S518" s="816">
        <f t="shared" ref="S518" si="1201">T518+U518</f>
        <v>0</v>
      </c>
      <c r="T518" s="814">
        <v>0</v>
      </c>
      <c r="U518" s="814">
        <v>0</v>
      </c>
      <c r="V518" s="816">
        <f t="shared" ref="V518" si="1202">W518+X518</f>
        <v>0</v>
      </c>
      <c r="W518" s="814">
        <v>0</v>
      </c>
      <c r="X518" s="814">
        <v>0</v>
      </c>
    </row>
    <row r="519" spans="1:24" ht="15.75" hidden="1" customHeight="1">
      <c r="A519" s="820"/>
      <c r="B519" s="821"/>
      <c r="C519" s="822"/>
      <c r="D519" s="823"/>
      <c r="E519" s="819"/>
      <c r="F519" s="819"/>
      <c r="G519" s="819"/>
      <c r="H519" s="411" t="s">
        <v>210</v>
      </c>
      <c r="I519" s="411" t="s">
        <v>210</v>
      </c>
      <c r="J519" s="818"/>
      <c r="K519" s="816"/>
      <c r="L519" s="816"/>
      <c r="M519" s="814"/>
      <c r="N519" s="814"/>
      <c r="O519" s="816"/>
      <c r="P519" s="816"/>
      <c r="Q519" s="814"/>
      <c r="R519" s="814"/>
      <c r="S519" s="816"/>
      <c r="T519" s="814"/>
      <c r="U519" s="814"/>
      <c r="V519" s="816"/>
      <c r="W519" s="814"/>
      <c r="X519" s="814"/>
    </row>
    <row r="520" spans="1:24" ht="15.75" hidden="1" customHeight="1">
      <c r="A520" s="820"/>
      <c r="B520" s="821"/>
      <c r="C520" s="822"/>
      <c r="D520" s="823"/>
      <c r="E520" s="819"/>
      <c r="F520" s="819"/>
      <c r="G520" s="819"/>
      <c r="H520" s="411" t="s">
        <v>210</v>
      </c>
      <c r="I520" s="411" t="s">
        <v>210</v>
      </c>
      <c r="J520" s="411" t="s">
        <v>6</v>
      </c>
      <c r="K520" s="413">
        <f t="shared" ref="K520" si="1203">L520+O520</f>
        <v>0</v>
      </c>
      <c r="L520" s="413">
        <f t="shared" ref="L520" si="1204">M520+N520</f>
        <v>0</v>
      </c>
      <c r="M520" s="414">
        <v>0</v>
      </c>
      <c r="N520" s="414">
        <v>0</v>
      </c>
      <c r="O520" s="413">
        <f t="shared" ref="O520" si="1205">P520+S520+V520</f>
        <v>0</v>
      </c>
      <c r="P520" s="413">
        <f t="shared" ref="P520" si="1206">Q520+R520</f>
        <v>0</v>
      </c>
      <c r="Q520" s="414">
        <v>0</v>
      </c>
      <c r="R520" s="414">
        <v>0</v>
      </c>
      <c r="S520" s="413">
        <f t="shared" ref="S520" si="1207">T520+U520</f>
        <v>0</v>
      </c>
      <c r="T520" s="414">
        <v>0</v>
      </c>
      <c r="U520" s="414">
        <v>0</v>
      </c>
      <c r="V520" s="413">
        <f t="shared" ref="V520" si="1208">W520+X520</f>
        <v>0</v>
      </c>
      <c r="W520" s="414">
        <v>0</v>
      </c>
      <c r="X520" s="414">
        <v>0</v>
      </c>
    </row>
    <row r="521" spans="1:24" ht="15.75" hidden="1" customHeight="1">
      <c r="A521" s="820"/>
      <c r="B521" s="821"/>
      <c r="C521" s="822"/>
      <c r="D521" s="823"/>
      <c r="E521" s="819"/>
      <c r="F521" s="819"/>
      <c r="G521" s="819"/>
      <c r="H521" s="411" t="s">
        <v>210</v>
      </c>
      <c r="I521" s="411" t="s">
        <v>210</v>
      </c>
      <c r="J521" s="817" t="s">
        <v>7</v>
      </c>
      <c r="K521" s="816">
        <f t="shared" ref="K521:X521" si="1209">K518+K520</f>
        <v>525000</v>
      </c>
      <c r="L521" s="816">
        <f t="shared" si="1209"/>
        <v>0</v>
      </c>
      <c r="M521" s="814">
        <f t="shared" si="1209"/>
        <v>0</v>
      </c>
      <c r="N521" s="814">
        <f t="shared" si="1209"/>
        <v>0</v>
      </c>
      <c r="O521" s="816">
        <f t="shared" si="1209"/>
        <v>525000</v>
      </c>
      <c r="P521" s="816">
        <f t="shared" si="1209"/>
        <v>525000</v>
      </c>
      <c r="Q521" s="814">
        <f t="shared" si="1209"/>
        <v>525000</v>
      </c>
      <c r="R521" s="814">
        <f t="shared" si="1209"/>
        <v>0</v>
      </c>
      <c r="S521" s="816">
        <f t="shared" si="1209"/>
        <v>0</v>
      </c>
      <c r="T521" s="814">
        <f t="shared" si="1209"/>
        <v>0</v>
      </c>
      <c r="U521" s="814">
        <f t="shared" si="1209"/>
        <v>0</v>
      </c>
      <c r="V521" s="816">
        <f t="shared" si="1209"/>
        <v>0</v>
      </c>
      <c r="W521" s="814">
        <f t="shared" si="1209"/>
        <v>0</v>
      </c>
      <c r="X521" s="814">
        <f t="shared" si="1209"/>
        <v>0</v>
      </c>
    </row>
    <row r="522" spans="1:24" ht="15.75" hidden="1" customHeight="1">
      <c r="A522" s="820"/>
      <c r="B522" s="821"/>
      <c r="C522" s="822"/>
      <c r="D522" s="823"/>
      <c r="E522" s="819"/>
      <c r="F522" s="819"/>
      <c r="G522" s="819"/>
      <c r="H522" s="411" t="s">
        <v>210</v>
      </c>
      <c r="I522" s="411" t="s">
        <v>210</v>
      </c>
      <c r="J522" s="818"/>
      <c r="K522" s="816"/>
      <c r="L522" s="816"/>
      <c r="M522" s="814"/>
      <c r="N522" s="814"/>
      <c r="O522" s="816"/>
      <c r="P522" s="816"/>
      <c r="Q522" s="814"/>
      <c r="R522" s="814"/>
      <c r="S522" s="816"/>
      <c r="T522" s="814"/>
      <c r="U522" s="814"/>
      <c r="V522" s="816"/>
      <c r="W522" s="814"/>
      <c r="X522" s="814"/>
    </row>
    <row r="523" spans="1:24" ht="14.25" customHeight="1">
      <c r="A523" s="824">
        <v>3</v>
      </c>
      <c r="B523" s="821" t="s">
        <v>764</v>
      </c>
      <c r="C523" s="822" t="s">
        <v>761</v>
      </c>
      <c r="D523" s="823" t="s">
        <v>866</v>
      </c>
      <c r="E523" s="819" t="s">
        <v>226</v>
      </c>
      <c r="F523" s="819" t="s">
        <v>863</v>
      </c>
      <c r="G523" s="819" t="s">
        <v>802</v>
      </c>
      <c r="H523" s="411" t="s">
        <v>210</v>
      </c>
      <c r="I523" s="411" t="s">
        <v>210</v>
      </c>
      <c r="J523" s="817" t="s">
        <v>5</v>
      </c>
      <c r="K523" s="816">
        <f t="shared" ref="K523" si="1210">L523+O523</f>
        <v>653000</v>
      </c>
      <c r="L523" s="816">
        <f t="shared" ref="L523" si="1211">M523+N523</f>
        <v>0</v>
      </c>
      <c r="M523" s="814">
        <v>0</v>
      </c>
      <c r="N523" s="814">
        <v>0</v>
      </c>
      <c r="O523" s="816">
        <f t="shared" ref="O523" si="1212">P523+S523+V523</f>
        <v>653000</v>
      </c>
      <c r="P523" s="816">
        <f t="shared" ref="P523" si="1213">Q523+R523</f>
        <v>653000</v>
      </c>
      <c r="Q523" s="814">
        <v>638000</v>
      </c>
      <c r="R523" s="814">
        <v>15000</v>
      </c>
      <c r="S523" s="816">
        <f t="shared" ref="S523" si="1214">T523+U523</f>
        <v>0</v>
      </c>
      <c r="T523" s="814">
        <v>0</v>
      </c>
      <c r="U523" s="814">
        <v>0</v>
      </c>
      <c r="V523" s="816">
        <f t="shared" ref="V523" si="1215">W523+X523</f>
        <v>0</v>
      </c>
      <c r="W523" s="814">
        <v>0</v>
      </c>
      <c r="X523" s="814">
        <v>0</v>
      </c>
    </row>
    <row r="524" spans="1:24" ht="14.25" customHeight="1">
      <c r="A524" s="824"/>
      <c r="B524" s="821"/>
      <c r="C524" s="822"/>
      <c r="D524" s="823"/>
      <c r="E524" s="819"/>
      <c r="F524" s="819"/>
      <c r="G524" s="819"/>
      <c r="H524" s="411" t="s">
        <v>210</v>
      </c>
      <c r="I524" s="411" t="s">
        <v>210</v>
      </c>
      <c r="J524" s="818"/>
      <c r="K524" s="816"/>
      <c r="L524" s="816"/>
      <c r="M524" s="814"/>
      <c r="N524" s="814"/>
      <c r="O524" s="816"/>
      <c r="P524" s="816"/>
      <c r="Q524" s="814"/>
      <c r="R524" s="814"/>
      <c r="S524" s="816"/>
      <c r="T524" s="814"/>
      <c r="U524" s="814"/>
      <c r="V524" s="816"/>
      <c r="W524" s="814"/>
      <c r="X524" s="814"/>
    </row>
    <row r="525" spans="1:24" ht="14.25" customHeight="1">
      <c r="A525" s="824"/>
      <c r="B525" s="821"/>
      <c r="C525" s="822"/>
      <c r="D525" s="823"/>
      <c r="E525" s="819"/>
      <c r="F525" s="819"/>
      <c r="G525" s="819"/>
      <c r="H525" s="411" t="s">
        <v>210</v>
      </c>
      <c r="I525" s="411" t="s">
        <v>210</v>
      </c>
      <c r="J525" s="411" t="s">
        <v>6</v>
      </c>
      <c r="K525" s="413">
        <f t="shared" ref="K525" si="1216">L525+O525</f>
        <v>4000</v>
      </c>
      <c r="L525" s="413">
        <f t="shared" ref="L525" si="1217">M525+N525</f>
        <v>0</v>
      </c>
      <c r="M525" s="414">
        <v>0</v>
      </c>
      <c r="N525" s="414">
        <v>0</v>
      </c>
      <c r="O525" s="413">
        <f t="shared" ref="O525" si="1218">P525+S525+V525</f>
        <v>4000</v>
      </c>
      <c r="P525" s="413">
        <f t="shared" ref="P525" si="1219">Q525+R525</f>
        <v>4000</v>
      </c>
      <c r="Q525" s="414">
        <v>0</v>
      </c>
      <c r="R525" s="414">
        <v>4000</v>
      </c>
      <c r="S525" s="413">
        <f t="shared" ref="S525" si="1220">T525+U525</f>
        <v>0</v>
      </c>
      <c r="T525" s="414">
        <v>0</v>
      </c>
      <c r="U525" s="414">
        <v>0</v>
      </c>
      <c r="V525" s="413">
        <f t="shared" ref="V525" si="1221">W525+X525</f>
        <v>0</v>
      </c>
      <c r="W525" s="414">
        <v>0</v>
      </c>
      <c r="X525" s="414">
        <v>0</v>
      </c>
    </row>
    <row r="526" spans="1:24" ht="14.25" customHeight="1">
      <c r="A526" s="824"/>
      <c r="B526" s="821"/>
      <c r="C526" s="822"/>
      <c r="D526" s="823"/>
      <c r="E526" s="819"/>
      <c r="F526" s="819"/>
      <c r="G526" s="819"/>
      <c r="H526" s="411" t="s">
        <v>210</v>
      </c>
      <c r="I526" s="411" t="s">
        <v>210</v>
      </c>
      <c r="J526" s="817" t="s">
        <v>7</v>
      </c>
      <c r="K526" s="816">
        <f t="shared" ref="K526:X526" si="1222">K523+K525</f>
        <v>657000</v>
      </c>
      <c r="L526" s="816">
        <f t="shared" si="1222"/>
        <v>0</v>
      </c>
      <c r="M526" s="814">
        <f t="shared" si="1222"/>
        <v>0</v>
      </c>
      <c r="N526" s="814">
        <f t="shared" si="1222"/>
        <v>0</v>
      </c>
      <c r="O526" s="816">
        <f t="shared" si="1222"/>
        <v>657000</v>
      </c>
      <c r="P526" s="816">
        <f t="shared" si="1222"/>
        <v>657000</v>
      </c>
      <c r="Q526" s="814">
        <f t="shared" si="1222"/>
        <v>638000</v>
      </c>
      <c r="R526" s="814">
        <f t="shared" si="1222"/>
        <v>19000</v>
      </c>
      <c r="S526" s="816">
        <f t="shared" si="1222"/>
        <v>0</v>
      </c>
      <c r="T526" s="814">
        <f t="shared" si="1222"/>
        <v>0</v>
      </c>
      <c r="U526" s="814">
        <f t="shared" si="1222"/>
        <v>0</v>
      </c>
      <c r="V526" s="816">
        <f t="shared" si="1222"/>
        <v>0</v>
      </c>
      <c r="W526" s="814">
        <f t="shared" si="1222"/>
        <v>0</v>
      </c>
      <c r="X526" s="814">
        <f t="shared" si="1222"/>
        <v>0</v>
      </c>
    </row>
    <row r="527" spans="1:24" ht="14.25" customHeight="1">
      <c r="A527" s="824"/>
      <c r="B527" s="821"/>
      <c r="C527" s="822"/>
      <c r="D527" s="823"/>
      <c r="E527" s="819"/>
      <c r="F527" s="819"/>
      <c r="G527" s="819"/>
      <c r="H527" s="411" t="s">
        <v>210</v>
      </c>
      <c r="I527" s="411" t="s">
        <v>210</v>
      </c>
      <c r="J527" s="818"/>
      <c r="K527" s="816"/>
      <c r="L527" s="816"/>
      <c r="M527" s="814"/>
      <c r="N527" s="814"/>
      <c r="O527" s="816"/>
      <c r="P527" s="816"/>
      <c r="Q527" s="814"/>
      <c r="R527" s="814"/>
      <c r="S527" s="816"/>
      <c r="T527" s="814"/>
      <c r="U527" s="814"/>
      <c r="V527" s="816"/>
      <c r="W527" s="814"/>
      <c r="X527" s="814"/>
    </row>
    <row r="528" spans="1:24" ht="14.25" hidden="1" customHeight="1">
      <c r="A528" s="820">
        <v>7</v>
      </c>
      <c r="B528" s="821" t="s">
        <v>768</v>
      </c>
      <c r="C528" s="822" t="s">
        <v>769</v>
      </c>
      <c r="D528" s="823" t="s">
        <v>867</v>
      </c>
      <c r="E528" s="819" t="s">
        <v>226</v>
      </c>
      <c r="F528" s="819" t="s">
        <v>863</v>
      </c>
      <c r="G528" s="819" t="s">
        <v>802</v>
      </c>
      <c r="H528" s="411" t="s">
        <v>868</v>
      </c>
      <c r="I528" s="411" t="s">
        <v>210</v>
      </c>
      <c r="J528" s="817" t="s">
        <v>5</v>
      </c>
      <c r="K528" s="816">
        <f t="shared" ref="K528" si="1223">L528+O528</f>
        <v>1358000</v>
      </c>
      <c r="L528" s="816">
        <f t="shared" ref="L528" si="1224">M528+N528</f>
        <v>0</v>
      </c>
      <c r="M528" s="814">
        <v>0</v>
      </c>
      <c r="N528" s="814">
        <v>0</v>
      </c>
      <c r="O528" s="816">
        <f t="shared" ref="O528" si="1225">P528+S528+V528</f>
        <v>1358000</v>
      </c>
      <c r="P528" s="816">
        <f t="shared" ref="P528" si="1226">Q528+R528</f>
        <v>1358000</v>
      </c>
      <c r="Q528" s="814">
        <v>1295000</v>
      </c>
      <c r="R528" s="814">
        <v>63000</v>
      </c>
      <c r="S528" s="816">
        <f t="shared" ref="S528" si="1227">T528+U528</f>
        <v>0</v>
      </c>
      <c r="T528" s="814">
        <v>0</v>
      </c>
      <c r="U528" s="814">
        <v>0</v>
      </c>
      <c r="V528" s="816">
        <f t="shared" ref="V528" si="1228">W528+X528</f>
        <v>0</v>
      </c>
      <c r="W528" s="814">
        <v>0</v>
      </c>
      <c r="X528" s="814">
        <v>0</v>
      </c>
    </row>
    <row r="529" spans="1:24" ht="14.25" hidden="1" customHeight="1">
      <c r="A529" s="820"/>
      <c r="B529" s="821"/>
      <c r="C529" s="822"/>
      <c r="D529" s="823"/>
      <c r="E529" s="819"/>
      <c r="F529" s="819"/>
      <c r="G529" s="819"/>
      <c r="H529" s="411" t="s">
        <v>210</v>
      </c>
      <c r="I529" s="411" t="s">
        <v>210</v>
      </c>
      <c r="J529" s="818"/>
      <c r="K529" s="816"/>
      <c r="L529" s="816"/>
      <c r="M529" s="814"/>
      <c r="N529" s="814"/>
      <c r="O529" s="816"/>
      <c r="P529" s="816"/>
      <c r="Q529" s="814"/>
      <c r="R529" s="814"/>
      <c r="S529" s="816"/>
      <c r="T529" s="814"/>
      <c r="U529" s="814"/>
      <c r="V529" s="816"/>
      <c r="W529" s="814"/>
      <c r="X529" s="814"/>
    </row>
    <row r="530" spans="1:24" ht="14.25" hidden="1" customHeight="1">
      <c r="A530" s="820"/>
      <c r="B530" s="821"/>
      <c r="C530" s="822"/>
      <c r="D530" s="823"/>
      <c r="E530" s="819"/>
      <c r="F530" s="819"/>
      <c r="G530" s="819"/>
      <c r="H530" s="411" t="s">
        <v>210</v>
      </c>
      <c r="I530" s="411" t="s">
        <v>210</v>
      </c>
      <c r="J530" s="411" t="s">
        <v>6</v>
      </c>
      <c r="K530" s="413">
        <f t="shared" ref="K530" si="1229">L530+O530</f>
        <v>0</v>
      </c>
      <c r="L530" s="413">
        <f t="shared" ref="L530" si="1230">M530+N530</f>
        <v>0</v>
      </c>
      <c r="M530" s="414">
        <v>0</v>
      </c>
      <c r="N530" s="414">
        <v>0</v>
      </c>
      <c r="O530" s="413">
        <f t="shared" ref="O530" si="1231">P530+S530+V530</f>
        <v>0</v>
      </c>
      <c r="P530" s="413">
        <f t="shared" ref="P530" si="1232">Q530+R530</f>
        <v>0</v>
      </c>
      <c r="Q530" s="414">
        <v>0</v>
      </c>
      <c r="R530" s="414">
        <v>0</v>
      </c>
      <c r="S530" s="413">
        <f t="shared" ref="S530" si="1233">T530+U530</f>
        <v>0</v>
      </c>
      <c r="T530" s="414">
        <v>0</v>
      </c>
      <c r="U530" s="414">
        <v>0</v>
      </c>
      <c r="V530" s="413">
        <f t="shared" ref="V530" si="1234">W530+X530</f>
        <v>0</v>
      </c>
      <c r="W530" s="414">
        <v>0</v>
      </c>
      <c r="X530" s="414">
        <v>0</v>
      </c>
    </row>
    <row r="531" spans="1:24" ht="14.25" hidden="1" customHeight="1">
      <c r="A531" s="820"/>
      <c r="B531" s="821"/>
      <c r="C531" s="822"/>
      <c r="D531" s="823"/>
      <c r="E531" s="819"/>
      <c r="F531" s="819"/>
      <c r="G531" s="819"/>
      <c r="H531" s="411" t="s">
        <v>210</v>
      </c>
      <c r="I531" s="411" t="s">
        <v>210</v>
      </c>
      <c r="J531" s="817" t="s">
        <v>7</v>
      </c>
      <c r="K531" s="816">
        <f t="shared" ref="K531:X531" si="1235">K528+K530</f>
        <v>1358000</v>
      </c>
      <c r="L531" s="816">
        <f t="shared" si="1235"/>
        <v>0</v>
      </c>
      <c r="M531" s="814">
        <f t="shared" si="1235"/>
        <v>0</v>
      </c>
      <c r="N531" s="814">
        <f t="shared" si="1235"/>
        <v>0</v>
      </c>
      <c r="O531" s="816">
        <f t="shared" si="1235"/>
        <v>1358000</v>
      </c>
      <c r="P531" s="816">
        <f t="shared" si="1235"/>
        <v>1358000</v>
      </c>
      <c r="Q531" s="814">
        <f t="shared" si="1235"/>
        <v>1295000</v>
      </c>
      <c r="R531" s="814">
        <f t="shared" si="1235"/>
        <v>63000</v>
      </c>
      <c r="S531" s="816">
        <f t="shared" si="1235"/>
        <v>0</v>
      </c>
      <c r="T531" s="814">
        <f t="shared" si="1235"/>
        <v>0</v>
      </c>
      <c r="U531" s="814">
        <f t="shared" si="1235"/>
        <v>0</v>
      </c>
      <c r="V531" s="816">
        <f t="shared" si="1235"/>
        <v>0</v>
      </c>
      <c r="W531" s="814">
        <f t="shared" si="1235"/>
        <v>0</v>
      </c>
      <c r="X531" s="814">
        <f t="shared" si="1235"/>
        <v>0</v>
      </c>
    </row>
    <row r="532" spans="1:24" ht="14.25" hidden="1" customHeight="1">
      <c r="A532" s="820"/>
      <c r="B532" s="821"/>
      <c r="C532" s="822"/>
      <c r="D532" s="823"/>
      <c r="E532" s="819"/>
      <c r="F532" s="819"/>
      <c r="G532" s="819"/>
      <c r="H532" s="411" t="s">
        <v>210</v>
      </c>
      <c r="I532" s="411" t="s">
        <v>210</v>
      </c>
      <c r="J532" s="818"/>
      <c r="K532" s="816"/>
      <c r="L532" s="816"/>
      <c r="M532" s="814"/>
      <c r="N532" s="814"/>
      <c r="O532" s="816"/>
      <c r="P532" s="816"/>
      <c r="Q532" s="814"/>
      <c r="R532" s="814"/>
      <c r="S532" s="816"/>
      <c r="T532" s="814"/>
      <c r="U532" s="814"/>
      <c r="V532" s="816"/>
      <c r="W532" s="814"/>
      <c r="X532" s="814"/>
    </row>
    <row r="533" spans="1:24" ht="14.25" hidden="1" customHeight="1">
      <c r="A533" s="820">
        <v>8</v>
      </c>
      <c r="B533" s="821" t="s">
        <v>780</v>
      </c>
      <c r="C533" s="822" t="s">
        <v>781</v>
      </c>
      <c r="D533" s="823" t="s">
        <v>869</v>
      </c>
      <c r="E533" s="819" t="s">
        <v>226</v>
      </c>
      <c r="F533" s="819" t="s">
        <v>870</v>
      </c>
      <c r="G533" s="819" t="s">
        <v>802</v>
      </c>
      <c r="H533" s="411" t="s">
        <v>210</v>
      </c>
      <c r="I533" s="411" t="s">
        <v>210</v>
      </c>
      <c r="J533" s="817" t="s">
        <v>5</v>
      </c>
      <c r="K533" s="816">
        <f t="shared" ref="K533" si="1236">L533+O533</f>
        <v>900000</v>
      </c>
      <c r="L533" s="816">
        <f t="shared" ref="L533" si="1237">M533+N533</f>
        <v>0</v>
      </c>
      <c r="M533" s="814">
        <v>0</v>
      </c>
      <c r="N533" s="814">
        <v>0</v>
      </c>
      <c r="O533" s="816">
        <f t="shared" ref="O533" si="1238">P533+S533+V533</f>
        <v>900000</v>
      </c>
      <c r="P533" s="816">
        <f t="shared" ref="P533" si="1239">Q533+R533</f>
        <v>900000</v>
      </c>
      <c r="Q533" s="814">
        <v>900000</v>
      </c>
      <c r="R533" s="814">
        <v>0</v>
      </c>
      <c r="S533" s="816">
        <f t="shared" ref="S533" si="1240">T533+U533</f>
        <v>0</v>
      </c>
      <c r="T533" s="814">
        <v>0</v>
      </c>
      <c r="U533" s="814">
        <v>0</v>
      </c>
      <c r="V533" s="816">
        <f t="shared" ref="V533" si="1241">W533+X533</f>
        <v>0</v>
      </c>
      <c r="W533" s="814">
        <v>0</v>
      </c>
      <c r="X533" s="814">
        <v>0</v>
      </c>
    </row>
    <row r="534" spans="1:24" ht="14.25" hidden="1" customHeight="1">
      <c r="A534" s="820"/>
      <c r="B534" s="821"/>
      <c r="C534" s="822"/>
      <c r="D534" s="823"/>
      <c r="E534" s="819"/>
      <c r="F534" s="819"/>
      <c r="G534" s="819"/>
      <c r="H534" s="411" t="s">
        <v>210</v>
      </c>
      <c r="I534" s="411" t="s">
        <v>210</v>
      </c>
      <c r="J534" s="818"/>
      <c r="K534" s="816"/>
      <c r="L534" s="816"/>
      <c r="M534" s="814"/>
      <c r="N534" s="814"/>
      <c r="O534" s="816"/>
      <c r="P534" s="816"/>
      <c r="Q534" s="814"/>
      <c r="R534" s="814"/>
      <c r="S534" s="816"/>
      <c r="T534" s="814"/>
      <c r="U534" s="814"/>
      <c r="V534" s="816"/>
      <c r="W534" s="814"/>
      <c r="X534" s="814"/>
    </row>
    <row r="535" spans="1:24" ht="14.25" hidden="1" customHeight="1">
      <c r="A535" s="820"/>
      <c r="B535" s="821"/>
      <c r="C535" s="822"/>
      <c r="D535" s="823"/>
      <c r="E535" s="819"/>
      <c r="F535" s="819"/>
      <c r="G535" s="819"/>
      <c r="H535" s="411" t="s">
        <v>210</v>
      </c>
      <c r="I535" s="411" t="s">
        <v>210</v>
      </c>
      <c r="J535" s="411" t="s">
        <v>6</v>
      </c>
      <c r="K535" s="413">
        <f t="shared" ref="K535" si="1242">L535+O535</f>
        <v>0</v>
      </c>
      <c r="L535" s="413">
        <f t="shared" ref="L535" si="1243">M535+N535</f>
        <v>0</v>
      </c>
      <c r="M535" s="414">
        <v>0</v>
      </c>
      <c r="N535" s="414">
        <v>0</v>
      </c>
      <c r="O535" s="413">
        <f t="shared" ref="O535" si="1244">P535+S535+V535</f>
        <v>0</v>
      </c>
      <c r="P535" s="413">
        <f t="shared" ref="P535" si="1245">Q535+R535</f>
        <v>0</v>
      </c>
      <c r="Q535" s="414">
        <v>0</v>
      </c>
      <c r="R535" s="414">
        <v>0</v>
      </c>
      <c r="S535" s="413">
        <f t="shared" ref="S535" si="1246">T535+U535</f>
        <v>0</v>
      </c>
      <c r="T535" s="414">
        <v>0</v>
      </c>
      <c r="U535" s="414">
        <v>0</v>
      </c>
      <c r="V535" s="413">
        <f t="shared" ref="V535" si="1247">W535+X535</f>
        <v>0</v>
      </c>
      <c r="W535" s="414">
        <v>0</v>
      </c>
      <c r="X535" s="414">
        <v>0</v>
      </c>
    </row>
    <row r="536" spans="1:24" ht="14.25" hidden="1" customHeight="1">
      <c r="A536" s="820"/>
      <c r="B536" s="821"/>
      <c r="C536" s="822"/>
      <c r="D536" s="823"/>
      <c r="E536" s="819"/>
      <c r="F536" s="819"/>
      <c r="G536" s="819"/>
      <c r="H536" s="411" t="s">
        <v>210</v>
      </c>
      <c r="I536" s="411" t="s">
        <v>210</v>
      </c>
      <c r="J536" s="817" t="s">
        <v>7</v>
      </c>
      <c r="K536" s="816">
        <f t="shared" ref="K536:X536" si="1248">K533+K535</f>
        <v>900000</v>
      </c>
      <c r="L536" s="816">
        <f t="shared" si="1248"/>
        <v>0</v>
      </c>
      <c r="M536" s="814">
        <f t="shared" si="1248"/>
        <v>0</v>
      </c>
      <c r="N536" s="814">
        <f t="shared" si="1248"/>
        <v>0</v>
      </c>
      <c r="O536" s="816">
        <f t="shared" si="1248"/>
        <v>900000</v>
      </c>
      <c r="P536" s="816">
        <f t="shared" si="1248"/>
        <v>900000</v>
      </c>
      <c r="Q536" s="814">
        <f t="shared" si="1248"/>
        <v>900000</v>
      </c>
      <c r="R536" s="814">
        <f t="shared" si="1248"/>
        <v>0</v>
      </c>
      <c r="S536" s="816">
        <f t="shared" si="1248"/>
        <v>0</v>
      </c>
      <c r="T536" s="814">
        <f t="shared" si="1248"/>
        <v>0</v>
      </c>
      <c r="U536" s="814">
        <f t="shared" si="1248"/>
        <v>0</v>
      </c>
      <c r="V536" s="816">
        <f t="shared" si="1248"/>
        <v>0</v>
      </c>
      <c r="W536" s="814">
        <f t="shared" si="1248"/>
        <v>0</v>
      </c>
      <c r="X536" s="814">
        <f t="shared" si="1248"/>
        <v>0</v>
      </c>
    </row>
    <row r="537" spans="1:24" ht="14.25" hidden="1" customHeight="1">
      <c r="A537" s="820"/>
      <c r="B537" s="821"/>
      <c r="C537" s="822"/>
      <c r="D537" s="823"/>
      <c r="E537" s="819"/>
      <c r="F537" s="819"/>
      <c r="G537" s="819"/>
      <c r="H537" s="411" t="s">
        <v>210</v>
      </c>
      <c r="I537" s="411" t="s">
        <v>210</v>
      </c>
      <c r="J537" s="818"/>
      <c r="K537" s="816"/>
      <c r="L537" s="816"/>
      <c r="M537" s="814"/>
      <c r="N537" s="814"/>
      <c r="O537" s="816"/>
      <c r="P537" s="816"/>
      <c r="Q537" s="814"/>
      <c r="R537" s="814"/>
      <c r="S537" s="816"/>
      <c r="T537" s="814"/>
      <c r="U537" s="814"/>
      <c r="V537" s="816"/>
      <c r="W537" s="814"/>
      <c r="X537" s="814"/>
    </row>
    <row r="538" spans="1:24" ht="14.25" hidden="1" customHeight="1">
      <c r="A538" s="820">
        <v>5</v>
      </c>
      <c r="B538" s="821" t="s">
        <v>871</v>
      </c>
      <c r="C538" s="822" t="s">
        <v>769</v>
      </c>
      <c r="D538" s="823" t="s">
        <v>872</v>
      </c>
      <c r="E538" s="819" t="s">
        <v>226</v>
      </c>
      <c r="F538" s="819" t="s">
        <v>870</v>
      </c>
      <c r="G538" s="819" t="s">
        <v>802</v>
      </c>
      <c r="H538" s="411" t="s">
        <v>210</v>
      </c>
      <c r="I538" s="411" t="s">
        <v>210</v>
      </c>
      <c r="J538" s="817" t="s">
        <v>5</v>
      </c>
      <c r="K538" s="816">
        <f t="shared" ref="K538" si="1249">L538+O538</f>
        <v>960000</v>
      </c>
      <c r="L538" s="816">
        <f t="shared" ref="L538" si="1250">M538+N538</f>
        <v>0</v>
      </c>
      <c r="M538" s="814">
        <v>0</v>
      </c>
      <c r="N538" s="814">
        <v>0</v>
      </c>
      <c r="O538" s="816">
        <f t="shared" ref="O538" si="1251">P538+S538+V538</f>
        <v>960000</v>
      </c>
      <c r="P538" s="816">
        <f t="shared" ref="P538" si="1252">Q538+R538</f>
        <v>960000</v>
      </c>
      <c r="Q538" s="814">
        <v>960000</v>
      </c>
      <c r="R538" s="814">
        <v>0</v>
      </c>
      <c r="S538" s="816">
        <f t="shared" ref="S538" si="1253">T538+U538</f>
        <v>0</v>
      </c>
      <c r="T538" s="814">
        <v>0</v>
      </c>
      <c r="U538" s="814">
        <v>0</v>
      </c>
      <c r="V538" s="816">
        <f t="shared" ref="V538" si="1254">W538+X538</f>
        <v>0</v>
      </c>
      <c r="W538" s="814">
        <v>0</v>
      </c>
      <c r="X538" s="814">
        <v>0</v>
      </c>
    </row>
    <row r="539" spans="1:24" ht="14.25" hidden="1" customHeight="1">
      <c r="A539" s="820"/>
      <c r="B539" s="821"/>
      <c r="C539" s="822"/>
      <c r="D539" s="823"/>
      <c r="E539" s="819"/>
      <c r="F539" s="819"/>
      <c r="G539" s="819"/>
      <c r="H539" s="411" t="s">
        <v>210</v>
      </c>
      <c r="I539" s="411" t="s">
        <v>210</v>
      </c>
      <c r="J539" s="818"/>
      <c r="K539" s="816"/>
      <c r="L539" s="816"/>
      <c r="M539" s="814"/>
      <c r="N539" s="814"/>
      <c r="O539" s="816"/>
      <c r="P539" s="816"/>
      <c r="Q539" s="814"/>
      <c r="R539" s="814"/>
      <c r="S539" s="816"/>
      <c r="T539" s="814"/>
      <c r="U539" s="814"/>
      <c r="V539" s="816"/>
      <c r="W539" s="814"/>
      <c r="X539" s="814"/>
    </row>
    <row r="540" spans="1:24" ht="14.25" hidden="1" customHeight="1">
      <c r="A540" s="820"/>
      <c r="B540" s="821"/>
      <c r="C540" s="822"/>
      <c r="D540" s="823"/>
      <c r="E540" s="819"/>
      <c r="F540" s="819"/>
      <c r="G540" s="819"/>
      <c r="H540" s="411" t="s">
        <v>210</v>
      </c>
      <c r="I540" s="411" t="s">
        <v>210</v>
      </c>
      <c r="J540" s="411" t="s">
        <v>6</v>
      </c>
      <c r="K540" s="413">
        <f t="shared" ref="K540" si="1255">L540+O540</f>
        <v>0</v>
      </c>
      <c r="L540" s="413">
        <f t="shared" ref="L540" si="1256">M540+N540</f>
        <v>0</v>
      </c>
      <c r="M540" s="414">
        <v>0</v>
      </c>
      <c r="N540" s="414">
        <v>0</v>
      </c>
      <c r="O540" s="413">
        <f t="shared" ref="O540" si="1257">P540+S540+V540</f>
        <v>0</v>
      </c>
      <c r="P540" s="413">
        <f t="shared" ref="P540" si="1258">Q540+R540</f>
        <v>0</v>
      </c>
      <c r="Q540" s="414">
        <v>0</v>
      </c>
      <c r="R540" s="414">
        <v>0</v>
      </c>
      <c r="S540" s="413">
        <f t="shared" ref="S540" si="1259">T540+U540</f>
        <v>0</v>
      </c>
      <c r="T540" s="414">
        <v>0</v>
      </c>
      <c r="U540" s="414">
        <v>0</v>
      </c>
      <c r="V540" s="413">
        <f t="shared" ref="V540" si="1260">W540+X540</f>
        <v>0</v>
      </c>
      <c r="W540" s="414">
        <v>0</v>
      </c>
      <c r="X540" s="414">
        <v>0</v>
      </c>
    </row>
    <row r="541" spans="1:24" ht="14.25" hidden="1" customHeight="1">
      <c r="A541" s="820"/>
      <c r="B541" s="821"/>
      <c r="C541" s="822"/>
      <c r="D541" s="823"/>
      <c r="E541" s="819"/>
      <c r="F541" s="819"/>
      <c r="G541" s="819"/>
      <c r="H541" s="411" t="s">
        <v>210</v>
      </c>
      <c r="I541" s="411" t="s">
        <v>210</v>
      </c>
      <c r="J541" s="817" t="s">
        <v>7</v>
      </c>
      <c r="K541" s="816">
        <f t="shared" ref="K541:X541" si="1261">K538+K540</f>
        <v>960000</v>
      </c>
      <c r="L541" s="816">
        <f t="shared" si="1261"/>
        <v>0</v>
      </c>
      <c r="M541" s="814">
        <f t="shared" si="1261"/>
        <v>0</v>
      </c>
      <c r="N541" s="814">
        <f t="shared" si="1261"/>
        <v>0</v>
      </c>
      <c r="O541" s="816">
        <f t="shared" si="1261"/>
        <v>960000</v>
      </c>
      <c r="P541" s="816">
        <f t="shared" si="1261"/>
        <v>960000</v>
      </c>
      <c r="Q541" s="814">
        <f t="shared" si="1261"/>
        <v>960000</v>
      </c>
      <c r="R541" s="814">
        <f t="shared" si="1261"/>
        <v>0</v>
      </c>
      <c r="S541" s="816">
        <f t="shared" si="1261"/>
        <v>0</v>
      </c>
      <c r="T541" s="814">
        <f t="shared" si="1261"/>
        <v>0</v>
      </c>
      <c r="U541" s="814">
        <f t="shared" si="1261"/>
        <v>0</v>
      </c>
      <c r="V541" s="816">
        <f t="shared" si="1261"/>
        <v>0</v>
      </c>
      <c r="W541" s="814">
        <f t="shared" si="1261"/>
        <v>0</v>
      </c>
      <c r="X541" s="814">
        <f t="shared" si="1261"/>
        <v>0</v>
      </c>
    </row>
    <row r="542" spans="1:24" ht="14.25" hidden="1" customHeight="1">
      <c r="A542" s="820"/>
      <c r="B542" s="821"/>
      <c r="C542" s="822"/>
      <c r="D542" s="823"/>
      <c r="E542" s="819"/>
      <c r="F542" s="819"/>
      <c r="G542" s="819"/>
      <c r="H542" s="411" t="s">
        <v>210</v>
      </c>
      <c r="I542" s="411" t="s">
        <v>210</v>
      </c>
      <c r="J542" s="818"/>
      <c r="K542" s="816"/>
      <c r="L542" s="816"/>
      <c r="M542" s="814"/>
      <c r="N542" s="814"/>
      <c r="O542" s="816"/>
      <c r="P542" s="816"/>
      <c r="Q542" s="814"/>
      <c r="R542" s="814"/>
      <c r="S542" s="816"/>
      <c r="T542" s="814"/>
      <c r="U542" s="814"/>
      <c r="V542" s="816"/>
      <c r="W542" s="814"/>
      <c r="X542" s="814"/>
    </row>
    <row r="543" spans="1:24" s="427" customFormat="1" ht="14.1" customHeight="1">
      <c r="A543" s="815" t="s">
        <v>873</v>
      </c>
      <c r="B543" s="815"/>
      <c r="C543" s="815"/>
      <c r="D543" s="815"/>
      <c r="E543" s="815"/>
      <c r="F543" s="815"/>
      <c r="G543" s="815"/>
      <c r="H543" s="411" t="s">
        <v>210</v>
      </c>
      <c r="I543" s="411" t="s">
        <v>210</v>
      </c>
      <c r="J543" s="811" t="s">
        <v>5</v>
      </c>
      <c r="K543" s="810">
        <f>K393+K398+K403+K413+K418+K423+K428+K433+K438+K443+K448+K453+K458+K463+K473+K478+K483+K488+K493+K498+K503+K508+K513+K518+K523+K528+K533+K538+K468+K408</f>
        <v>49999626</v>
      </c>
      <c r="L543" s="810">
        <f t="shared" ref="L543:X543" si="1262">L393+L398+L403+L413+L418+L423+L428+L433+L438+L443+L448+L453+L458+L463+L473+L478+L483+L488+L493+L498+L503+L508+L513+L518+L523+L528+L533+L538+L468+L408</f>
        <v>0</v>
      </c>
      <c r="M543" s="810">
        <f t="shared" si="1262"/>
        <v>0</v>
      </c>
      <c r="N543" s="810">
        <f t="shared" si="1262"/>
        <v>0</v>
      </c>
      <c r="O543" s="810">
        <f t="shared" si="1262"/>
        <v>49999626</v>
      </c>
      <c r="P543" s="810">
        <f t="shared" si="1262"/>
        <v>49999626</v>
      </c>
      <c r="Q543" s="810">
        <f t="shared" si="1262"/>
        <v>14554736</v>
      </c>
      <c r="R543" s="810">
        <f t="shared" si="1262"/>
        <v>35444890</v>
      </c>
      <c r="S543" s="810">
        <f t="shared" si="1262"/>
        <v>0</v>
      </c>
      <c r="T543" s="810">
        <f t="shared" si="1262"/>
        <v>0</v>
      </c>
      <c r="U543" s="810">
        <f t="shared" si="1262"/>
        <v>0</v>
      </c>
      <c r="V543" s="810">
        <f t="shared" si="1262"/>
        <v>0</v>
      </c>
      <c r="W543" s="810">
        <f t="shared" si="1262"/>
        <v>0</v>
      </c>
      <c r="X543" s="810">
        <f t="shared" si="1262"/>
        <v>0</v>
      </c>
    </row>
    <row r="544" spans="1:24" s="428" customFormat="1" ht="14.1" customHeight="1">
      <c r="A544" s="815"/>
      <c r="B544" s="815"/>
      <c r="C544" s="815"/>
      <c r="D544" s="815"/>
      <c r="E544" s="815"/>
      <c r="F544" s="815"/>
      <c r="G544" s="815"/>
      <c r="H544" s="411" t="s">
        <v>210</v>
      </c>
      <c r="I544" s="411" t="s">
        <v>210</v>
      </c>
      <c r="J544" s="812"/>
      <c r="K544" s="810"/>
      <c r="L544" s="810"/>
      <c r="M544" s="810"/>
      <c r="N544" s="810"/>
      <c r="O544" s="810"/>
      <c r="P544" s="810"/>
      <c r="Q544" s="810"/>
      <c r="R544" s="810"/>
      <c r="S544" s="810"/>
      <c r="T544" s="810"/>
      <c r="U544" s="810"/>
      <c r="V544" s="810"/>
      <c r="W544" s="810"/>
      <c r="X544" s="810"/>
    </row>
    <row r="545" spans="1:24" s="428" customFormat="1" ht="14.1" customHeight="1">
      <c r="A545" s="815"/>
      <c r="B545" s="815"/>
      <c r="C545" s="815"/>
      <c r="D545" s="815"/>
      <c r="E545" s="815"/>
      <c r="F545" s="815"/>
      <c r="G545" s="815"/>
      <c r="H545" s="411" t="s">
        <v>210</v>
      </c>
      <c r="I545" s="411" t="s">
        <v>210</v>
      </c>
      <c r="J545" s="418" t="s">
        <v>6</v>
      </c>
      <c r="K545" s="419">
        <f>K395+K400+K405+K415+K420+K425+K430+K435+K440+K445+K450+K455+K460+K465+K475+K480+K485+K490+K495+K500+K505+K510+K515+K520+K525+K530+K535+K540+K470+K410</f>
        <v>0</v>
      </c>
      <c r="L545" s="419">
        <f t="shared" ref="L545:X545" si="1263">L395+L400+L405+L415+L420+L425+L430+L435+L440+L445+L450+L455+L460+L465+L475+L480+L485+L490+L495+L500+L505+L510+L515+L520+L525+L530+L535+L540+L470+L410</f>
        <v>0</v>
      </c>
      <c r="M545" s="419">
        <f t="shared" si="1263"/>
        <v>0</v>
      </c>
      <c r="N545" s="419">
        <f t="shared" si="1263"/>
        <v>0</v>
      </c>
      <c r="O545" s="419">
        <f t="shared" si="1263"/>
        <v>0</v>
      </c>
      <c r="P545" s="419">
        <f t="shared" si="1263"/>
        <v>0</v>
      </c>
      <c r="Q545" s="419">
        <f t="shared" si="1263"/>
        <v>-100000</v>
      </c>
      <c r="R545" s="419">
        <f t="shared" si="1263"/>
        <v>100000</v>
      </c>
      <c r="S545" s="419">
        <f t="shared" si="1263"/>
        <v>0</v>
      </c>
      <c r="T545" s="419">
        <f t="shared" si="1263"/>
        <v>0</v>
      </c>
      <c r="U545" s="419">
        <f t="shared" si="1263"/>
        <v>0</v>
      </c>
      <c r="V545" s="419">
        <f t="shared" si="1263"/>
        <v>0</v>
      </c>
      <c r="W545" s="419">
        <f t="shared" si="1263"/>
        <v>0</v>
      </c>
      <c r="X545" s="419">
        <f t="shared" si="1263"/>
        <v>0</v>
      </c>
    </row>
    <row r="546" spans="1:24" s="428" customFormat="1" ht="14.1" customHeight="1">
      <c r="A546" s="815"/>
      <c r="B546" s="815"/>
      <c r="C546" s="815"/>
      <c r="D546" s="815"/>
      <c r="E546" s="815"/>
      <c r="F546" s="815"/>
      <c r="G546" s="815"/>
      <c r="H546" s="411" t="s">
        <v>210</v>
      </c>
      <c r="I546" s="411" t="s">
        <v>210</v>
      </c>
      <c r="J546" s="811" t="s">
        <v>7</v>
      </c>
      <c r="K546" s="810">
        <f>K543+K545</f>
        <v>49999626</v>
      </c>
      <c r="L546" s="810">
        <f t="shared" ref="L546:X546" si="1264">L543+L545</f>
        <v>0</v>
      </c>
      <c r="M546" s="810">
        <f t="shared" si="1264"/>
        <v>0</v>
      </c>
      <c r="N546" s="810">
        <f t="shared" si="1264"/>
        <v>0</v>
      </c>
      <c r="O546" s="810">
        <f t="shared" si="1264"/>
        <v>49999626</v>
      </c>
      <c r="P546" s="810">
        <f t="shared" si="1264"/>
        <v>49999626</v>
      </c>
      <c r="Q546" s="810">
        <f t="shared" si="1264"/>
        <v>14454736</v>
      </c>
      <c r="R546" s="810">
        <f t="shared" si="1264"/>
        <v>35544890</v>
      </c>
      <c r="S546" s="810">
        <f t="shared" si="1264"/>
        <v>0</v>
      </c>
      <c r="T546" s="810">
        <f t="shared" si="1264"/>
        <v>0</v>
      </c>
      <c r="U546" s="810">
        <f t="shared" si="1264"/>
        <v>0</v>
      </c>
      <c r="V546" s="810">
        <f t="shared" si="1264"/>
        <v>0</v>
      </c>
      <c r="W546" s="810">
        <f t="shared" si="1264"/>
        <v>0</v>
      </c>
      <c r="X546" s="810">
        <f t="shared" si="1264"/>
        <v>0</v>
      </c>
    </row>
    <row r="547" spans="1:24" s="428" customFormat="1" ht="14.1" customHeight="1">
      <c r="A547" s="815"/>
      <c r="B547" s="815"/>
      <c r="C547" s="815"/>
      <c r="D547" s="815"/>
      <c r="E547" s="815"/>
      <c r="F547" s="815"/>
      <c r="G547" s="815"/>
      <c r="H547" s="411" t="s">
        <v>210</v>
      </c>
      <c r="I547" s="411" t="s">
        <v>210</v>
      </c>
      <c r="J547" s="812"/>
      <c r="K547" s="810"/>
      <c r="L547" s="810"/>
      <c r="M547" s="810"/>
      <c r="N547" s="810"/>
      <c r="O547" s="810"/>
      <c r="P547" s="810"/>
      <c r="Q547" s="810"/>
      <c r="R547" s="810"/>
      <c r="S547" s="810"/>
      <c r="T547" s="810"/>
      <c r="U547" s="810"/>
      <c r="V547" s="810"/>
      <c r="W547" s="810"/>
      <c r="X547" s="810"/>
    </row>
    <row r="548" spans="1:24" s="430" customFormat="1" ht="17.100000000000001" customHeight="1">
      <c r="A548" s="813" t="s">
        <v>601</v>
      </c>
      <c r="B548" s="813"/>
      <c r="C548" s="813"/>
      <c r="D548" s="813"/>
      <c r="E548" s="813"/>
      <c r="F548" s="813"/>
      <c r="G548" s="813"/>
      <c r="H548" s="429">
        <f>H385+H342</f>
        <v>1616498163</v>
      </c>
      <c r="I548" s="429">
        <f t="shared" ref="H548:I552" si="1265">I385+I342</f>
        <v>546353090</v>
      </c>
      <c r="J548" s="811" t="s">
        <v>5</v>
      </c>
      <c r="K548" s="810">
        <f>K543+K342+K385</f>
        <v>693535571</v>
      </c>
      <c r="L548" s="810">
        <f t="shared" ref="L548:X548" si="1266">L543+L342+L385</f>
        <v>547742298</v>
      </c>
      <c r="M548" s="810">
        <f t="shared" si="1266"/>
        <v>188460320</v>
      </c>
      <c r="N548" s="810">
        <f t="shared" si="1266"/>
        <v>359281978</v>
      </c>
      <c r="O548" s="810">
        <f t="shared" si="1266"/>
        <v>145793273</v>
      </c>
      <c r="P548" s="810">
        <f t="shared" si="1266"/>
        <v>71106107</v>
      </c>
      <c r="Q548" s="810">
        <f t="shared" si="1266"/>
        <v>25439637</v>
      </c>
      <c r="R548" s="810">
        <f t="shared" si="1266"/>
        <v>45666470</v>
      </c>
      <c r="S548" s="810">
        <f t="shared" si="1266"/>
        <v>59587657</v>
      </c>
      <c r="T548" s="810">
        <f t="shared" si="1266"/>
        <v>13290833</v>
      </c>
      <c r="U548" s="810">
        <f t="shared" si="1266"/>
        <v>46296824</v>
      </c>
      <c r="V548" s="810">
        <f t="shared" si="1266"/>
        <v>15099509</v>
      </c>
      <c r="W548" s="810">
        <f t="shared" si="1266"/>
        <v>1151697</v>
      </c>
      <c r="X548" s="810">
        <f t="shared" si="1266"/>
        <v>13947812</v>
      </c>
    </row>
    <row r="549" spans="1:24" s="431" customFormat="1" ht="17.100000000000001" customHeight="1">
      <c r="A549" s="813"/>
      <c r="B549" s="813"/>
      <c r="C549" s="813"/>
      <c r="D549" s="813"/>
      <c r="E549" s="813"/>
      <c r="F549" s="813"/>
      <c r="G549" s="813"/>
      <c r="H549" s="429">
        <f t="shared" si="1265"/>
        <v>1344374003</v>
      </c>
      <c r="I549" s="429">
        <f t="shared" si="1265"/>
        <v>445912563</v>
      </c>
      <c r="J549" s="812"/>
      <c r="K549" s="810"/>
      <c r="L549" s="810"/>
      <c r="M549" s="810"/>
      <c r="N549" s="810"/>
      <c r="O549" s="810"/>
      <c r="P549" s="810"/>
      <c r="Q549" s="810"/>
      <c r="R549" s="810"/>
      <c r="S549" s="810"/>
      <c r="T549" s="810"/>
      <c r="U549" s="810"/>
      <c r="V549" s="810"/>
      <c r="W549" s="810"/>
      <c r="X549" s="810"/>
    </row>
    <row r="550" spans="1:24" s="431" customFormat="1" ht="17.100000000000001" customHeight="1">
      <c r="A550" s="813"/>
      <c r="B550" s="813"/>
      <c r="C550" s="813"/>
      <c r="D550" s="813"/>
      <c r="E550" s="813"/>
      <c r="F550" s="813"/>
      <c r="G550" s="813"/>
      <c r="H550" s="429">
        <f t="shared" si="1265"/>
        <v>51978986</v>
      </c>
      <c r="I550" s="429">
        <f t="shared" si="1265"/>
        <v>15212183</v>
      </c>
      <c r="J550" s="418" t="s">
        <v>6</v>
      </c>
      <c r="K550" s="419">
        <f>K545+K387+K344</f>
        <v>-7263473</v>
      </c>
      <c r="L550" s="419">
        <f t="shared" ref="L550:X550" si="1267">L545+L387+L344</f>
        <v>-11243592</v>
      </c>
      <c r="M550" s="419">
        <f t="shared" si="1267"/>
        <v>-15068655</v>
      </c>
      <c r="N550" s="419">
        <f t="shared" si="1267"/>
        <v>3825063</v>
      </c>
      <c r="O550" s="419">
        <f t="shared" si="1267"/>
        <v>3980119</v>
      </c>
      <c r="P550" s="419">
        <f t="shared" si="1267"/>
        <v>826881</v>
      </c>
      <c r="Q550" s="419">
        <f t="shared" si="1267"/>
        <v>-177138</v>
      </c>
      <c r="R550" s="419">
        <f t="shared" si="1267"/>
        <v>1004019</v>
      </c>
      <c r="S550" s="419">
        <f t="shared" si="1267"/>
        <v>1863018</v>
      </c>
      <c r="T550" s="419">
        <f t="shared" si="1267"/>
        <v>-1166677</v>
      </c>
      <c r="U550" s="419">
        <f t="shared" si="1267"/>
        <v>3029695</v>
      </c>
      <c r="V550" s="419">
        <f t="shared" si="1267"/>
        <v>1290220</v>
      </c>
      <c r="W550" s="419">
        <f t="shared" si="1267"/>
        <v>0</v>
      </c>
      <c r="X550" s="419">
        <f t="shared" si="1267"/>
        <v>1290220</v>
      </c>
    </row>
    <row r="551" spans="1:24" s="431" customFormat="1" ht="17.100000000000001" customHeight="1">
      <c r="A551" s="813"/>
      <c r="B551" s="813"/>
      <c r="C551" s="813"/>
      <c r="D551" s="813"/>
      <c r="E551" s="813"/>
      <c r="F551" s="813"/>
      <c r="G551" s="813"/>
      <c r="H551" s="429">
        <f t="shared" si="1265"/>
        <v>197147338</v>
      </c>
      <c r="I551" s="429">
        <f t="shared" si="1265"/>
        <v>81052133</v>
      </c>
      <c r="J551" s="811" t="s">
        <v>7</v>
      </c>
      <c r="K551" s="810">
        <f>K548+K550</f>
        <v>686272098</v>
      </c>
      <c r="L551" s="810">
        <f t="shared" ref="L551:X551" si="1268">L548+L550</f>
        <v>536498706</v>
      </c>
      <c r="M551" s="810">
        <f t="shared" si="1268"/>
        <v>173391665</v>
      </c>
      <c r="N551" s="810">
        <f t="shared" si="1268"/>
        <v>363107041</v>
      </c>
      <c r="O551" s="810">
        <f t="shared" si="1268"/>
        <v>149773392</v>
      </c>
      <c r="P551" s="810">
        <f t="shared" si="1268"/>
        <v>71932988</v>
      </c>
      <c r="Q551" s="810">
        <f t="shared" si="1268"/>
        <v>25262499</v>
      </c>
      <c r="R551" s="810">
        <f t="shared" si="1268"/>
        <v>46670489</v>
      </c>
      <c r="S551" s="810">
        <f t="shared" si="1268"/>
        <v>61450675</v>
      </c>
      <c r="T551" s="810">
        <f t="shared" si="1268"/>
        <v>12124156</v>
      </c>
      <c r="U551" s="810">
        <f t="shared" si="1268"/>
        <v>49326519</v>
      </c>
      <c r="V551" s="810">
        <f t="shared" si="1268"/>
        <v>16389729</v>
      </c>
      <c r="W551" s="810">
        <f t="shared" si="1268"/>
        <v>1151697</v>
      </c>
      <c r="X551" s="810">
        <f t="shared" si="1268"/>
        <v>15238032</v>
      </c>
    </row>
    <row r="552" spans="1:24" s="431" customFormat="1" ht="17.100000000000001" customHeight="1">
      <c r="A552" s="813"/>
      <c r="B552" s="813"/>
      <c r="C552" s="813"/>
      <c r="D552" s="813"/>
      <c r="E552" s="813"/>
      <c r="F552" s="813"/>
      <c r="G552" s="813"/>
      <c r="H552" s="429">
        <f t="shared" si="1265"/>
        <v>22997836</v>
      </c>
      <c r="I552" s="429">
        <f t="shared" si="1265"/>
        <v>4176211</v>
      </c>
      <c r="J552" s="812"/>
      <c r="K552" s="810"/>
      <c r="L552" s="810"/>
      <c r="M552" s="810"/>
      <c r="N552" s="810"/>
      <c r="O552" s="810"/>
      <c r="P552" s="810"/>
      <c r="Q552" s="810"/>
      <c r="R552" s="810"/>
      <c r="S552" s="810"/>
      <c r="T552" s="810"/>
      <c r="U552" s="810"/>
      <c r="V552" s="810"/>
      <c r="W552" s="810"/>
      <c r="X552" s="810"/>
    </row>
    <row r="553" spans="1:24" s="412" customFormat="1" ht="9.75" customHeight="1">
      <c r="A553" s="432" t="s">
        <v>3</v>
      </c>
    </row>
    <row r="554" spans="1:24" ht="12.75" customHeight="1">
      <c r="A554" s="433" t="s">
        <v>5</v>
      </c>
      <c r="B554" s="434" t="s">
        <v>874</v>
      </c>
    </row>
    <row r="555" spans="1:24" ht="12.75" customHeight="1">
      <c r="A555" s="433" t="s">
        <v>6</v>
      </c>
      <c r="B555" s="434" t="s">
        <v>875</v>
      </c>
    </row>
    <row r="556" spans="1:24" ht="12.75" customHeight="1">
      <c r="A556" s="433" t="s">
        <v>7</v>
      </c>
      <c r="B556" s="434" t="s">
        <v>876</v>
      </c>
    </row>
  </sheetData>
  <sheetProtection password="C25B" sheet="1" objects="1" scenarios="1"/>
  <mergeCells count="3937">
    <mergeCell ref="A5:W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K17:K18"/>
    <mergeCell ref="L17:L18"/>
    <mergeCell ref="M17:M18"/>
    <mergeCell ref="N17:N18"/>
    <mergeCell ref="O17:O18"/>
    <mergeCell ref="P17:P18"/>
    <mergeCell ref="A15:X15"/>
    <mergeCell ref="A16:X16"/>
    <mergeCell ref="A17:A21"/>
    <mergeCell ref="B17:B21"/>
    <mergeCell ref="C17:C21"/>
    <mergeCell ref="D17:D21"/>
    <mergeCell ref="E17:E21"/>
    <mergeCell ref="F17:F21"/>
    <mergeCell ref="G17:G21"/>
    <mergeCell ref="J17:J18"/>
    <mergeCell ref="T11:T12"/>
    <mergeCell ref="U11:U12"/>
    <mergeCell ref="V11:V12"/>
    <mergeCell ref="W11:W12"/>
    <mergeCell ref="X11:X12"/>
    <mergeCell ref="A14:X14"/>
    <mergeCell ref="M11:M12"/>
    <mergeCell ref="N11:N12"/>
    <mergeCell ref="P11:P12"/>
    <mergeCell ref="Q11:Q12"/>
    <mergeCell ref="R11:R12"/>
    <mergeCell ref="S11:S12"/>
    <mergeCell ref="J7:J12"/>
    <mergeCell ref="K7:X8"/>
    <mergeCell ref="K9:K12"/>
    <mergeCell ref="L9:N10"/>
    <mergeCell ref="X20:X21"/>
    <mergeCell ref="O9:O12"/>
    <mergeCell ref="P9:X9"/>
    <mergeCell ref="P10:R10"/>
    <mergeCell ref="S10:U10"/>
    <mergeCell ref="V10:X10"/>
    <mergeCell ref="L11:L12"/>
    <mergeCell ref="R20:R21"/>
    <mergeCell ref="S20:S21"/>
    <mergeCell ref="T20:T21"/>
    <mergeCell ref="U20:U21"/>
    <mergeCell ref="V20:V21"/>
    <mergeCell ref="W20:W21"/>
    <mergeCell ref="W17:W18"/>
    <mergeCell ref="X17:X18"/>
    <mergeCell ref="J20:J21"/>
    <mergeCell ref="K20:K21"/>
    <mergeCell ref="L20:L21"/>
    <mergeCell ref="M20:M21"/>
    <mergeCell ref="N20:N21"/>
    <mergeCell ref="O20:O21"/>
    <mergeCell ref="P20:P21"/>
    <mergeCell ref="Q20:Q21"/>
    <mergeCell ref="Q17:Q18"/>
    <mergeCell ref="R17:R18"/>
    <mergeCell ref="S17:S18"/>
    <mergeCell ref="T17:T18"/>
    <mergeCell ref="U17:U18"/>
    <mergeCell ref="V17:V18"/>
    <mergeCell ref="X22:X23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J22:J23"/>
    <mergeCell ref="K22:K23"/>
    <mergeCell ref="X25:X26"/>
    <mergeCell ref="G27:G31"/>
    <mergeCell ref="J27:J28"/>
    <mergeCell ref="K27:K28"/>
    <mergeCell ref="L27:L28"/>
    <mergeCell ref="M27:M28"/>
    <mergeCell ref="N27:N28"/>
    <mergeCell ref="A27:A31"/>
    <mergeCell ref="B27:B31"/>
    <mergeCell ref="C27:C31"/>
    <mergeCell ref="D27:D31"/>
    <mergeCell ref="E27:E31"/>
    <mergeCell ref="F27:F31"/>
    <mergeCell ref="S25:S26"/>
    <mergeCell ref="T25:T26"/>
    <mergeCell ref="U25:U26"/>
    <mergeCell ref="V25:V26"/>
    <mergeCell ref="W25:W26"/>
    <mergeCell ref="V30:V31"/>
    <mergeCell ref="W30:W31"/>
    <mergeCell ref="A22:A26"/>
    <mergeCell ref="B22:B26"/>
    <mergeCell ref="C22:C26"/>
    <mergeCell ref="D22:D26"/>
    <mergeCell ref="E22:E26"/>
    <mergeCell ref="F22:F26"/>
    <mergeCell ref="G22:G26"/>
    <mergeCell ref="X30:X31"/>
    <mergeCell ref="A32:A36"/>
    <mergeCell ref="B32:B36"/>
    <mergeCell ref="C32:C36"/>
    <mergeCell ref="D32:D36"/>
    <mergeCell ref="E32:E36"/>
    <mergeCell ref="F32:F36"/>
    <mergeCell ref="G32:G36"/>
    <mergeCell ref="P30:P31"/>
    <mergeCell ref="Q30:Q31"/>
    <mergeCell ref="R30:R31"/>
    <mergeCell ref="S30:S31"/>
    <mergeCell ref="T30:T31"/>
    <mergeCell ref="U30:U31"/>
    <mergeCell ref="U27:U28"/>
    <mergeCell ref="V27:V28"/>
    <mergeCell ref="W27:W28"/>
    <mergeCell ref="X27:X28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V32:V33"/>
    <mergeCell ref="W32:W33"/>
    <mergeCell ref="X32:X33"/>
    <mergeCell ref="J35:J36"/>
    <mergeCell ref="K35:K36"/>
    <mergeCell ref="L35:L36"/>
    <mergeCell ref="M35:M36"/>
    <mergeCell ref="N35:N36"/>
    <mergeCell ref="O35:O36"/>
    <mergeCell ref="P35:P36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W35:W36"/>
    <mergeCell ref="X35:X36"/>
    <mergeCell ref="A37:A41"/>
    <mergeCell ref="B37:B41"/>
    <mergeCell ref="C37:C41"/>
    <mergeCell ref="D37:D41"/>
    <mergeCell ref="E37:E41"/>
    <mergeCell ref="F37:F41"/>
    <mergeCell ref="G37:G41"/>
    <mergeCell ref="J37:J38"/>
    <mergeCell ref="Q35:Q36"/>
    <mergeCell ref="R35:R36"/>
    <mergeCell ref="S35:S36"/>
    <mergeCell ref="T35:T36"/>
    <mergeCell ref="U35:U36"/>
    <mergeCell ref="V35:V36"/>
    <mergeCell ref="X40:X41"/>
    <mergeCell ref="R40:R41"/>
    <mergeCell ref="S40:S41"/>
    <mergeCell ref="T40:T41"/>
    <mergeCell ref="U40:U41"/>
    <mergeCell ref="V40:V41"/>
    <mergeCell ref="W40:W41"/>
    <mergeCell ref="W37:W38"/>
    <mergeCell ref="X37:X38"/>
    <mergeCell ref="J40:J41"/>
    <mergeCell ref="K40:K41"/>
    <mergeCell ref="L40:L41"/>
    <mergeCell ref="M40:M41"/>
    <mergeCell ref="N40:N41"/>
    <mergeCell ref="O40:O41"/>
    <mergeCell ref="P40:P41"/>
    <mergeCell ref="Q40:Q41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X42:X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J42:J43"/>
    <mergeCell ref="K42:K43"/>
    <mergeCell ref="X45:X46"/>
    <mergeCell ref="G47:G51"/>
    <mergeCell ref="J47:J48"/>
    <mergeCell ref="K47:K48"/>
    <mergeCell ref="L47:L48"/>
    <mergeCell ref="M47:M48"/>
    <mergeCell ref="N47:N48"/>
    <mergeCell ref="A47:A51"/>
    <mergeCell ref="B47:B51"/>
    <mergeCell ref="C47:C51"/>
    <mergeCell ref="D47:D51"/>
    <mergeCell ref="E47:E51"/>
    <mergeCell ref="F47:F51"/>
    <mergeCell ref="S45:S46"/>
    <mergeCell ref="T45:T46"/>
    <mergeCell ref="U45:U46"/>
    <mergeCell ref="V45:V46"/>
    <mergeCell ref="W45:W46"/>
    <mergeCell ref="V50:V51"/>
    <mergeCell ref="W50:W51"/>
    <mergeCell ref="A42:A46"/>
    <mergeCell ref="B42:B46"/>
    <mergeCell ref="C42:C46"/>
    <mergeCell ref="D42:D46"/>
    <mergeCell ref="E42:E46"/>
    <mergeCell ref="F42:F46"/>
    <mergeCell ref="G42:G46"/>
    <mergeCell ref="X50:X51"/>
    <mergeCell ref="A52:A56"/>
    <mergeCell ref="B52:B56"/>
    <mergeCell ref="C52:C56"/>
    <mergeCell ref="D52:D56"/>
    <mergeCell ref="E52:E56"/>
    <mergeCell ref="F52:F56"/>
    <mergeCell ref="G52:G56"/>
    <mergeCell ref="P50:P51"/>
    <mergeCell ref="Q50:Q51"/>
    <mergeCell ref="R50:R51"/>
    <mergeCell ref="S50:S51"/>
    <mergeCell ref="T50:T51"/>
    <mergeCell ref="U50:U51"/>
    <mergeCell ref="U47:U48"/>
    <mergeCell ref="V47:V48"/>
    <mergeCell ref="W47:W48"/>
    <mergeCell ref="X47:X48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V52:V53"/>
    <mergeCell ref="W52:W53"/>
    <mergeCell ref="X52:X53"/>
    <mergeCell ref="J55:J56"/>
    <mergeCell ref="K55:K56"/>
    <mergeCell ref="L55:L56"/>
    <mergeCell ref="M55:M56"/>
    <mergeCell ref="N55:N56"/>
    <mergeCell ref="O55:O56"/>
    <mergeCell ref="P55:P56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W55:W56"/>
    <mergeCell ref="X55:X56"/>
    <mergeCell ref="A57:A61"/>
    <mergeCell ref="B57:B61"/>
    <mergeCell ref="C57:C61"/>
    <mergeCell ref="D57:D61"/>
    <mergeCell ref="E57:E61"/>
    <mergeCell ref="F57:F61"/>
    <mergeCell ref="G57:G61"/>
    <mergeCell ref="J57:J58"/>
    <mergeCell ref="Q55:Q56"/>
    <mergeCell ref="R55:R56"/>
    <mergeCell ref="S55:S56"/>
    <mergeCell ref="T55:T56"/>
    <mergeCell ref="U55:U56"/>
    <mergeCell ref="V55:V56"/>
    <mergeCell ref="X60:X61"/>
    <mergeCell ref="R60:R61"/>
    <mergeCell ref="S60:S61"/>
    <mergeCell ref="T60:T61"/>
    <mergeCell ref="U60:U61"/>
    <mergeCell ref="V60:V61"/>
    <mergeCell ref="W60:W61"/>
    <mergeCell ref="W57:W58"/>
    <mergeCell ref="X57:X58"/>
    <mergeCell ref="J60:J61"/>
    <mergeCell ref="K60:K61"/>
    <mergeCell ref="L60:L61"/>
    <mergeCell ref="M60:M61"/>
    <mergeCell ref="N60:N61"/>
    <mergeCell ref="O60:O61"/>
    <mergeCell ref="P60:P61"/>
    <mergeCell ref="Q60:Q61"/>
    <mergeCell ref="Q57:Q58"/>
    <mergeCell ref="R57:R58"/>
    <mergeCell ref="S57:S58"/>
    <mergeCell ref="T57:T58"/>
    <mergeCell ref="U57:U58"/>
    <mergeCell ref="V57:V58"/>
    <mergeCell ref="K57:K58"/>
    <mergeCell ref="L57:L58"/>
    <mergeCell ref="M57:M58"/>
    <mergeCell ref="N57:N58"/>
    <mergeCell ref="O57:O58"/>
    <mergeCell ref="P57:P58"/>
    <mergeCell ref="X62:X63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R62:R63"/>
    <mergeCell ref="S62:S63"/>
    <mergeCell ref="T62:T63"/>
    <mergeCell ref="U62:U63"/>
    <mergeCell ref="V62:V63"/>
    <mergeCell ref="W62:W63"/>
    <mergeCell ref="L62:L63"/>
    <mergeCell ref="M62:M63"/>
    <mergeCell ref="N62:N63"/>
    <mergeCell ref="O62:O63"/>
    <mergeCell ref="P62:P63"/>
    <mergeCell ref="Q62:Q63"/>
    <mergeCell ref="J62:J63"/>
    <mergeCell ref="K62:K63"/>
    <mergeCell ref="X65:X66"/>
    <mergeCell ref="G67:G71"/>
    <mergeCell ref="J67:J68"/>
    <mergeCell ref="K67:K68"/>
    <mergeCell ref="L67:L68"/>
    <mergeCell ref="M67:M68"/>
    <mergeCell ref="N67:N68"/>
    <mergeCell ref="A67:A71"/>
    <mergeCell ref="B67:B71"/>
    <mergeCell ref="C67:C71"/>
    <mergeCell ref="D67:D71"/>
    <mergeCell ref="E67:E71"/>
    <mergeCell ref="F67:F71"/>
    <mergeCell ref="S65:S66"/>
    <mergeCell ref="T65:T66"/>
    <mergeCell ref="U65:U66"/>
    <mergeCell ref="V65:V66"/>
    <mergeCell ref="W65:W66"/>
    <mergeCell ref="V70:V71"/>
    <mergeCell ref="W70:W71"/>
    <mergeCell ref="A62:A66"/>
    <mergeCell ref="B62:B66"/>
    <mergeCell ref="C62:C66"/>
    <mergeCell ref="D62:D66"/>
    <mergeCell ref="E62:E66"/>
    <mergeCell ref="F62:F66"/>
    <mergeCell ref="G62:G66"/>
    <mergeCell ref="X70:X71"/>
    <mergeCell ref="A72:A76"/>
    <mergeCell ref="B72:B76"/>
    <mergeCell ref="C72:C76"/>
    <mergeCell ref="D72:D76"/>
    <mergeCell ref="E72:E76"/>
    <mergeCell ref="F72:F76"/>
    <mergeCell ref="G72:G76"/>
    <mergeCell ref="P70:P71"/>
    <mergeCell ref="Q70:Q71"/>
    <mergeCell ref="R70:R71"/>
    <mergeCell ref="S70:S71"/>
    <mergeCell ref="T70:T71"/>
    <mergeCell ref="U70:U71"/>
    <mergeCell ref="U67:U68"/>
    <mergeCell ref="V67:V68"/>
    <mergeCell ref="W67:W68"/>
    <mergeCell ref="X67:X68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V72:V73"/>
    <mergeCell ref="W72:W73"/>
    <mergeCell ref="X72:X73"/>
    <mergeCell ref="J75:J76"/>
    <mergeCell ref="K75:K76"/>
    <mergeCell ref="L75:L76"/>
    <mergeCell ref="M75:M76"/>
    <mergeCell ref="N75:N76"/>
    <mergeCell ref="O75:O76"/>
    <mergeCell ref="P75:P76"/>
    <mergeCell ref="P72:P73"/>
    <mergeCell ref="Q72:Q73"/>
    <mergeCell ref="R72:R73"/>
    <mergeCell ref="S72:S73"/>
    <mergeCell ref="T72:T73"/>
    <mergeCell ref="U72:U73"/>
    <mergeCell ref="J72:J73"/>
    <mergeCell ref="K72:K73"/>
    <mergeCell ref="L72:L73"/>
    <mergeCell ref="M72:M73"/>
    <mergeCell ref="N72:N73"/>
    <mergeCell ref="O72:O73"/>
    <mergeCell ref="W75:W76"/>
    <mergeCell ref="X75:X76"/>
    <mergeCell ref="A77:A81"/>
    <mergeCell ref="B77:B81"/>
    <mergeCell ref="C77:C81"/>
    <mergeCell ref="D77:D81"/>
    <mergeCell ref="E77:E81"/>
    <mergeCell ref="F77:F81"/>
    <mergeCell ref="G77:G81"/>
    <mergeCell ref="J77:J78"/>
    <mergeCell ref="Q75:Q76"/>
    <mergeCell ref="R75:R76"/>
    <mergeCell ref="S75:S76"/>
    <mergeCell ref="T75:T76"/>
    <mergeCell ref="U75:U76"/>
    <mergeCell ref="V75:V76"/>
    <mergeCell ref="X80:X81"/>
    <mergeCell ref="R80:R81"/>
    <mergeCell ref="S80:S81"/>
    <mergeCell ref="T80:T81"/>
    <mergeCell ref="U80:U81"/>
    <mergeCell ref="V80:V81"/>
    <mergeCell ref="W80:W81"/>
    <mergeCell ref="W77:W78"/>
    <mergeCell ref="X77:X78"/>
    <mergeCell ref="J80:J81"/>
    <mergeCell ref="K80:K81"/>
    <mergeCell ref="L80:L81"/>
    <mergeCell ref="M80:M81"/>
    <mergeCell ref="N80:N81"/>
    <mergeCell ref="O80:O81"/>
    <mergeCell ref="P80:P81"/>
    <mergeCell ref="Q80:Q81"/>
    <mergeCell ref="Q77:Q78"/>
    <mergeCell ref="R77:R78"/>
    <mergeCell ref="S77:S78"/>
    <mergeCell ref="T77:T78"/>
    <mergeCell ref="U77:U78"/>
    <mergeCell ref="V77:V78"/>
    <mergeCell ref="K77:K78"/>
    <mergeCell ref="L77:L78"/>
    <mergeCell ref="M77:M78"/>
    <mergeCell ref="N77:N78"/>
    <mergeCell ref="O77:O78"/>
    <mergeCell ref="P77:P78"/>
    <mergeCell ref="X82:X83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R82:R83"/>
    <mergeCell ref="S82:S83"/>
    <mergeCell ref="T82:T83"/>
    <mergeCell ref="U82:U83"/>
    <mergeCell ref="V82:V83"/>
    <mergeCell ref="W82:W83"/>
    <mergeCell ref="L82:L83"/>
    <mergeCell ref="M82:M83"/>
    <mergeCell ref="N82:N83"/>
    <mergeCell ref="O82:O83"/>
    <mergeCell ref="P82:P83"/>
    <mergeCell ref="Q82:Q83"/>
    <mergeCell ref="J82:J83"/>
    <mergeCell ref="K82:K83"/>
    <mergeCell ref="X85:X86"/>
    <mergeCell ref="G87:G91"/>
    <mergeCell ref="J87:J88"/>
    <mergeCell ref="K87:K88"/>
    <mergeCell ref="L87:L88"/>
    <mergeCell ref="M87:M88"/>
    <mergeCell ref="N87:N88"/>
    <mergeCell ref="A87:A91"/>
    <mergeCell ref="B87:B91"/>
    <mergeCell ref="C87:C91"/>
    <mergeCell ref="D87:D91"/>
    <mergeCell ref="E87:E91"/>
    <mergeCell ref="F87:F91"/>
    <mergeCell ref="S85:S86"/>
    <mergeCell ref="T85:T86"/>
    <mergeCell ref="U85:U86"/>
    <mergeCell ref="V85:V86"/>
    <mergeCell ref="W85:W86"/>
    <mergeCell ref="V90:V91"/>
    <mergeCell ref="W90:W91"/>
    <mergeCell ref="A82:A86"/>
    <mergeCell ref="B82:B86"/>
    <mergeCell ref="C82:C86"/>
    <mergeCell ref="D82:D86"/>
    <mergeCell ref="E82:E86"/>
    <mergeCell ref="F82:F86"/>
    <mergeCell ref="G82:G86"/>
    <mergeCell ref="X90:X91"/>
    <mergeCell ref="A92:A96"/>
    <mergeCell ref="B92:B96"/>
    <mergeCell ref="C92:C96"/>
    <mergeCell ref="D92:D96"/>
    <mergeCell ref="E92:E96"/>
    <mergeCell ref="F92:F96"/>
    <mergeCell ref="G92:G96"/>
    <mergeCell ref="P90:P91"/>
    <mergeCell ref="Q90:Q91"/>
    <mergeCell ref="R90:R91"/>
    <mergeCell ref="S90:S91"/>
    <mergeCell ref="T90:T91"/>
    <mergeCell ref="U90:U91"/>
    <mergeCell ref="U87:U88"/>
    <mergeCell ref="V87:V88"/>
    <mergeCell ref="W87:W88"/>
    <mergeCell ref="X87:X88"/>
    <mergeCell ref="J90:J91"/>
    <mergeCell ref="K90:K91"/>
    <mergeCell ref="L90:L91"/>
    <mergeCell ref="M90:M91"/>
    <mergeCell ref="N90:N91"/>
    <mergeCell ref="O90:O91"/>
    <mergeCell ref="O87:O88"/>
    <mergeCell ref="P87:P88"/>
    <mergeCell ref="Q87:Q88"/>
    <mergeCell ref="R87:R88"/>
    <mergeCell ref="S87:S88"/>
    <mergeCell ref="T87:T88"/>
    <mergeCell ref="V92:V93"/>
    <mergeCell ref="W92:W93"/>
    <mergeCell ref="X92:X93"/>
    <mergeCell ref="J95:J96"/>
    <mergeCell ref="K95:K96"/>
    <mergeCell ref="L95:L96"/>
    <mergeCell ref="M95:M96"/>
    <mergeCell ref="N95:N96"/>
    <mergeCell ref="O95:O96"/>
    <mergeCell ref="P95:P96"/>
    <mergeCell ref="P92:P93"/>
    <mergeCell ref="Q92:Q93"/>
    <mergeCell ref="R92:R93"/>
    <mergeCell ref="S92:S93"/>
    <mergeCell ref="T92:T93"/>
    <mergeCell ref="U92:U93"/>
    <mergeCell ref="J92:J93"/>
    <mergeCell ref="K92:K93"/>
    <mergeCell ref="L92:L93"/>
    <mergeCell ref="M92:M93"/>
    <mergeCell ref="N92:N93"/>
    <mergeCell ref="O92:O93"/>
    <mergeCell ref="W95:W96"/>
    <mergeCell ref="X95:X96"/>
    <mergeCell ref="A97:A101"/>
    <mergeCell ref="B97:B101"/>
    <mergeCell ref="C97:C101"/>
    <mergeCell ref="D97:D101"/>
    <mergeCell ref="E97:E101"/>
    <mergeCell ref="F97:F101"/>
    <mergeCell ref="G97:G101"/>
    <mergeCell ref="J97:J98"/>
    <mergeCell ref="Q95:Q96"/>
    <mergeCell ref="R95:R96"/>
    <mergeCell ref="S95:S96"/>
    <mergeCell ref="T95:T96"/>
    <mergeCell ref="U95:U96"/>
    <mergeCell ref="V95:V96"/>
    <mergeCell ref="X100:X101"/>
    <mergeCell ref="R100:R101"/>
    <mergeCell ref="S100:S101"/>
    <mergeCell ref="T100:T101"/>
    <mergeCell ref="U100:U101"/>
    <mergeCell ref="V100:V101"/>
    <mergeCell ref="W100:W101"/>
    <mergeCell ref="W97:W98"/>
    <mergeCell ref="X97:X98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Q97:Q98"/>
    <mergeCell ref="R97:R98"/>
    <mergeCell ref="S97:S98"/>
    <mergeCell ref="T97:T98"/>
    <mergeCell ref="U97:U98"/>
    <mergeCell ref="V97:V98"/>
    <mergeCell ref="K97:K98"/>
    <mergeCell ref="L97:L98"/>
    <mergeCell ref="M97:M98"/>
    <mergeCell ref="N97:N98"/>
    <mergeCell ref="O97:O98"/>
    <mergeCell ref="P97:P98"/>
    <mergeCell ref="X102:X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R102:R103"/>
    <mergeCell ref="S102:S103"/>
    <mergeCell ref="T102:T103"/>
    <mergeCell ref="U102:U103"/>
    <mergeCell ref="V102:V103"/>
    <mergeCell ref="W102:W103"/>
    <mergeCell ref="L102:L103"/>
    <mergeCell ref="M102:M103"/>
    <mergeCell ref="N102:N103"/>
    <mergeCell ref="O102:O103"/>
    <mergeCell ref="P102:P103"/>
    <mergeCell ref="Q102:Q103"/>
    <mergeCell ref="J102:J103"/>
    <mergeCell ref="K102:K103"/>
    <mergeCell ref="X105:X106"/>
    <mergeCell ref="G107:G111"/>
    <mergeCell ref="J107:J108"/>
    <mergeCell ref="K107:K108"/>
    <mergeCell ref="L107:L108"/>
    <mergeCell ref="M107:M108"/>
    <mergeCell ref="N107:N108"/>
    <mergeCell ref="A107:A111"/>
    <mergeCell ref="B107:B111"/>
    <mergeCell ref="C107:C111"/>
    <mergeCell ref="D107:D111"/>
    <mergeCell ref="E107:E111"/>
    <mergeCell ref="F107:F111"/>
    <mergeCell ref="S105:S106"/>
    <mergeCell ref="T105:T106"/>
    <mergeCell ref="U105:U106"/>
    <mergeCell ref="V105:V106"/>
    <mergeCell ref="W105:W106"/>
    <mergeCell ref="V110:V111"/>
    <mergeCell ref="W110:W111"/>
    <mergeCell ref="A102:A106"/>
    <mergeCell ref="B102:B106"/>
    <mergeCell ref="C102:C106"/>
    <mergeCell ref="D102:D106"/>
    <mergeCell ref="E102:E106"/>
    <mergeCell ref="F102:F106"/>
    <mergeCell ref="G102:G106"/>
    <mergeCell ref="X110:X111"/>
    <mergeCell ref="A112:A116"/>
    <mergeCell ref="B112:B116"/>
    <mergeCell ref="C112:C116"/>
    <mergeCell ref="D112:D116"/>
    <mergeCell ref="E112:E116"/>
    <mergeCell ref="F112:F116"/>
    <mergeCell ref="G112:G116"/>
    <mergeCell ref="P110:P111"/>
    <mergeCell ref="Q110:Q111"/>
    <mergeCell ref="R110:R111"/>
    <mergeCell ref="S110:S111"/>
    <mergeCell ref="T110:T111"/>
    <mergeCell ref="U110:U111"/>
    <mergeCell ref="U107:U108"/>
    <mergeCell ref="V107:V108"/>
    <mergeCell ref="W107:W108"/>
    <mergeCell ref="X107:X108"/>
    <mergeCell ref="J110:J111"/>
    <mergeCell ref="K110:K111"/>
    <mergeCell ref="L110:L111"/>
    <mergeCell ref="M110:M111"/>
    <mergeCell ref="N110:N111"/>
    <mergeCell ref="O110:O111"/>
    <mergeCell ref="O107:O108"/>
    <mergeCell ref="P107:P108"/>
    <mergeCell ref="Q107:Q108"/>
    <mergeCell ref="R107:R108"/>
    <mergeCell ref="S107:S108"/>
    <mergeCell ref="T107:T108"/>
    <mergeCell ref="V112:V113"/>
    <mergeCell ref="W112:W113"/>
    <mergeCell ref="X112:X113"/>
    <mergeCell ref="J115:J116"/>
    <mergeCell ref="K115:K116"/>
    <mergeCell ref="L115:L116"/>
    <mergeCell ref="M115:M116"/>
    <mergeCell ref="N115:N116"/>
    <mergeCell ref="O115:O116"/>
    <mergeCell ref="P115:P116"/>
    <mergeCell ref="P112:P113"/>
    <mergeCell ref="Q112:Q113"/>
    <mergeCell ref="R112:R113"/>
    <mergeCell ref="S112:S113"/>
    <mergeCell ref="T112:T113"/>
    <mergeCell ref="U112:U113"/>
    <mergeCell ref="J112:J113"/>
    <mergeCell ref="K112:K113"/>
    <mergeCell ref="L112:L113"/>
    <mergeCell ref="M112:M113"/>
    <mergeCell ref="N112:N113"/>
    <mergeCell ref="O112:O113"/>
    <mergeCell ref="W115:W116"/>
    <mergeCell ref="X115:X116"/>
    <mergeCell ref="A117:A121"/>
    <mergeCell ref="B117:B121"/>
    <mergeCell ref="C117:C121"/>
    <mergeCell ref="D117:D121"/>
    <mergeCell ref="E117:E121"/>
    <mergeCell ref="F117:F121"/>
    <mergeCell ref="G117:G121"/>
    <mergeCell ref="J117:J118"/>
    <mergeCell ref="Q115:Q116"/>
    <mergeCell ref="R115:R116"/>
    <mergeCell ref="S115:S116"/>
    <mergeCell ref="T115:T116"/>
    <mergeCell ref="U115:U116"/>
    <mergeCell ref="V115:V116"/>
    <mergeCell ref="X120:X121"/>
    <mergeCell ref="R120:R121"/>
    <mergeCell ref="S120:S121"/>
    <mergeCell ref="T120:T121"/>
    <mergeCell ref="U120:U121"/>
    <mergeCell ref="V120:V121"/>
    <mergeCell ref="W120:W121"/>
    <mergeCell ref="W117:W118"/>
    <mergeCell ref="X117:X118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Q117:Q118"/>
    <mergeCell ref="R117:R118"/>
    <mergeCell ref="S117:S118"/>
    <mergeCell ref="T117:T118"/>
    <mergeCell ref="U117:U118"/>
    <mergeCell ref="V117:V118"/>
    <mergeCell ref="K117:K118"/>
    <mergeCell ref="L117:L118"/>
    <mergeCell ref="M117:M118"/>
    <mergeCell ref="N117:N118"/>
    <mergeCell ref="O117:O118"/>
    <mergeCell ref="P117:P118"/>
    <mergeCell ref="X122:X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Q122:Q123"/>
    <mergeCell ref="J122:J123"/>
    <mergeCell ref="K122:K123"/>
    <mergeCell ref="X125:X126"/>
    <mergeCell ref="G127:G131"/>
    <mergeCell ref="J127:J128"/>
    <mergeCell ref="K127:K128"/>
    <mergeCell ref="L127:L128"/>
    <mergeCell ref="M127:M128"/>
    <mergeCell ref="N127:N128"/>
    <mergeCell ref="A127:A131"/>
    <mergeCell ref="B127:B131"/>
    <mergeCell ref="C127:C131"/>
    <mergeCell ref="D127:D131"/>
    <mergeCell ref="E127:E131"/>
    <mergeCell ref="F127:F131"/>
    <mergeCell ref="S125:S126"/>
    <mergeCell ref="T125:T126"/>
    <mergeCell ref="U125:U126"/>
    <mergeCell ref="V125:V126"/>
    <mergeCell ref="W125:W126"/>
    <mergeCell ref="V130:V131"/>
    <mergeCell ref="W130:W131"/>
    <mergeCell ref="A122:A126"/>
    <mergeCell ref="B122:B126"/>
    <mergeCell ref="C122:C126"/>
    <mergeCell ref="D122:D126"/>
    <mergeCell ref="E122:E126"/>
    <mergeCell ref="F122:F126"/>
    <mergeCell ref="G122:G126"/>
    <mergeCell ref="X130:X131"/>
    <mergeCell ref="A132:A136"/>
    <mergeCell ref="B132:B136"/>
    <mergeCell ref="C132:C136"/>
    <mergeCell ref="D132:D136"/>
    <mergeCell ref="E132:E136"/>
    <mergeCell ref="F132:F136"/>
    <mergeCell ref="G132:G136"/>
    <mergeCell ref="P130:P131"/>
    <mergeCell ref="Q130:Q131"/>
    <mergeCell ref="R130:R131"/>
    <mergeCell ref="S130:S131"/>
    <mergeCell ref="T130:T131"/>
    <mergeCell ref="U130:U131"/>
    <mergeCell ref="U127:U128"/>
    <mergeCell ref="V127:V128"/>
    <mergeCell ref="W127:W128"/>
    <mergeCell ref="X127:X128"/>
    <mergeCell ref="J130:J131"/>
    <mergeCell ref="K130:K131"/>
    <mergeCell ref="L130:L131"/>
    <mergeCell ref="M130:M131"/>
    <mergeCell ref="N130:N131"/>
    <mergeCell ref="O130:O131"/>
    <mergeCell ref="O127:O128"/>
    <mergeCell ref="P127:P128"/>
    <mergeCell ref="Q127:Q128"/>
    <mergeCell ref="R127:R128"/>
    <mergeCell ref="S127:S128"/>
    <mergeCell ref="T127:T128"/>
    <mergeCell ref="V132:V133"/>
    <mergeCell ref="W132:W133"/>
    <mergeCell ref="X132:X133"/>
    <mergeCell ref="J135:J136"/>
    <mergeCell ref="K135:K136"/>
    <mergeCell ref="L135:L136"/>
    <mergeCell ref="M135:M136"/>
    <mergeCell ref="N135:N136"/>
    <mergeCell ref="O135:O136"/>
    <mergeCell ref="P135:P136"/>
    <mergeCell ref="P132:P133"/>
    <mergeCell ref="Q132:Q133"/>
    <mergeCell ref="R132:R133"/>
    <mergeCell ref="S132:S133"/>
    <mergeCell ref="T132:T133"/>
    <mergeCell ref="U132:U133"/>
    <mergeCell ref="J132:J133"/>
    <mergeCell ref="K132:K133"/>
    <mergeCell ref="L132:L133"/>
    <mergeCell ref="M132:M133"/>
    <mergeCell ref="N132:N133"/>
    <mergeCell ref="O132:O133"/>
    <mergeCell ref="W135:W136"/>
    <mergeCell ref="X135:X136"/>
    <mergeCell ref="A137:A141"/>
    <mergeCell ref="B137:B141"/>
    <mergeCell ref="C137:C141"/>
    <mergeCell ref="D137:D141"/>
    <mergeCell ref="E137:E141"/>
    <mergeCell ref="F137:F141"/>
    <mergeCell ref="G137:G141"/>
    <mergeCell ref="J137:J138"/>
    <mergeCell ref="Q135:Q136"/>
    <mergeCell ref="R135:R136"/>
    <mergeCell ref="S135:S136"/>
    <mergeCell ref="T135:T136"/>
    <mergeCell ref="U135:U136"/>
    <mergeCell ref="V135:V136"/>
    <mergeCell ref="X140:X141"/>
    <mergeCell ref="R140:R141"/>
    <mergeCell ref="S140:S141"/>
    <mergeCell ref="T140:T141"/>
    <mergeCell ref="U140:U141"/>
    <mergeCell ref="V140:V141"/>
    <mergeCell ref="W140:W141"/>
    <mergeCell ref="W137:W138"/>
    <mergeCell ref="X137:X138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Q137:Q138"/>
    <mergeCell ref="R137:R138"/>
    <mergeCell ref="S137:S138"/>
    <mergeCell ref="T137:T138"/>
    <mergeCell ref="U137:U138"/>
    <mergeCell ref="V137:V138"/>
    <mergeCell ref="K137:K138"/>
    <mergeCell ref="L137:L138"/>
    <mergeCell ref="M137:M138"/>
    <mergeCell ref="N137:N138"/>
    <mergeCell ref="O137:O138"/>
    <mergeCell ref="P137:P138"/>
    <mergeCell ref="X142:X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R142:R143"/>
    <mergeCell ref="S142:S143"/>
    <mergeCell ref="T142:T143"/>
    <mergeCell ref="U142:U143"/>
    <mergeCell ref="V142:V143"/>
    <mergeCell ref="W142:W143"/>
    <mergeCell ref="L142:L143"/>
    <mergeCell ref="M142:M143"/>
    <mergeCell ref="N142:N143"/>
    <mergeCell ref="O142:O143"/>
    <mergeCell ref="P142:P143"/>
    <mergeCell ref="Q142:Q143"/>
    <mergeCell ref="J142:J143"/>
    <mergeCell ref="K142:K143"/>
    <mergeCell ref="X145:X146"/>
    <mergeCell ref="G147:G151"/>
    <mergeCell ref="J147:J148"/>
    <mergeCell ref="K147:K148"/>
    <mergeCell ref="L147:L148"/>
    <mergeCell ref="M147:M148"/>
    <mergeCell ref="N147:N148"/>
    <mergeCell ref="A147:A151"/>
    <mergeCell ref="B147:B151"/>
    <mergeCell ref="C147:C151"/>
    <mergeCell ref="D147:D151"/>
    <mergeCell ref="E147:E151"/>
    <mergeCell ref="F147:F151"/>
    <mergeCell ref="S145:S146"/>
    <mergeCell ref="T145:T146"/>
    <mergeCell ref="U145:U146"/>
    <mergeCell ref="V145:V146"/>
    <mergeCell ref="W145:W146"/>
    <mergeCell ref="V150:V151"/>
    <mergeCell ref="W150:W151"/>
    <mergeCell ref="A142:A146"/>
    <mergeCell ref="B142:B146"/>
    <mergeCell ref="C142:C146"/>
    <mergeCell ref="D142:D146"/>
    <mergeCell ref="E142:E146"/>
    <mergeCell ref="F142:F146"/>
    <mergeCell ref="G142:G146"/>
    <mergeCell ref="X150:X151"/>
    <mergeCell ref="A152:A156"/>
    <mergeCell ref="B152:B156"/>
    <mergeCell ref="C152:C156"/>
    <mergeCell ref="D152:D156"/>
    <mergeCell ref="E152:E156"/>
    <mergeCell ref="F152:F156"/>
    <mergeCell ref="G152:G156"/>
    <mergeCell ref="P150:P151"/>
    <mergeCell ref="Q150:Q151"/>
    <mergeCell ref="R150:R151"/>
    <mergeCell ref="S150:S151"/>
    <mergeCell ref="T150:T151"/>
    <mergeCell ref="U150:U151"/>
    <mergeCell ref="U147:U148"/>
    <mergeCell ref="V147:V148"/>
    <mergeCell ref="W147:W148"/>
    <mergeCell ref="X147:X148"/>
    <mergeCell ref="J150:J151"/>
    <mergeCell ref="K150:K151"/>
    <mergeCell ref="L150:L151"/>
    <mergeCell ref="M150:M151"/>
    <mergeCell ref="N150:N151"/>
    <mergeCell ref="O150:O151"/>
    <mergeCell ref="O147:O148"/>
    <mergeCell ref="P147:P148"/>
    <mergeCell ref="Q147:Q148"/>
    <mergeCell ref="R147:R148"/>
    <mergeCell ref="S147:S148"/>
    <mergeCell ref="T147:T148"/>
    <mergeCell ref="V152:V153"/>
    <mergeCell ref="W152:W153"/>
    <mergeCell ref="X152:X153"/>
    <mergeCell ref="J155:J156"/>
    <mergeCell ref="K155:K156"/>
    <mergeCell ref="L155:L156"/>
    <mergeCell ref="M155:M156"/>
    <mergeCell ref="N155:N156"/>
    <mergeCell ref="O155:O156"/>
    <mergeCell ref="P155:P156"/>
    <mergeCell ref="P152:P153"/>
    <mergeCell ref="Q152:Q153"/>
    <mergeCell ref="R152:R153"/>
    <mergeCell ref="S152:S153"/>
    <mergeCell ref="T152:T153"/>
    <mergeCell ref="U152:U153"/>
    <mergeCell ref="J152:J153"/>
    <mergeCell ref="K152:K153"/>
    <mergeCell ref="L152:L153"/>
    <mergeCell ref="M152:M153"/>
    <mergeCell ref="N152:N153"/>
    <mergeCell ref="O152:O153"/>
    <mergeCell ref="W155:W156"/>
    <mergeCell ref="X155:X156"/>
    <mergeCell ref="A157:A161"/>
    <mergeCell ref="B157:B161"/>
    <mergeCell ref="C157:C161"/>
    <mergeCell ref="D157:D161"/>
    <mergeCell ref="E157:E161"/>
    <mergeCell ref="F157:F161"/>
    <mergeCell ref="G157:G161"/>
    <mergeCell ref="J157:J158"/>
    <mergeCell ref="Q155:Q156"/>
    <mergeCell ref="R155:R156"/>
    <mergeCell ref="S155:S156"/>
    <mergeCell ref="T155:T156"/>
    <mergeCell ref="U155:U156"/>
    <mergeCell ref="V155:V156"/>
    <mergeCell ref="X160:X161"/>
    <mergeCell ref="R160:R161"/>
    <mergeCell ref="S160:S161"/>
    <mergeCell ref="T160:T161"/>
    <mergeCell ref="U160:U161"/>
    <mergeCell ref="V160:V161"/>
    <mergeCell ref="W160:W161"/>
    <mergeCell ref="W157:W158"/>
    <mergeCell ref="X157:X158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X162:X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R162:R163"/>
    <mergeCell ref="S162:S163"/>
    <mergeCell ref="T162:T163"/>
    <mergeCell ref="U162:U163"/>
    <mergeCell ref="V162:V163"/>
    <mergeCell ref="W162:W163"/>
    <mergeCell ref="L162:L163"/>
    <mergeCell ref="M162:M163"/>
    <mergeCell ref="N162:N163"/>
    <mergeCell ref="O162:O163"/>
    <mergeCell ref="P162:P163"/>
    <mergeCell ref="Q162:Q163"/>
    <mergeCell ref="J162:J163"/>
    <mergeCell ref="K162:K163"/>
    <mergeCell ref="X165:X166"/>
    <mergeCell ref="G167:G171"/>
    <mergeCell ref="J167:J168"/>
    <mergeCell ref="K167:K168"/>
    <mergeCell ref="L167:L168"/>
    <mergeCell ref="M167:M168"/>
    <mergeCell ref="N167:N168"/>
    <mergeCell ref="A167:A171"/>
    <mergeCell ref="B167:B171"/>
    <mergeCell ref="C167:C171"/>
    <mergeCell ref="D167:D171"/>
    <mergeCell ref="E167:E171"/>
    <mergeCell ref="F167:F171"/>
    <mergeCell ref="S165:S166"/>
    <mergeCell ref="T165:T166"/>
    <mergeCell ref="U165:U166"/>
    <mergeCell ref="V165:V166"/>
    <mergeCell ref="W165:W166"/>
    <mergeCell ref="V170:V171"/>
    <mergeCell ref="W170:W171"/>
    <mergeCell ref="A162:A166"/>
    <mergeCell ref="B162:B166"/>
    <mergeCell ref="C162:C166"/>
    <mergeCell ref="D162:D166"/>
    <mergeCell ref="E162:E166"/>
    <mergeCell ref="F162:F166"/>
    <mergeCell ref="G162:G166"/>
    <mergeCell ref="X170:X171"/>
    <mergeCell ref="A172:A176"/>
    <mergeCell ref="B172:B176"/>
    <mergeCell ref="C172:C176"/>
    <mergeCell ref="D172:D176"/>
    <mergeCell ref="E172:E176"/>
    <mergeCell ref="F172:F176"/>
    <mergeCell ref="G172:G176"/>
    <mergeCell ref="P170:P171"/>
    <mergeCell ref="Q170:Q171"/>
    <mergeCell ref="R170:R171"/>
    <mergeCell ref="S170:S171"/>
    <mergeCell ref="T170:T171"/>
    <mergeCell ref="U170:U171"/>
    <mergeCell ref="U167:U168"/>
    <mergeCell ref="V167:V168"/>
    <mergeCell ref="W167:W168"/>
    <mergeCell ref="X167:X168"/>
    <mergeCell ref="J170:J171"/>
    <mergeCell ref="K170:K171"/>
    <mergeCell ref="L170:L171"/>
    <mergeCell ref="M170:M171"/>
    <mergeCell ref="N170:N171"/>
    <mergeCell ref="O170:O171"/>
    <mergeCell ref="O167:O168"/>
    <mergeCell ref="P167:P168"/>
    <mergeCell ref="Q167:Q168"/>
    <mergeCell ref="R167:R168"/>
    <mergeCell ref="S167:S168"/>
    <mergeCell ref="T167:T168"/>
    <mergeCell ref="V172:V173"/>
    <mergeCell ref="W172:W173"/>
    <mergeCell ref="X172:X173"/>
    <mergeCell ref="J175:J176"/>
    <mergeCell ref="K175:K176"/>
    <mergeCell ref="L175:L176"/>
    <mergeCell ref="M175:M176"/>
    <mergeCell ref="N175:N176"/>
    <mergeCell ref="O175:O176"/>
    <mergeCell ref="P175:P176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W175:W176"/>
    <mergeCell ref="X175:X176"/>
    <mergeCell ref="A177:A181"/>
    <mergeCell ref="B177:B181"/>
    <mergeCell ref="C177:C181"/>
    <mergeCell ref="D177:D181"/>
    <mergeCell ref="E177:E181"/>
    <mergeCell ref="F177:F181"/>
    <mergeCell ref="G177:G181"/>
    <mergeCell ref="J177:J178"/>
    <mergeCell ref="Q175:Q176"/>
    <mergeCell ref="R175:R176"/>
    <mergeCell ref="S175:S176"/>
    <mergeCell ref="T175:T176"/>
    <mergeCell ref="U175:U176"/>
    <mergeCell ref="V175:V176"/>
    <mergeCell ref="X180:X181"/>
    <mergeCell ref="R180:R181"/>
    <mergeCell ref="S180:S181"/>
    <mergeCell ref="T180:T181"/>
    <mergeCell ref="U180:U181"/>
    <mergeCell ref="V180:V181"/>
    <mergeCell ref="W180:W181"/>
    <mergeCell ref="W177:W178"/>
    <mergeCell ref="X177:X178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Q177:Q178"/>
    <mergeCell ref="R177:R178"/>
    <mergeCell ref="S177:S178"/>
    <mergeCell ref="T177:T178"/>
    <mergeCell ref="U177:U178"/>
    <mergeCell ref="V177:V178"/>
    <mergeCell ref="K177:K178"/>
    <mergeCell ref="L177:L178"/>
    <mergeCell ref="M177:M178"/>
    <mergeCell ref="N177:N178"/>
    <mergeCell ref="O177:O178"/>
    <mergeCell ref="P177:P178"/>
    <mergeCell ref="X182:X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O182:O183"/>
    <mergeCell ref="P182:P183"/>
    <mergeCell ref="Q182:Q183"/>
    <mergeCell ref="J182:J183"/>
    <mergeCell ref="K182:K183"/>
    <mergeCell ref="X185:X186"/>
    <mergeCell ref="G187:G191"/>
    <mergeCell ref="J187:J188"/>
    <mergeCell ref="K187:K188"/>
    <mergeCell ref="L187:L188"/>
    <mergeCell ref="M187:M188"/>
    <mergeCell ref="N187:N188"/>
    <mergeCell ref="A187:A191"/>
    <mergeCell ref="B187:B191"/>
    <mergeCell ref="C187:C191"/>
    <mergeCell ref="D187:D191"/>
    <mergeCell ref="E187:E191"/>
    <mergeCell ref="F187:F191"/>
    <mergeCell ref="S185:S186"/>
    <mergeCell ref="T185:T186"/>
    <mergeCell ref="U185:U186"/>
    <mergeCell ref="V185:V186"/>
    <mergeCell ref="W185:W186"/>
    <mergeCell ref="V190:V191"/>
    <mergeCell ref="W190:W191"/>
    <mergeCell ref="A182:A186"/>
    <mergeCell ref="B182:B186"/>
    <mergeCell ref="C182:C186"/>
    <mergeCell ref="D182:D186"/>
    <mergeCell ref="E182:E186"/>
    <mergeCell ref="F182:F186"/>
    <mergeCell ref="G182:G186"/>
    <mergeCell ref="X190:X191"/>
    <mergeCell ref="A192:A196"/>
    <mergeCell ref="B192:B196"/>
    <mergeCell ref="C192:C196"/>
    <mergeCell ref="D192:D196"/>
    <mergeCell ref="E192:E196"/>
    <mergeCell ref="F192:F196"/>
    <mergeCell ref="G192:G196"/>
    <mergeCell ref="P190:P191"/>
    <mergeCell ref="Q190:Q191"/>
    <mergeCell ref="R190:R191"/>
    <mergeCell ref="S190:S191"/>
    <mergeCell ref="T190:T191"/>
    <mergeCell ref="U190:U191"/>
    <mergeCell ref="U187:U188"/>
    <mergeCell ref="V187:V188"/>
    <mergeCell ref="W187:W188"/>
    <mergeCell ref="X187:X188"/>
    <mergeCell ref="J190:J191"/>
    <mergeCell ref="K190:K191"/>
    <mergeCell ref="L190:L191"/>
    <mergeCell ref="M190:M191"/>
    <mergeCell ref="N190:N191"/>
    <mergeCell ref="O190:O191"/>
    <mergeCell ref="O187:O188"/>
    <mergeCell ref="P187:P188"/>
    <mergeCell ref="Q187:Q188"/>
    <mergeCell ref="R187:R188"/>
    <mergeCell ref="S187:S188"/>
    <mergeCell ref="T187:T188"/>
    <mergeCell ref="V192:V193"/>
    <mergeCell ref="W192:W193"/>
    <mergeCell ref="X192:X193"/>
    <mergeCell ref="J195:J196"/>
    <mergeCell ref="K195:K196"/>
    <mergeCell ref="L195:L196"/>
    <mergeCell ref="M195:M196"/>
    <mergeCell ref="N195:N196"/>
    <mergeCell ref="O195:O196"/>
    <mergeCell ref="P195:P196"/>
    <mergeCell ref="P192:P193"/>
    <mergeCell ref="Q192:Q193"/>
    <mergeCell ref="R192:R193"/>
    <mergeCell ref="S192:S193"/>
    <mergeCell ref="T192:T193"/>
    <mergeCell ref="U192:U193"/>
    <mergeCell ref="J192:J193"/>
    <mergeCell ref="K192:K193"/>
    <mergeCell ref="L192:L193"/>
    <mergeCell ref="M192:M193"/>
    <mergeCell ref="N192:N193"/>
    <mergeCell ref="O192:O193"/>
    <mergeCell ref="W195:W196"/>
    <mergeCell ref="X195:X196"/>
    <mergeCell ref="A197:A201"/>
    <mergeCell ref="B197:B201"/>
    <mergeCell ref="C197:C201"/>
    <mergeCell ref="D197:D201"/>
    <mergeCell ref="E197:E201"/>
    <mergeCell ref="F197:F201"/>
    <mergeCell ref="G197:G201"/>
    <mergeCell ref="J197:J198"/>
    <mergeCell ref="Q195:Q196"/>
    <mergeCell ref="R195:R196"/>
    <mergeCell ref="S195:S196"/>
    <mergeCell ref="T195:T196"/>
    <mergeCell ref="U195:U196"/>
    <mergeCell ref="V195:V196"/>
    <mergeCell ref="X200:X201"/>
    <mergeCell ref="R200:R201"/>
    <mergeCell ref="S200:S201"/>
    <mergeCell ref="T200:T201"/>
    <mergeCell ref="U200:U201"/>
    <mergeCell ref="V200:V201"/>
    <mergeCell ref="W200:W201"/>
    <mergeCell ref="W197:W198"/>
    <mergeCell ref="X197:X198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Q197:Q198"/>
    <mergeCell ref="R197:R198"/>
    <mergeCell ref="S197:S198"/>
    <mergeCell ref="T197:T198"/>
    <mergeCell ref="U197:U198"/>
    <mergeCell ref="V197:V198"/>
    <mergeCell ref="K197:K198"/>
    <mergeCell ref="L197:L198"/>
    <mergeCell ref="M197:M198"/>
    <mergeCell ref="N197:N198"/>
    <mergeCell ref="O197:O198"/>
    <mergeCell ref="P197:P198"/>
    <mergeCell ref="X202:X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R202:R203"/>
    <mergeCell ref="S202:S203"/>
    <mergeCell ref="T202:T203"/>
    <mergeCell ref="U202:U203"/>
    <mergeCell ref="V202:V203"/>
    <mergeCell ref="W202:W203"/>
    <mergeCell ref="L202:L203"/>
    <mergeCell ref="M202:M203"/>
    <mergeCell ref="N202:N203"/>
    <mergeCell ref="O202:O203"/>
    <mergeCell ref="P202:P203"/>
    <mergeCell ref="Q202:Q203"/>
    <mergeCell ref="J202:J203"/>
    <mergeCell ref="K202:K203"/>
    <mergeCell ref="X205:X206"/>
    <mergeCell ref="G207:G211"/>
    <mergeCell ref="J207:J208"/>
    <mergeCell ref="K207:K208"/>
    <mergeCell ref="L207:L208"/>
    <mergeCell ref="M207:M208"/>
    <mergeCell ref="N207:N208"/>
    <mergeCell ref="A207:A211"/>
    <mergeCell ref="B207:B211"/>
    <mergeCell ref="C207:C211"/>
    <mergeCell ref="D207:D211"/>
    <mergeCell ref="E207:E211"/>
    <mergeCell ref="F207:F211"/>
    <mergeCell ref="S205:S206"/>
    <mergeCell ref="T205:T206"/>
    <mergeCell ref="U205:U206"/>
    <mergeCell ref="V205:V206"/>
    <mergeCell ref="W205:W206"/>
    <mergeCell ref="V210:V211"/>
    <mergeCell ref="W210:W211"/>
    <mergeCell ref="A202:A206"/>
    <mergeCell ref="B202:B206"/>
    <mergeCell ref="C202:C206"/>
    <mergeCell ref="D202:D206"/>
    <mergeCell ref="E202:E206"/>
    <mergeCell ref="F202:F206"/>
    <mergeCell ref="G202:G206"/>
    <mergeCell ref="X210:X211"/>
    <mergeCell ref="A212:A216"/>
    <mergeCell ref="B212:B216"/>
    <mergeCell ref="C212:C216"/>
    <mergeCell ref="D212:D216"/>
    <mergeCell ref="E212:E216"/>
    <mergeCell ref="F212:F216"/>
    <mergeCell ref="G212:G216"/>
    <mergeCell ref="P210:P211"/>
    <mergeCell ref="Q210:Q211"/>
    <mergeCell ref="R210:R211"/>
    <mergeCell ref="S210:S211"/>
    <mergeCell ref="T210:T211"/>
    <mergeCell ref="U210:U211"/>
    <mergeCell ref="U207:U208"/>
    <mergeCell ref="V207:V208"/>
    <mergeCell ref="W207:W208"/>
    <mergeCell ref="X207:X208"/>
    <mergeCell ref="J210:J211"/>
    <mergeCell ref="K210:K211"/>
    <mergeCell ref="L210:L211"/>
    <mergeCell ref="M210:M211"/>
    <mergeCell ref="N210:N211"/>
    <mergeCell ref="O210:O211"/>
    <mergeCell ref="O207:O208"/>
    <mergeCell ref="P207:P208"/>
    <mergeCell ref="Q207:Q208"/>
    <mergeCell ref="R207:R208"/>
    <mergeCell ref="S207:S208"/>
    <mergeCell ref="T207:T208"/>
    <mergeCell ref="V212:V213"/>
    <mergeCell ref="W212:W213"/>
    <mergeCell ref="X212:X213"/>
    <mergeCell ref="J215:J216"/>
    <mergeCell ref="K215:K216"/>
    <mergeCell ref="L215:L216"/>
    <mergeCell ref="M215:M216"/>
    <mergeCell ref="N215:N216"/>
    <mergeCell ref="O215:O216"/>
    <mergeCell ref="P215:P216"/>
    <mergeCell ref="P212:P213"/>
    <mergeCell ref="Q212:Q213"/>
    <mergeCell ref="R212:R213"/>
    <mergeCell ref="S212:S213"/>
    <mergeCell ref="T212:T213"/>
    <mergeCell ref="U212:U213"/>
    <mergeCell ref="J212:J213"/>
    <mergeCell ref="K212:K213"/>
    <mergeCell ref="L212:L213"/>
    <mergeCell ref="M212:M213"/>
    <mergeCell ref="N212:N213"/>
    <mergeCell ref="O212:O213"/>
    <mergeCell ref="W215:W216"/>
    <mergeCell ref="X215:X216"/>
    <mergeCell ref="A217:A221"/>
    <mergeCell ref="B217:B221"/>
    <mergeCell ref="C217:C221"/>
    <mergeCell ref="D217:D221"/>
    <mergeCell ref="E217:E221"/>
    <mergeCell ref="F217:F221"/>
    <mergeCell ref="G217:G221"/>
    <mergeCell ref="J217:J218"/>
    <mergeCell ref="Q215:Q216"/>
    <mergeCell ref="R215:R216"/>
    <mergeCell ref="S215:S216"/>
    <mergeCell ref="T215:T216"/>
    <mergeCell ref="U215:U216"/>
    <mergeCell ref="V215:V216"/>
    <mergeCell ref="X220:X221"/>
    <mergeCell ref="R220:R221"/>
    <mergeCell ref="S220:S221"/>
    <mergeCell ref="T220:T221"/>
    <mergeCell ref="U220:U221"/>
    <mergeCell ref="V220:V221"/>
    <mergeCell ref="W220:W221"/>
    <mergeCell ref="W217:W218"/>
    <mergeCell ref="X217:X218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Q217:Q218"/>
    <mergeCell ref="R217:R218"/>
    <mergeCell ref="S217:S218"/>
    <mergeCell ref="T217:T218"/>
    <mergeCell ref="U217:U218"/>
    <mergeCell ref="V217:V218"/>
    <mergeCell ref="K217:K218"/>
    <mergeCell ref="L217:L218"/>
    <mergeCell ref="M217:M218"/>
    <mergeCell ref="N217:N218"/>
    <mergeCell ref="O217:O218"/>
    <mergeCell ref="P217:P218"/>
    <mergeCell ref="X222:X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R222:R223"/>
    <mergeCell ref="S222:S223"/>
    <mergeCell ref="T222:T223"/>
    <mergeCell ref="U222:U223"/>
    <mergeCell ref="V222:V223"/>
    <mergeCell ref="W222:W223"/>
    <mergeCell ref="L222:L223"/>
    <mergeCell ref="M222:M223"/>
    <mergeCell ref="N222:N223"/>
    <mergeCell ref="O222:O223"/>
    <mergeCell ref="P222:P223"/>
    <mergeCell ref="Q222:Q223"/>
    <mergeCell ref="J222:J223"/>
    <mergeCell ref="K222:K223"/>
    <mergeCell ref="X225:X226"/>
    <mergeCell ref="G227:G231"/>
    <mergeCell ref="J227:J228"/>
    <mergeCell ref="K227:K228"/>
    <mergeCell ref="L227:L228"/>
    <mergeCell ref="M227:M228"/>
    <mergeCell ref="N227:N228"/>
    <mergeCell ref="A227:A231"/>
    <mergeCell ref="B227:B231"/>
    <mergeCell ref="C227:C231"/>
    <mergeCell ref="D227:D231"/>
    <mergeCell ref="E227:E231"/>
    <mergeCell ref="F227:F231"/>
    <mergeCell ref="S225:S226"/>
    <mergeCell ref="T225:T226"/>
    <mergeCell ref="U225:U226"/>
    <mergeCell ref="V225:V226"/>
    <mergeCell ref="W225:W226"/>
    <mergeCell ref="V230:V231"/>
    <mergeCell ref="W230:W231"/>
    <mergeCell ref="A222:A226"/>
    <mergeCell ref="B222:B226"/>
    <mergeCell ref="C222:C226"/>
    <mergeCell ref="D222:D226"/>
    <mergeCell ref="E222:E226"/>
    <mergeCell ref="F222:F226"/>
    <mergeCell ref="G222:G226"/>
    <mergeCell ref="X230:X231"/>
    <mergeCell ref="A232:A236"/>
    <mergeCell ref="B232:B236"/>
    <mergeCell ref="C232:C236"/>
    <mergeCell ref="D232:D236"/>
    <mergeCell ref="E232:E236"/>
    <mergeCell ref="F232:F236"/>
    <mergeCell ref="G232:G236"/>
    <mergeCell ref="P230:P231"/>
    <mergeCell ref="Q230:Q231"/>
    <mergeCell ref="R230:R231"/>
    <mergeCell ref="S230:S231"/>
    <mergeCell ref="T230:T231"/>
    <mergeCell ref="U230:U231"/>
    <mergeCell ref="U227:U228"/>
    <mergeCell ref="V227:V228"/>
    <mergeCell ref="W227:W228"/>
    <mergeCell ref="X227:X228"/>
    <mergeCell ref="J230:J231"/>
    <mergeCell ref="K230:K231"/>
    <mergeCell ref="L230:L231"/>
    <mergeCell ref="M230:M231"/>
    <mergeCell ref="N230:N231"/>
    <mergeCell ref="O230:O231"/>
    <mergeCell ref="O227:O228"/>
    <mergeCell ref="P227:P228"/>
    <mergeCell ref="Q227:Q228"/>
    <mergeCell ref="R227:R228"/>
    <mergeCell ref="S227:S228"/>
    <mergeCell ref="T227:T228"/>
    <mergeCell ref="V232:V233"/>
    <mergeCell ref="W232:W233"/>
    <mergeCell ref="X232:X233"/>
    <mergeCell ref="J235:J236"/>
    <mergeCell ref="K235:K236"/>
    <mergeCell ref="L235:L236"/>
    <mergeCell ref="M235:M236"/>
    <mergeCell ref="N235:N236"/>
    <mergeCell ref="O235:O236"/>
    <mergeCell ref="P235:P236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N232:N233"/>
    <mergeCell ref="O232:O233"/>
    <mergeCell ref="W235:W236"/>
    <mergeCell ref="X235:X236"/>
    <mergeCell ref="A237:A241"/>
    <mergeCell ref="B237:B241"/>
    <mergeCell ref="C237:C241"/>
    <mergeCell ref="D237:D241"/>
    <mergeCell ref="E237:E241"/>
    <mergeCell ref="F237:F241"/>
    <mergeCell ref="G237:G241"/>
    <mergeCell ref="J237:J238"/>
    <mergeCell ref="Q235:Q236"/>
    <mergeCell ref="R235:R236"/>
    <mergeCell ref="S235:S236"/>
    <mergeCell ref="T235:T236"/>
    <mergeCell ref="U235:U236"/>
    <mergeCell ref="V235:V236"/>
    <mergeCell ref="X240:X241"/>
    <mergeCell ref="R240:R241"/>
    <mergeCell ref="S240:S241"/>
    <mergeCell ref="T240:T241"/>
    <mergeCell ref="U240:U241"/>
    <mergeCell ref="V240:V241"/>
    <mergeCell ref="W240:W241"/>
    <mergeCell ref="W237:W238"/>
    <mergeCell ref="X237:X238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Q237:Q238"/>
    <mergeCell ref="R237:R238"/>
    <mergeCell ref="S237:S238"/>
    <mergeCell ref="T237:T238"/>
    <mergeCell ref="U237:U238"/>
    <mergeCell ref="V237:V238"/>
    <mergeCell ref="K237:K238"/>
    <mergeCell ref="L237:L238"/>
    <mergeCell ref="M237:M238"/>
    <mergeCell ref="N237:N238"/>
    <mergeCell ref="O237:O238"/>
    <mergeCell ref="P237:P238"/>
    <mergeCell ref="X242:X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R242:R243"/>
    <mergeCell ref="S242:S243"/>
    <mergeCell ref="T242:T243"/>
    <mergeCell ref="U242:U243"/>
    <mergeCell ref="V242:V243"/>
    <mergeCell ref="W242:W243"/>
    <mergeCell ref="L242:L243"/>
    <mergeCell ref="M242:M243"/>
    <mergeCell ref="N242:N243"/>
    <mergeCell ref="O242:O243"/>
    <mergeCell ref="P242:P243"/>
    <mergeCell ref="Q242:Q243"/>
    <mergeCell ref="J242:J243"/>
    <mergeCell ref="K242:K243"/>
    <mergeCell ref="X245:X246"/>
    <mergeCell ref="G247:G251"/>
    <mergeCell ref="J247:J248"/>
    <mergeCell ref="K247:K248"/>
    <mergeCell ref="L247:L248"/>
    <mergeCell ref="M247:M248"/>
    <mergeCell ref="N247:N248"/>
    <mergeCell ref="A247:A251"/>
    <mergeCell ref="B247:B251"/>
    <mergeCell ref="C247:C251"/>
    <mergeCell ref="D247:D251"/>
    <mergeCell ref="E247:E251"/>
    <mergeCell ref="F247:F251"/>
    <mergeCell ref="S245:S246"/>
    <mergeCell ref="T245:T246"/>
    <mergeCell ref="U245:U246"/>
    <mergeCell ref="V245:V246"/>
    <mergeCell ref="W245:W246"/>
    <mergeCell ref="V250:V251"/>
    <mergeCell ref="W250:W251"/>
    <mergeCell ref="A242:A246"/>
    <mergeCell ref="B242:B246"/>
    <mergeCell ref="C242:C246"/>
    <mergeCell ref="D242:D246"/>
    <mergeCell ref="E242:E246"/>
    <mergeCell ref="F242:F246"/>
    <mergeCell ref="G242:G246"/>
    <mergeCell ref="X250:X251"/>
    <mergeCell ref="A252:A256"/>
    <mergeCell ref="B252:B256"/>
    <mergeCell ref="C252:C256"/>
    <mergeCell ref="D252:D256"/>
    <mergeCell ref="E252:E256"/>
    <mergeCell ref="F252:F256"/>
    <mergeCell ref="G252:G256"/>
    <mergeCell ref="P250:P251"/>
    <mergeCell ref="Q250:Q251"/>
    <mergeCell ref="R250:R251"/>
    <mergeCell ref="S250:S251"/>
    <mergeCell ref="T250:T251"/>
    <mergeCell ref="U250:U251"/>
    <mergeCell ref="U247:U248"/>
    <mergeCell ref="V247:V248"/>
    <mergeCell ref="W247:W248"/>
    <mergeCell ref="X247:X248"/>
    <mergeCell ref="J250:J251"/>
    <mergeCell ref="K250:K251"/>
    <mergeCell ref="L250:L251"/>
    <mergeCell ref="M250:M251"/>
    <mergeCell ref="N250:N251"/>
    <mergeCell ref="O250:O251"/>
    <mergeCell ref="O247:O248"/>
    <mergeCell ref="P247:P248"/>
    <mergeCell ref="Q247:Q248"/>
    <mergeCell ref="R247:R248"/>
    <mergeCell ref="S247:S248"/>
    <mergeCell ref="T247:T248"/>
    <mergeCell ref="V252:V253"/>
    <mergeCell ref="W252:W253"/>
    <mergeCell ref="X252:X253"/>
    <mergeCell ref="J255:J256"/>
    <mergeCell ref="K255:K256"/>
    <mergeCell ref="L255:L256"/>
    <mergeCell ref="M255:M256"/>
    <mergeCell ref="N255:N256"/>
    <mergeCell ref="O255:O256"/>
    <mergeCell ref="P255:P256"/>
    <mergeCell ref="P252:P253"/>
    <mergeCell ref="Q252:Q253"/>
    <mergeCell ref="R252:R253"/>
    <mergeCell ref="S252:S253"/>
    <mergeCell ref="T252:T253"/>
    <mergeCell ref="U252:U253"/>
    <mergeCell ref="J252:J253"/>
    <mergeCell ref="K252:K253"/>
    <mergeCell ref="L252:L253"/>
    <mergeCell ref="M252:M253"/>
    <mergeCell ref="N252:N253"/>
    <mergeCell ref="O252:O253"/>
    <mergeCell ref="W255:W256"/>
    <mergeCell ref="X255:X256"/>
    <mergeCell ref="A257:A261"/>
    <mergeCell ref="B257:B261"/>
    <mergeCell ref="C257:C261"/>
    <mergeCell ref="D257:D261"/>
    <mergeCell ref="E257:E261"/>
    <mergeCell ref="F257:F261"/>
    <mergeCell ref="G257:G261"/>
    <mergeCell ref="J257:J258"/>
    <mergeCell ref="Q255:Q256"/>
    <mergeCell ref="R255:R256"/>
    <mergeCell ref="S255:S256"/>
    <mergeCell ref="T255:T256"/>
    <mergeCell ref="U255:U256"/>
    <mergeCell ref="V255:V256"/>
    <mergeCell ref="X260:X261"/>
    <mergeCell ref="R260:R261"/>
    <mergeCell ref="S260:S261"/>
    <mergeCell ref="T260:T261"/>
    <mergeCell ref="U260:U261"/>
    <mergeCell ref="V260:V261"/>
    <mergeCell ref="W260:W261"/>
    <mergeCell ref="W257:W258"/>
    <mergeCell ref="X257:X258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Q257:Q258"/>
    <mergeCell ref="R257:R258"/>
    <mergeCell ref="S257:S258"/>
    <mergeCell ref="T257:T258"/>
    <mergeCell ref="U257:U258"/>
    <mergeCell ref="V257:V258"/>
    <mergeCell ref="K257:K258"/>
    <mergeCell ref="L257:L258"/>
    <mergeCell ref="M257:M258"/>
    <mergeCell ref="N257:N258"/>
    <mergeCell ref="O257:O258"/>
    <mergeCell ref="P257:P258"/>
    <mergeCell ref="X262:X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R262:R263"/>
    <mergeCell ref="S262:S263"/>
    <mergeCell ref="T262:T263"/>
    <mergeCell ref="U262:U263"/>
    <mergeCell ref="V262:V263"/>
    <mergeCell ref="W262:W263"/>
    <mergeCell ref="L262:L263"/>
    <mergeCell ref="M262:M263"/>
    <mergeCell ref="N262:N263"/>
    <mergeCell ref="O262:O263"/>
    <mergeCell ref="P262:P263"/>
    <mergeCell ref="Q262:Q263"/>
    <mergeCell ref="J262:J263"/>
    <mergeCell ref="K262:K263"/>
    <mergeCell ref="X265:X266"/>
    <mergeCell ref="G267:G271"/>
    <mergeCell ref="J267:J268"/>
    <mergeCell ref="K267:K268"/>
    <mergeCell ref="L267:L268"/>
    <mergeCell ref="M267:M268"/>
    <mergeCell ref="N267:N268"/>
    <mergeCell ref="A267:A271"/>
    <mergeCell ref="B267:B271"/>
    <mergeCell ref="C267:C271"/>
    <mergeCell ref="D267:D271"/>
    <mergeCell ref="E267:E271"/>
    <mergeCell ref="F267:F271"/>
    <mergeCell ref="S265:S266"/>
    <mergeCell ref="T265:T266"/>
    <mergeCell ref="U265:U266"/>
    <mergeCell ref="V265:V266"/>
    <mergeCell ref="W265:W266"/>
    <mergeCell ref="V270:V271"/>
    <mergeCell ref="W270:W271"/>
    <mergeCell ref="A262:A266"/>
    <mergeCell ref="B262:B266"/>
    <mergeCell ref="C262:C266"/>
    <mergeCell ref="D262:D266"/>
    <mergeCell ref="E262:E266"/>
    <mergeCell ref="F262:F266"/>
    <mergeCell ref="G262:G266"/>
    <mergeCell ref="X270:X271"/>
    <mergeCell ref="A272:A276"/>
    <mergeCell ref="B272:B276"/>
    <mergeCell ref="C272:C276"/>
    <mergeCell ref="D272:D276"/>
    <mergeCell ref="E272:E276"/>
    <mergeCell ref="F272:F276"/>
    <mergeCell ref="G272:G276"/>
    <mergeCell ref="P270:P271"/>
    <mergeCell ref="Q270:Q271"/>
    <mergeCell ref="R270:R271"/>
    <mergeCell ref="S270:S271"/>
    <mergeCell ref="T270:T271"/>
    <mergeCell ref="U270:U271"/>
    <mergeCell ref="U267:U268"/>
    <mergeCell ref="V267:V268"/>
    <mergeCell ref="W267:W268"/>
    <mergeCell ref="X267:X268"/>
    <mergeCell ref="J270:J271"/>
    <mergeCell ref="K270:K271"/>
    <mergeCell ref="L270:L271"/>
    <mergeCell ref="M270:M271"/>
    <mergeCell ref="N270:N271"/>
    <mergeCell ref="O270:O271"/>
    <mergeCell ref="O267:O268"/>
    <mergeCell ref="P267:P268"/>
    <mergeCell ref="Q267:Q268"/>
    <mergeCell ref="R267:R268"/>
    <mergeCell ref="S267:S268"/>
    <mergeCell ref="T267:T268"/>
    <mergeCell ref="V272:V273"/>
    <mergeCell ref="W272:W273"/>
    <mergeCell ref="X272:X273"/>
    <mergeCell ref="J275:J276"/>
    <mergeCell ref="K275:K276"/>
    <mergeCell ref="L275:L276"/>
    <mergeCell ref="M275:M276"/>
    <mergeCell ref="N275:N276"/>
    <mergeCell ref="O275:O276"/>
    <mergeCell ref="P275:P276"/>
    <mergeCell ref="P272:P273"/>
    <mergeCell ref="Q272:Q273"/>
    <mergeCell ref="R272:R273"/>
    <mergeCell ref="S272:S273"/>
    <mergeCell ref="T272:T273"/>
    <mergeCell ref="U272:U273"/>
    <mergeCell ref="J272:J273"/>
    <mergeCell ref="K272:K273"/>
    <mergeCell ref="L272:L273"/>
    <mergeCell ref="M272:M273"/>
    <mergeCell ref="N272:N273"/>
    <mergeCell ref="O272:O273"/>
    <mergeCell ref="W275:W276"/>
    <mergeCell ref="X275:X276"/>
    <mergeCell ref="A277:A281"/>
    <mergeCell ref="B277:B281"/>
    <mergeCell ref="C277:C281"/>
    <mergeCell ref="D277:D281"/>
    <mergeCell ref="E277:E281"/>
    <mergeCell ref="F277:F281"/>
    <mergeCell ref="G277:G281"/>
    <mergeCell ref="J277:J278"/>
    <mergeCell ref="Q275:Q276"/>
    <mergeCell ref="R275:R276"/>
    <mergeCell ref="S275:S276"/>
    <mergeCell ref="T275:T276"/>
    <mergeCell ref="U275:U276"/>
    <mergeCell ref="V275:V276"/>
    <mergeCell ref="X280:X281"/>
    <mergeCell ref="R280:R281"/>
    <mergeCell ref="S280:S281"/>
    <mergeCell ref="T280:T281"/>
    <mergeCell ref="U280:U281"/>
    <mergeCell ref="V280:V281"/>
    <mergeCell ref="W280:W281"/>
    <mergeCell ref="W277:W278"/>
    <mergeCell ref="X277:X278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Q277:Q278"/>
    <mergeCell ref="R277:R278"/>
    <mergeCell ref="S277:S278"/>
    <mergeCell ref="T277:T278"/>
    <mergeCell ref="U277:U278"/>
    <mergeCell ref="V277:V278"/>
    <mergeCell ref="K277:K278"/>
    <mergeCell ref="L277:L278"/>
    <mergeCell ref="M277:M278"/>
    <mergeCell ref="N277:N278"/>
    <mergeCell ref="O277:O278"/>
    <mergeCell ref="P277:P278"/>
    <mergeCell ref="X282:X283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R282:R283"/>
    <mergeCell ref="S282:S283"/>
    <mergeCell ref="T282:T283"/>
    <mergeCell ref="U282:U283"/>
    <mergeCell ref="V282:V283"/>
    <mergeCell ref="W282:W283"/>
    <mergeCell ref="L282:L283"/>
    <mergeCell ref="M282:M283"/>
    <mergeCell ref="N282:N283"/>
    <mergeCell ref="O282:O283"/>
    <mergeCell ref="P282:P283"/>
    <mergeCell ref="Q282:Q283"/>
    <mergeCell ref="J282:J283"/>
    <mergeCell ref="K282:K283"/>
    <mergeCell ref="X285:X286"/>
    <mergeCell ref="G287:G291"/>
    <mergeCell ref="J287:J288"/>
    <mergeCell ref="K287:K288"/>
    <mergeCell ref="L287:L288"/>
    <mergeCell ref="M287:M288"/>
    <mergeCell ref="N287:N288"/>
    <mergeCell ref="A287:A291"/>
    <mergeCell ref="B287:B291"/>
    <mergeCell ref="C287:C291"/>
    <mergeCell ref="D287:D291"/>
    <mergeCell ref="E287:E291"/>
    <mergeCell ref="F287:F291"/>
    <mergeCell ref="S285:S286"/>
    <mergeCell ref="T285:T286"/>
    <mergeCell ref="U285:U286"/>
    <mergeCell ref="V285:V286"/>
    <mergeCell ref="W285:W286"/>
    <mergeCell ref="V290:V291"/>
    <mergeCell ref="W290:W291"/>
    <mergeCell ref="A282:A286"/>
    <mergeCell ref="B282:B286"/>
    <mergeCell ref="C282:C286"/>
    <mergeCell ref="D282:D286"/>
    <mergeCell ref="E282:E286"/>
    <mergeCell ref="F282:F286"/>
    <mergeCell ref="G282:G286"/>
    <mergeCell ref="X290:X291"/>
    <mergeCell ref="A292:A296"/>
    <mergeCell ref="B292:B296"/>
    <mergeCell ref="C292:C296"/>
    <mergeCell ref="D292:D296"/>
    <mergeCell ref="E292:E296"/>
    <mergeCell ref="F292:F296"/>
    <mergeCell ref="G292:G296"/>
    <mergeCell ref="P290:P291"/>
    <mergeCell ref="Q290:Q291"/>
    <mergeCell ref="R290:R291"/>
    <mergeCell ref="S290:S291"/>
    <mergeCell ref="T290:T291"/>
    <mergeCell ref="U290:U291"/>
    <mergeCell ref="U287:U288"/>
    <mergeCell ref="V287:V288"/>
    <mergeCell ref="W287:W288"/>
    <mergeCell ref="X287:X288"/>
    <mergeCell ref="J290:J291"/>
    <mergeCell ref="K290:K291"/>
    <mergeCell ref="L290:L291"/>
    <mergeCell ref="M290:M291"/>
    <mergeCell ref="N290:N291"/>
    <mergeCell ref="O290:O291"/>
    <mergeCell ref="O287:O288"/>
    <mergeCell ref="P287:P288"/>
    <mergeCell ref="Q287:Q288"/>
    <mergeCell ref="R287:R288"/>
    <mergeCell ref="S287:S288"/>
    <mergeCell ref="T287:T288"/>
    <mergeCell ref="V292:V293"/>
    <mergeCell ref="W292:W293"/>
    <mergeCell ref="X292:X293"/>
    <mergeCell ref="J295:J296"/>
    <mergeCell ref="K295:K296"/>
    <mergeCell ref="L295:L296"/>
    <mergeCell ref="M295:M296"/>
    <mergeCell ref="N295:N296"/>
    <mergeCell ref="O295:O296"/>
    <mergeCell ref="P295:P296"/>
    <mergeCell ref="P292:P293"/>
    <mergeCell ref="Q292:Q293"/>
    <mergeCell ref="R292:R293"/>
    <mergeCell ref="S292:S293"/>
    <mergeCell ref="T292:T293"/>
    <mergeCell ref="U292:U293"/>
    <mergeCell ref="J292:J293"/>
    <mergeCell ref="K292:K293"/>
    <mergeCell ref="L292:L293"/>
    <mergeCell ref="M292:M293"/>
    <mergeCell ref="N292:N293"/>
    <mergeCell ref="O292:O293"/>
    <mergeCell ref="W295:W296"/>
    <mergeCell ref="X295:X296"/>
    <mergeCell ref="A297:A301"/>
    <mergeCell ref="B297:B301"/>
    <mergeCell ref="C297:C301"/>
    <mergeCell ref="D297:D301"/>
    <mergeCell ref="E297:E301"/>
    <mergeCell ref="F297:F301"/>
    <mergeCell ref="G297:G301"/>
    <mergeCell ref="J297:J298"/>
    <mergeCell ref="Q295:Q296"/>
    <mergeCell ref="R295:R296"/>
    <mergeCell ref="S295:S296"/>
    <mergeCell ref="T295:T296"/>
    <mergeCell ref="U295:U296"/>
    <mergeCell ref="V295:V296"/>
    <mergeCell ref="X300:X301"/>
    <mergeCell ref="R300:R301"/>
    <mergeCell ref="S300:S301"/>
    <mergeCell ref="T300:T301"/>
    <mergeCell ref="U300:U301"/>
    <mergeCell ref="V300:V301"/>
    <mergeCell ref="W300:W301"/>
    <mergeCell ref="W297:W298"/>
    <mergeCell ref="X297:X298"/>
    <mergeCell ref="J300:J301"/>
    <mergeCell ref="K300:K301"/>
    <mergeCell ref="L300:L301"/>
    <mergeCell ref="M300:M301"/>
    <mergeCell ref="N300:N301"/>
    <mergeCell ref="O300:O301"/>
    <mergeCell ref="P300:P301"/>
    <mergeCell ref="Q300:Q301"/>
    <mergeCell ref="Q297:Q298"/>
    <mergeCell ref="R297:R298"/>
    <mergeCell ref="S297:S298"/>
    <mergeCell ref="T297:T298"/>
    <mergeCell ref="U297:U298"/>
    <mergeCell ref="V297:V298"/>
    <mergeCell ref="K297:K298"/>
    <mergeCell ref="L297:L298"/>
    <mergeCell ref="M297:M298"/>
    <mergeCell ref="N297:N298"/>
    <mergeCell ref="O297:O298"/>
    <mergeCell ref="P297:P298"/>
    <mergeCell ref="X302:X303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R302:R303"/>
    <mergeCell ref="S302:S303"/>
    <mergeCell ref="T302:T303"/>
    <mergeCell ref="U302:U303"/>
    <mergeCell ref="V302:V303"/>
    <mergeCell ref="W302:W303"/>
    <mergeCell ref="L302:L303"/>
    <mergeCell ref="M302:M303"/>
    <mergeCell ref="N302:N303"/>
    <mergeCell ref="O302:O303"/>
    <mergeCell ref="P302:P303"/>
    <mergeCell ref="Q302:Q303"/>
    <mergeCell ref="J302:J303"/>
    <mergeCell ref="K302:K303"/>
    <mergeCell ref="X305:X306"/>
    <mergeCell ref="G307:G311"/>
    <mergeCell ref="J307:J308"/>
    <mergeCell ref="K307:K308"/>
    <mergeCell ref="L307:L308"/>
    <mergeCell ref="M307:M308"/>
    <mergeCell ref="N307:N308"/>
    <mergeCell ref="A307:A311"/>
    <mergeCell ref="B307:B311"/>
    <mergeCell ref="C307:C311"/>
    <mergeCell ref="D307:D311"/>
    <mergeCell ref="E307:E311"/>
    <mergeCell ref="F307:F311"/>
    <mergeCell ref="S305:S306"/>
    <mergeCell ref="T305:T306"/>
    <mergeCell ref="U305:U306"/>
    <mergeCell ref="V305:V306"/>
    <mergeCell ref="W305:W306"/>
    <mergeCell ref="V310:V311"/>
    <mergeCell ref="W310:W311"/>
    <mergeCell ref="A302:A306"/>
    <mergeCell ref="B302:B306"/>
    <mergeCell ref="C302:C306"/>
    <mergeCell ref="D302:D306"/>
    <mergeCell ref="E302:E306"/>
    <mergeCell ref="F302:F306"/>
    <mergeCell ref="G302:G306"/>
    <mergeCell ref="X310:X311"/>
    <mergeCell ref="A312:A316"/>
    <mergeCell ref="B312:B316"/>
    <mergeCell ref="C312:C316"/>
    <mergeCell ref="D312:D316"/>
    <mergeCell ref="E312:E316"/>
    <mergeCell ref="F312:F316"/>
    <mergeCell ref="G312:G316"/>
    <mergeCell ref="P310:P311"/>
    <mergeCell ref="Q310:Q311"/>
    <mergeCell ref="R310:R311"/>
    <mergeCell ref="S310:S311"/>
    <mergeCell ref="T310:T311"/>
    <mergeCell ref="U310:U311"/>
    <mergeCell ref="U307:U308"/>
    <mergeCell ref="V307:V308"/>
    <mergeCell ref="W307:W308"/>
    <mergeCell ref="X307:X308"/>
    <mergeCell ref="J310:J311"/>
    <mergeCell ref="K310:K311"/>
    <mergeCell ref="L310:L311"/>
    <mergeCell ref="M310:M311"/>
    <mergeCell ref="N310:N311"/>
    <mergeCell ref="O310:O311"/>
    <mergeCell ref="O307:O308"/>
    <mergeCell ref="P307:P308"/>
    <mergeCell ref="Q307:Q308"/>
    <mergeCell ref="R307:R308"/>
    <mergeCell ref="S307:S308"/>
    <mergeCell ref="T307:T308"/>
    <mergeCell ref="V312:V313"/>
    <mergeCell ref="W312:W313"/>
    <mergeCell ref="X312:X313"/>
    <mergeCell ref="J315:J316"/>
    <mergeCell ref="K315:K316"/>
    <mergeCell ref="L315:L316"/>
    <mergeCell ref="M315:M316"/>
    <mergeCell ref="N315:N316"/>
    <mergeCell ref="O315:O316"/>
    <mergeCell ref="P315:P316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K317:K318"/>
    <mergeCell ref="L317:L318"/>
    <mergeCell ref="M317:M318"/>
    <mergeCell ref="N317:N318"/>
    <mergeCell ref="O317:O318"/>
    <mergeCell ref="P317:P318"/>
    <mergeCell ref="W315:W316"/>
    <mergeCell ref="X315:X316"/>
    <mergeCell ref="A317:A321"/>
    <mergeCell ref="B317:B321"/>
    <mergeCell ref="C317:C321"/>
    <mergeCell ref="D317:D321"/>
    <mergeCell ref="E317:E321"/>
    <mergeCell ref="F317:F321"/>
    <mergeCell ref="G317:G321"/>
    <mergeCell ref="J317:J318"/>
    <mergeCell ref="Q315:Q316"/>
    <mergeCell ref="R315:R316"/>
    <mergeCell ref="S315:S316"/>
    <mergeCell ref="T315:T316"/>
    <mergeCell ref="U315:U316"/>
    <mergeCell ref="V315:V316"/>
    <mergeCell ref="X320:X321"/>
    <mergeCell ref="A322:A326"/>
    <mergeCell ref="B322:B326"/>
    <mergeCell ref="C322:C326"/>
    <mergeCell ref="D322:D326"/>
    <mergeCell ref="E322:E326"/>
    <mergeCell ref="F322:F326"/>
    <mergeCell ref="G322:G326"/>
    <mergeCell ref="J322:J323"/>
    <mergeCell ref="K322:K323"/>
    <mergeCell ref="R320:R321"/>
    <mergeCell ref="S320:S321"/>
    <mergeCell ref="T320:T321"/>
    <mergeCell ref="U320:U321"/>
    <mergeCell ref="V320:V321"/>
    <mergeCell ref="W320:W321"/>
    <mergeCell ref="W317:W318"/>
    <mergeCell ref="X317:X318"/>
    <mergeCell ref="J320:J321"/>
    <mergeCell ref="K320:K321"/>
    <mergeCell ref="L320:L321"/>
    <mergeCell ref="M320:M321"/>
    <mergeCell ref="N320:N321"/>
    <mergeCell ref="O320:O321"/>
    <mergeCell ref="P320:P321"/>
    <mergeCell ref="Q320:Q321"/>
    <mergeCell ref="Q317:Q318"/>
    <mergeCell ref="R317:R318"/>
    <mergeCell ref="S317:S318"/>
    <mergeCell ref="T317:T318"/>
    <mergeCell ref="U317:U318"/>
    <mergeCell ref="V317:V318"/>
    <mergeCell ref="S325:S326"/>
    <mergeCell ref="T325:T326"/>
    <mergeCell ref="U325:U326"/>
    <mergeCell ref="V325:V326"/>
    <mergeCell ref="W325:W326"/>
    <mergeCell ref="X325:X326"/>
    <mergeCell ref="X322:X323"/>
    <mergeCell ref="J325:J326"/>
    <mergeCell ref="K325:K326"/>
    <mergeCell ref="L325:L326"/>
    <mergeCell ref="M325:M326"/>
    <mergeCell ref="N325:N326"/>
    <mergeCell ref="O325:O326"/>
    <mergeCell ref="P325:P326"/>
    <mergeCell ref="Q325:Q326"/>
    <mergeCell ref="R325:R326"/>
    <mergeCell ref="R322:R323"/>
    <mergeCell ref="S322:S323"/>
    <mergeCell ref="T322:T323"/>
    <mergeCell ref="U322:U323"/>
    <mergeCell ref="V322:V323"/>
    <mergeCell ref="W322:W323"/>
    <mergeCell ref="L322:L323"/>
    <mergeCell ref="M322:M323"/>
    <mergeCell ref="N322:N323"/>
    <mergeCell ref="O322:O323"/>
    <mergeCell ref="P322:P323"/>
    <mergeCell ref="Q322:Q323"/>
    <mergeCell ref="U327:U328"/>
    <mergeCell ref="V327:V328"/>
    <mergeCell ref="W327:W328"/>
    <mergeCell ref="X327:X328"/>
    <mergeCell ref="J330:J331"/>
    <mergeCell ref="K330:K331"/>
    <mergeCell ref="L330:L331"/>
    <mergeCell ref="M330:M331"/>
    <mergeCell ref="N330:N331"/>
    <mergeCell ref="O330:O331"/>
    <mergeCell ref="O327:O328"/>
    <mergeCell ref="P327:P328"/>
    <mergeCell ref="Q327:Q328"/>
    <mergeCell ref="R327:R328"/>
    <mergeCell ref="S327:S328"/>
    <mergeCell ref="T327:T328"/>
    <mergeCell ref="G327:G331"/>
    <mergeCell ref="J327:J328"/>
    <mergeCell ref="K327:K328"/>
    <mergeCell ref="L327:L328"/>
    <mergeCell ref="M327:M328"/>
    <mergeCell ref="N327:N328"/>
    <mergeCell ref="W337:W338"/>
    <mergeCell ref="X337:X338"/>
    <mergeCell ref="J332:J333"/>
    <mergeCell ref="K332:K333"/>
    <mergeCell ref="L332:L333"/>
    <mergeCell ref="M332:M333"/>
    <mergeCell ref="N332:N333"/>
    <mergeCell ref="O332:O333"/>
    <mergeCell ref="V330:V331"/>
    <mergeCell ref="W330:W331"/>
    <mergeCell ref="X330:X331"/>
    <mergeCell ref="A332:A336"/>
    <mergeCell ref="B332:B336"/>
    <mergeCell ref="C332:C336"/>
    <mergeCell ref="D332:D336"/>
    <mergeCell ref="E332:E336"/>
    <mergeCell ref="F332:F336"/>
    <mergeCell ref="G332:G336"/>
    <mergeCell ref="P330:P331"/>
    <mergeCell ref="Q330:Q331"/>
    <mergeCell ref="R330:R331"/>
    <mergeCell ref="S330:S331"/>
    <mergeCell ref="T330:T331"/>
    <mergeCell ref="U330:U331"/>
    <mergeCell ref="A327:A331"/>
    <mergeCell ref="B327:B331"/>
    <mergeCell ref="C327:C331"/>
    <mergeCell ref="D327:D331"/>
    <mergeCell ref="E327:E331"/>
    <mergeCell ref="F327:F331"/>
    <mergeCell ref="W335:W336"/>
    <mergeCell ref="X335:X336"/>
    <mergeCell ref="Q335:Q336"/>
    <mergeCell ref="R335:R336"/>
    <mergeCell ref="S335:S336"/>
    <mergeCell ref="T335:T336"/>
    <mergeCell ref="U335:U336"/>
    <mergeCell ref="V335:V336"/>
    <mergeCell ref="V332:V333"/>
    <mergeCell ref="W332:W333"/>
    <mergeCell ref="X332:X333"/>
    <mergeCell ref="J335:J336"/>
    <mergeCell ref="K335:K336"/>
    <mergeCell ref="L335:L336"/>
    <mergeCell ref="M335:M336"/>
    <mergeCell ref="N335:N336"/>
    <mergeCell ref="O335:O336"/>
    <mergeCell ref="P335:P336"/>
    <mergeCell ref="P332:P333"/>
    <mergeCell ref="Q332:Q333"/>
    <mergeCell ref="R332:R333"/>
    <mergeCell ref="S332:S333"/>
    <mergeCell ref="T332:T333"/>
    <mergeCell ref="U332:U333"/>
    <mergeCell ref="Q337:Q338"/>
    <mergeCell ref="R337:R338"/>
    <mergeCell ref="S337:S338"/>
    <mergeCell ref="T337:T338"/>
    <mergeCell ref="U337:U338"/>
    <mergeCell ref="V337:V338"/>
    <mergeCell ref="K337:K338"/>
    <mergeCell ref="L337:L338"/>
    <mergeCell ref="M337:M338"/>
    <mergeCell ref="N337:N338"/>
    <mergeCell ref="O337:O338"/>
    <mergeCell ref="P337:P338"/>
    <mergeCell ref="A337:A341"/>
    <mergeCell ref="B337:B341"/>
    <mergeCell ref="C337:C341"/>
    <mergeCell ref="D337:D341"/>
    <mergeCell ref="E337:E341"/>
    <mergeCell ref="F337:F341"/>
    <mergeCell ref="G337:G341"/>
    <mergeCell ref="J337:J338"/>
    <mergeCell ref="V342:V343"/>
    <mergeCell ref="W342:W343"/>
    <mergeCell ref="X340:X341"/>
    <mergeCell ref="J342:J343"/>
    <mergeCell ref="K342:K343"/>
    <mergeCell ref="L342:L343"/>
    <mergeCell ref="M342:M343"/>
    <mergeCell ref="N342:N343"/>
    <mergeCell ref="O342:O343"/>
    <mergeCell ref="P342:P343"/>
    <mergeCell ref="Q342:Q343"/>
    <mergeCell ref="R340:R341"/>
    <mergeCell ref="S340:S341"/>
    <mergeCell ref="T340:T341"/>
    <mergeCell ref="U340:U341"/>
    <mergeCell ref="V340:V341"/>
    <mergeCell ref="W340:W341"/>
    <mergeCell ref="J340:J341"/>
    <mergeCell ref="K340:K341"/>
    <mergeCell ref="L340:L341"/>
    <mergeCell ref="M340:M341"/>
    <mergeCell ref="N340:N341"/>
    <mergeCell ref="O340:O341"/>
    <mergeCell ref="P340:P341"/>
    <mergeCell ref="Q340:Q341"/>
    <mergeCell ref="A348:X348"/>
    <mergeCell ref="A349:X349"/>
    <mergeCell ref="A350:A354"/>
    <mergeCell ref="B350:B354"/>
    <mergeCell ref="C350:C354"/>
    <mergeCell ref="D350:D354"/>
    <mergeCell ref="E350:E354"/>
    <mergeCell ref="F350:F354"/>
    <mergeCell ref="G350:G354"/>
    <mergeCell ref="J350:J351"/>
    <mergeCell ref="S345:S346"/>
    <mergeCell ref="T345:T346"/>
    <mergeCell ref="U345:U346"/>
    <mergeCell ref="V345:V346"/>
    <mergeCell ref="W345:W346"/>
    <mergeCell ref="X345:X346"/>
    <mergeCell ref="A342:G346"/>
    <mergeCell ref="X353:X354"/>
    <mergeCell ref="X342:X343"/>
    <mergeCell ref="J345:J346"/>
    <mergeCell ref="K345:K346"/>
    <mergeCell ref="L345:L346"/>
    <mergeCell ref="M345:M346"/>
    <mergeCell ref="N345:N346"/>
    <mergeCell ref="O345:O346"/>
    <mergeCell ref="P345:P346"/>
    <mergeCell ref="Q345:Q346"/>
    <mergeCell ref="R345:R346"/>
    <mergeCell ref="R342:R343"/>
    <mergeCell ref="S342:S343"/>
    <mergeCell ref="T342:T343"/>
    <mergeCell ref="U342:U343"/>
    <mergeCell ref="R353:R354"/>
    <mergeCell ref="S353:S354"/>
    <mergeCell ref="T353:T354"/>
    <mergeCell ref="U353:U354"/>
    <mergeCell ref="V353:V354"/>
    <mergeCell ref="W353:W354"/>
    <mergeCell ref="W350:W351"/>
    <mergeCell ref="X350:X351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Q350:Q351"/>
    <mergeCell ref="R350:R351"/>
    <mergeCell ref="S350:S351"/>
    <mergeCell ref="T350:T351"/>
    <mergeCell ref="U350:U351"/>
    <mergeCell ref="V350:V351"/>
    <mergeCell ref="K350:K351"/>
    <mergeCell ref="L350:L351"/>
    <mergeCell ref="M350:M351"/>
    <mergeCell ref="N350:N351"/>
    <mergeCell ref="O350:O351"/>
    <mergeCell ref="P350:P351"/>
    <mergeCell ref="X355:X356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R355:R356"/>
    <mergeCell ref="S355:S356"/>
    <mergeCell ref="T355:T356"/>
    <mergeCell ref="U355:U356"/>
    <mergeCell ref="V355:V356"/>
    <mergeCell ref="W355:W356"/>
    <mergeCell ref="L355:L356"/>
    <mergeCell ref="M355:M356"/>
    <mergeCell ref="N355:N356"/>
    <mergeCell ref="O355:O356"/>
    <mergeCell ref="P355:P356"/>
    <mergeCell ref="Q355:Q356"/>
    <mergeCell ref="J355:J356"/>
    <mergeCell ref="K355:K356"/>
    <mergeCell ref="X358:X359"/>
    <mergeCell ref="G360:G364"/>
    <mergeCell ref="J360:J361"/>
    <mergeCell ref="K360:K361"/>
    <mergeCell ref="L360:L361"/>
    <mergeCell ref="M360:M361"/>
    <mergeCell ref="N360:N361"/>
    <mergeCell ref="A360:A364"/>
    <mergeCell ref="B360:B364"/>
    <mergeCell ref="C360:C364"/>
    <mergeCell ref="D360:D364"/>
    <mergeCell ref="E360:E364"/>
    <mergeCell ref="F360:F364"/>
    <mergeCell ref="S358:S359"/>
    <mergeCell ref="T358:T359"/>
    <mergeCell ref="U358:U359"/>
    <mergeCell ref="V358:V359"/>
    <mergeCell ref="W358:W359"/>
    <mergeCell ref="V363:V364"/>
    <mergeCell ref="W363:W364"/>
    <mergeCell ref="A355:A359"/>
    <mergeCell ref="B355:B359"/>
    <mergeCell ref="C355:C359"/>
    <mergeCell ref="D355:D359"/>
    <mergeCell ref="E355:E359"/>
    <mergeCell ref="F355:F359"/>
    <mergeCell ref="G355:G359"/>
    <mergeCell ref="X363:X364"/>
    <mergeCell ref="A365:A369"/>
    <mergeCell ref="B365:B369"/>
    <mergeCell ref="C365:C369"/>
    <mergeCell ref="D365:D369"/>
    <mergeCell ref="E365:E369"/>
    <mergeCell ref="F365:F369"/>
    <mergeCell ref="G365:G369"/>
    <mergeCell ref="P363:P364"/>
    <mergeCell ref="Q363:Q364"/>
    <mergeCell ref="R363:R364"/>
    <mergeCell ref="S363:S364"/>
    <mergeCell ref="T363:T364"/>
    <mergeCell ref="U363:U364"/>
    <mergeCell ref="U360:U361"/>
    <mergeCell ref="V360:V361"/>
    <mergeCell ref="W360:W361"/>
    <mergeCell ref="X360:X361"/>
    <mergeCell ref="J363:J364"/>
    <mergeCell ref="K363:K364"/>
    <mergeCell ref="L363:L364"/>
    <mergeCell ref="M363:M364"/>
    <mergeCell ref="N363:N364"/>
    <mergeCell ref="O363:O364"/>
    <mergeCell ref="O360:O361"/>
    <mergeCell ref="P360:P361"/>
    <mergeCell ref="Q360:Q361"/>
    <mergeCell ref="R360:R361"/>
    <mergeCell ref="S360:S361"/>
    <mergeCell ref="T360:T361"/>
    <mergeCell ref="V365:V366"/>
    <mergeCell ref="W365:W366"/>
    <mergeCell ref="X365:X366"/>
    <mergeCell ref="J368:J369"/>
    <mergeCell ref="K368:K369"/>
    <mergeCell ref="L368:L369"/>
    <mergeCell ref="M368:M369"/>
    <mergeCell ref="N368:N369"/>
    <mergeCell ref="O368:O369"/>
    <mergeCell ref="P368:P369"/>
    <mergeCell ref="P365:P366"/>
    <mergeCell ref="Q365:Q366"/>
    <mergeCell ref="R365:R366"/>
    <mergeCell ref="S365:S366"/>
    <mergeCell ref="T365:T366"/>
    <mergeCell ref="U365:U366"/>
    <mergeCell ref="J365:J366"/>
    <mergeCell ref="K365:K366"/>
    <mergeCell ref="L365:L366"/>
    <mergeCell ref="M365:M366"/>
    <mergeCell ref="N365:N366"/>
    <mergeCell ref="O365:O366"/>
    <mergeCell ref="W368:W369"/>
    <mergeCell ref="X368:X369"/>
    <mergeCell ref="A370:A374"/>
    <mergeCell ref="B370:B374"/>
    <mergeCell ref="C370:C374"/>
    <mergeCell ref="D370:D374"/>
    <mergeCell ref="E370:E374"/>
    <mergeCell ref="F370:F374"/>
    <mergeCell ref="G370:G374"/>
    <mergeCell ref="J370:J371"/>
    <mergeCell ref="Q368:Q369"/>
    <mergeCell ref="R368:R369"/>
    <mergeCell ref="S368:S369"/>
    <mergeCell ref="T368:T369"/>
    <mergeCell ref="U368:U369"/>
    <mergeCell ref="V368:V369"/>
    <mergeCell ref="X373:X374"/>
    <mergeCell ref="R373:R374"/>
    <mergeCell ref="S373:S374"/>
    <mergeCell ref="T373:T374"/>
    <mergeCell ref="U373:U374"/>
    <mergeCell ref="V373:V374"/>
    <mergeCell ref="W373:W374"/>
    <mergeCell ref="W370:W371"/>
    <mergeCell ref="X370:X371"/>
    <mergeCell ref="J373:J374"/>
    <mergeCell ref="K373:K374"/>
    <mergeCell ref="L373:L374"/>
    <mergeCell ref="M373:M374"/>
    <mergeCell ref="N373:N374"/>
    <mergeCell ref="O373:O374"/>
    <mergeCell ref="P373:P374"/>
    <mergeCell ref="Q373:Q374"/>
    <mergeCell ref="Q370:Q371"/>
    <mergeCell ref="R370:R371"/>
    <mergeCell ref="S370:S371"/>
    <mergeCell ref="T370:T371"/>
    <mergeCell ref="U370:U371"/>
    <mergeCell ref="V370:V371"/>
    <mergeCell ref="K370:K371"/>
    <mergeCell ref="L370:L371"/>
    <mergeCell ref="M370:M371"/>
    <mergeCell ref="N370:N371"/>
    <mergeCell ref="O370:O371"/>
    <mergeCell ref="P370:P371"/>
    <mergeCell ref="X375:X376"/>
    <mergeCell ref="J378:J379"/>
    <mergeCell ref="K378:K379"/>
    <mergeCell ref="L378:L379"/>
    <mergeCell ref="M378:M379"/>
    <mergeCell ref="N378:N379"/>
    <mergeCell ref="O378:O379"/>
    <mergeCell ref="P378:P379"/>
    <mergeCell ref="Q378:Q379"/>
    <mergeCell ref="R378:R379"/>
    <mergeCell ref="R375:R376"/>
    <mergeCell ref="S375:S376"/>
    <mergeCell ref="T375:T376"/>
    <mergeCell ref="U375:U376"/>
    <mergeCell ref="V375:V376"/>
    <mergeCell ref="W375:W376"/>
    <mergeCell ref="L375:L376"/>
    <mergeCell ref="M375:M376"/>
    <mergeCell ref="N375:N376"/>
    <mergeCell ref="O375:O376"/>
    <mergeCell ref="P375:P376"/>
    <mergeCell ref="Q375:Q376"/>
    <mergeCell ref="J375:J376"/>
    <mergeCell ref="K375:K376"/>
    <mergeCell ref="X378:X379"/>
    <mergeCell ref="G380:G384"/>
    <mergeCell ref="J380:J381"/>
    <mergeCell ref="K380:K381"/>
    <mergeCell ref="L380:L381"/>
    <mergeCell ref="M380:M381"/>
    <mergeCell ref="N380:N381"/>
    <mergeCell ref="A380:A384"/>
    <mergeCell ref="B380:B384"/>
    <mergeCell ref="C380:C384"/>
    <mergeCell ref="D380:D384"/>
    <mergeCell ref="E380:E384"/>
    <mergeCell ref="F380:F384"/>
    <mergeCell ref="S378:S379"/>
    <mergeCell ref="T378:T379"/>
    <mergeCell ref="U378:U379"/>
    <mergeCell ref="V378:V379"/>
    <mergeCell ref="W378:W379"/>
    <mergeCell ref="V383:V384"/>
    <mergeCell ref="W383:W384"/>
    <mergeCell ref="A375:A379"/>
    <mergeCell ref="B375:B379"/>
    <mergeCell ref="C375:C379"/>
    <mergeCell ref="D375:D379"/>
    <mergeCell ref="E375:E379"/>
    <mergeCell ref="F375:F379"/>
    <mergeCell ref="G375:G379"/>
    <mergeCell ref="X383:X384"/>
    <mergeCell ref="A385:G389"/>
    <mergeCell ref="J385:J386"/>
    <mergeCell ref="K385:K386"/>
    <mergeCell ref="L385:L386"/>
    <mergeCell ref="M385:M386"/>
    <mergeCell ref="N385:N386"/>
    <mergeCell ref="O385:O386"/>
    <mergeCell ref="P383:P384"/>
    <mergeCell ref="Q383:Q384"/>
    <mergeCell ref="R383:R384"/>
    <mergeCell ref="S383:S384"/>
    <mergeCell ref="T383:T384"/>
    <mergeCell ref="U383:U384"/>
    <mergeCell ref="U380:U381"/>
    <mergeCell ref="V380:V381"/>
    <mergeCell ref="W380:W381"/>
    <mergeCell ref="X380:X381"/>
    <mergeCell ref="J383:J384"/>
    <mergeCell ref="K383:K384"/>
    <mergeCell ref="L383:L384"/>
    <mergeCell ref="M383:M384"/>
    <mergeCell ref="N383:N384"/>
    <mergeCell ref="O383:O384"/>
    <mergeCell ref="O380:O381"/>
    <mergeCell ref="P380:P381"/>
    <mergeCell ref="Q380:Q381"/>
    <mergeCell ref="R380:R381"/>
    <mergeCell ref="S380:S381"/>
    <mergeCell ref="T380:T381"/>
    <mergeCell ref="W388:W389"/>
    <mergeCell ref="X388:X389"/>
    <mergeCell ref="A390:X390"/>
    <mergeCell ref="A391:X391"/>
    <mergeCell ref="A392:X392"/>
    <mergeCell ref="A393:A397"/>
    <mergeCell ref="B393:B397"/>
    <mergeCell ref="C393:C397"/>
    <mergeCell ref="D393:D397"/>
    <mergeCell ref="E393:E397"/>
    <mergeCell ref="Q388:Q389"/>
    <mergeCell ref="R388:R389"/>
    <mergeCell ref="S388:S389"/>
    <mergeCell ref="T388:T389"/>
    <mergeCell ref="U388:U389"/>
    <mergeCell ref="V388:V389"/>
    <mergeCell ref="V385:V386"/>
    <mergeCell ref="W385:W386"/>
    <mergeCell ref="X385:X386"/>
    <mergeCell ref="J388:J389"/>
    <mergeCell ref="K388:K389"/>
    <mergeCell ref="L388:L389"/>
    <mergeCell ref="M388:M389"/>
    <mergeCell ref="N388:N389"/>
    <mergeCell ref="O388:O389"/>
    <mergeCell ref="P388:P389"/>
    <mergeCell ref="P385:P386"/>
    <mergeCell ref="Q385:Q386"/>
    <mergeCell ref="R385:R386"/>
    <mergeCell ref="S385:S386"/>
    <mergeCell ref="T385:T386"/>
    <mergeCell ref="U385:U386"/>
    <mergeCell ref="T393:T394"/>
    <mergeCell ref="U393:U394"/>
    <mergeCell ref="V393:V394"/>
    <mergeCell ref="W393:W394"/>
    <mergeCell ref="X393:X394"/>
    <mergeCell ref="J396:J397"/>
    <mergeCell ref="K396:K397"/>
    <mergeCell ref="L396:L397"/>
    <mergeCell ref="M396:M397"/>
    <mergeCell ref="N396:N397"/>
    <mergeCell ref="N393:N394"/>
    <mergeCell ref="O393:O394"/>
    <mergeCell ref="P393:P394"/>
    <mergeCell ref="Q393:Q394"/>
    <mergeCell ref="R393:R394"/>
    <mergeCell ref="S393:S394"/>
    <mergeCell ref="F393:F397"/>
    <mergeCell ref="G393:G397"/>
    <mergeCell ref="J393:J394"/>
    <mergeCell ref="K393:K394"/>
    <mergeCell ref="L393:L394"/>
    <mergeCell ref="M393:M394"/>
    <mergeCell ref="V403:V404"/>
    <mergeCell ref="W403:W404"/>
    <mergeCell ref="X403:X404"/>
    <mergeCell ref="G398:G402"/>
    <mergeCell ref="J398:J399"/>
    <mergeCell ref="K398:K399"/>
    <mergeCell ref="L398:L399"/>
    <mergeCell ref="M398:M399"/>
    <mergeCell ref="N398:N399"/>
    <mergeCell ref="U396:U397"/>
    <mergeCell ref="V396:V397"/>
    <mergeCell ref="W396:W397"/>
    <mergeCell ref="X396:X397"/>
    <mergeCell ref="A398:A402"/>
    <mergeCell ref="B398:B402"/>
    <mergeCell ref="C398:C402"/>
    <mergeCell ref="D398:D402"/>
    <mergeCell ref="E398:E402"/>
    <mergeCell ref="F398:F402"/>
    <mergeCell ref="O396:O397"/>
    <mergeCell ref="P396:P397"/>
    <mergeCell ref="Q396:Q397"/>
    <mergeCell ref="R396:R397"/>
    <mergeCell ref="S396:S397"/>
    <mergeCell ref="T396:T397"/>
    <mergeCell ref="V401:V402"/>
    <mergeCell ref="W401:W402"/>
    <mergeCell ref="X401:X402"/>
    <mergeCell ref="P401:P402"/>
    <mergeCell ref="Q401:Q402"/>
    <mergeCell ref="R401:R402"/>
    <mergeCell ref="S401:S402"/>
    <mergeCell ref="T401:T402"/>
    <mergeCell ref="U401:U402"/>
    <mergeCell ref="U398:U399"/>
    <mergeCell ref="V398:V399"/>
    <mergeCell ref="W398:W399"/>
    <mergeCell ref="X398:X399"/>
    <mergeCell ref="J401:J402"/>
    <mergeCell ref="K401:K402"/>
    <mergeCell ref="L401:L402"/>
    <mergeCell ref="M401:M402"/>
    <mergeCell ref="N401:N402"/>
    <mergeCell ref="O401:O402"/>
    <mergeCell ref="O398:O399"/>
    <mergeCell ref="P398:P399"/>
    <mergeCell ref="Q398:Q399"/>
    <mergeCell ref="R398:R399"/>
    <mergeCell ref="S398:S399"/>
    <mergeCell ref="T398:T399"/>
    <mergeCell ref="P403:P404"/>
    <mergeCell ref="Q403:Q404"/>
    <mergeCell ref="R403:R404"/>
    <mergeCell ref="S403:S404"/>
    <mergeCell ref="T403:T404"/>
    <mergeCell ref="U403:U404"/>
    <mergeCell ref="J403:J404"/>
    <mergeCell ref="K403:K404"/>
    <mergeCell ref="L403:L404"/>
    <mergeCell ref="M403:M404"/>
    <mergeCell ref="N403:N404"/>
    <mergeCell ref="O403:O404"/>
    <mergeCell ref="A403:A407"/>
    <mergeCell ref="B403:B407"/>
    <mergeCell ref="C403:C407"/>
    <mergeCell ref="D403:D407"/>
    <mergeCell ref="E403:E407"/>
    <mergeCell ref="F403:F407"/>
    <mergeCell ref="G403:G407"/>
    <mergeCell ref="W406:W407"/>
    <mergeCell ref="X406:X407"/>
    <mergeCell ref="A408:A412"/>
    <mergeCell ref="B408:B412"/>
    <mergeCell ref="C408:C412"/>
    <mergeCell ref="D408:D412"/>
    <mergeCell ref="E408:E412"/>
    <mergeCell ref="F408:F412"/>
    <mergeCell ref="G408:G412"/>
    <mergeCell ref="J408:J409"/>
    <mergeCell ref="Q406:Q407"/>
    <mergeCell ref="R406:R407"/>
    <mergeCell ref="S406:S407"/>
    <mergeCell ref="T406:T407"/>
    <mergeCell ref="U406:U407"/>
    <mergeCell ref="V406:V407"/>
    <mergeCell ref="X411:X412"/>
    <mergeCell ref="J406:J407"/>
    <mergeCell ref="K406:K407"/>
    <mergeCell ref="L406:L407"/>
    <mergeCell ref="M406:M407"/>
    <mergeCell ref="N406:N407"/>
    <mergeCell ref="O406:O407"/>
    <mergeCell ref="P406:P407"/>
    <mergeCell ref="R411:R412"/>
    <mergeCell ref="S411:S412"/>
    <mergeCell ref="T411:T412"/>
    <mergeCell ref="U411:U412"/>
    <mergeCell ref="V411:V412"/>
    <mergeCell ref="W411:W412"/>
    <mergeCell ref="W408:W409"/>
    <mergeCell ref="X408:X409"/>
    <mergeCell ref="J411:J412"/>
    <mergeCell ref="K411:K412"/>
    <mergeCell ref="L411:L412"/>
    <mergeCell ref="M411:M412"/>
    <mergeCell ref="N411:N412"/>
    <mergeCell ref="O411:O412"/>
    <mergeCell ref="P411:P412"/>
    <mergeCell ref="Q411:Q412"/>
    <mergeCell ref="Q408:Q409"/>
    <mergeCell ref="R408:R409"/>
    <mergeCell ref="S408:S409"/>
    <mergeCell ref="T408:T409"/>
    <mergeCell ref="U408:U409"/>
    <mergeCell ref="V408:V409"/>
    <mergeCell ref="K408:K409"/>
    <mergeCell ref="L408:L409"/>
    <mergeCell ref="M408:M409"/>
    <mergeCell ref="N408:N409"/>
    <mergeCell ref="O408:O409"/>
    <mergeCell ref="P408:P409"/>
    <mergeCell ref="X413:X414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R413:R414"/>
    <mergeCell ref="S413:S414"/>
    <mergeCell ref="T413:T414"/>
    <mergeCell ref="U413:U414"/>
    <mergeCell ref="V413:V414"/>
    <mergeCell ref="W413:W414"/>
    <mergeCell ref="L413:L414"/>
    <mergeCell ref="M413:M414"/>
    <mergeCell ref="N413:N414"/>
    <mergeCell ref="O413:O414"/>
    <mergeCell ref="P413:P414"/>
    <mergeCell ref="Q413:Q414"/>
    <mergeCell ref="J413:J414"/>
    <mergeCell ref="K413:K414"/>
    <mergeCell ref="X416:X417"/>
    <mergeCell ref="G418:G422"/>
    <mergeCell ref="J418:J419"/>
    <mergeCell ref="K418:K419"/>
    <mergeCell ref="L418:L419"/>
    <mergeCell ref="M418:M419"/>
    <mergeCell ref="N418:N419"/>
    <mergeCell ref="A418:A422"/>
    <mergeCell ref="B418:B422"/>
    <mergeCell ref="C418:C422"/>
    <mergeCell ref="D418:D422"/>
    <mergeCell ref="E418:E422"/>
    <mergeCell ref="F418:F422"/>
    <mergeCell ref="S416:S417"/>
    <mergeCell ref="T416:T417"/>
    <mergeCell ref="U416:U417"/>
    <mergeCell ref="V416:V417"/>
    <mergeCell ref="W416:W417"/>
    <mergeCell ref="V421:V422"/>
    <mergeCell ref="W421:W422"/>
    <mergeCell ref="A413:A417"/>
    <mergeCell ref="B413:B417"/>
    <mergeCell ref="C413:C417"/>
    <mergeCell ref="D413:D417"/>
    <mergeCell ref="E413:E417"/>
    <mergeCell ref="F413:F417"/>
    <mergeCell ref="G413:G417"/>
    <mergeCell ref="X421:X422"/>
    <mergeCell ref="A423:A427"/>
    <mergeCell ref="B423:B427"/>
    <mergeCell ref="C423:C427"/>
    <mergeCell ref="D423:D427"/>
    <mergeCell ref="E423:E427"/>
    <mergeCell ref="F423:F427"/>
    <mergeCell ref="G423:G427"/>
    <mergeCell ref="P421:P422"/>
    <mergeCell ref="Q421:Q422"/>
    <mergeCell ref="R421:R422"/>
    <mergeCell ref="S421:S422"/>
    <mergeCell ref="T421:T422"/>
    <mergeCell ref="U421:U422"/>
    <mergeCell ref="U418:U419"/>
    <mergeCell ref="V418:V419"/>
    <mergeCell ref="W418:W419"/>
    <mergeCell ref="X418:X419"/>
    <mergeCell ref="J421:J422"/>
    <mergeCell ref="K421:K422"/>
    <mergeCell ref="L421:L422"/>
    <mergeCell ref="M421:M422"/>
    <mergeCell ref="N421:N422"/>
    <mergeCell ref="O421:O422"/>
    <mergeCell ref="O418:O419"/>
    <mergeCell ref="P418:P419"/>
    <mergeCell ref="Q418:Q419"/>
    <mergeCell ref="R418:R419"/>
    <mergeCell ref="S418:S419"/>
    <mergeCell ref="T418:T419"/>
    <mergeCell ref="V423:V424"/>
    <mergeCell ref="W423:W424"/>
    <mergeCell ref="X423:X424"/>
    <mergeCell ref="J426:J427"/>
    <mergeCell ref="K426:K427"/>
    <mergeCell ref="L426:L427"/>
    <mergeCell ref="M426:M427"/>
    <mergeCell ref="N426:N427"/>
    <mergeCell ref="O426:O427"/>
    <mergeCell ref="P426:P427"/>
    <mergeCell ref="P423:P424"/>
    <mergeCell ref="Q423:Q424"/>
    <mergeCell ref="R423:R424"/>
    <mergeCell ref="S423:S424"/>
    <mergeCell ref="T423:T424"/>
    <mergeCell ref="U423:U424"/>
    <mergeCell ref="J423:J424"/>
    <mergeCell ref="K423:K424"/>
    <mergeCell ref="L423:L424"/>
    <mergeCell ref="M423:M424"/>
    <mergeCell ref="N423:N424"/>
    <mergeCell ref="O423:O424"/>
    <mergeCell ref="W426:W427"/>
    <mergeCell ref="X426:X427"/>
    <mergeCell ref="A428:A432"/>
    <mergeCell ref="B428:B432"/>
    <mergeCell ref="C428:C432"/>
    <mergeCell ref="D428:D432"/>
    <mergeCell ref="E428:E432"/>
    <mergeCell ref="F428:F432"/>
    <mergeCell ref="G428:G432"/>
    <mergeCell ref="J428:J429"/>
    <mergeCell ref="Q426:Q427"/>
    <mergeCell ref="R426:R427"/>
    <mergeCell ref="S426:S427"/>
    <mergeCell ref="T426:T427"/>
    <mergeCell ref="U426:U427"/>
    <mergeCell ref="V426:V427"/>
    <mergeCell ref="X431:X432"/>
    <mergeCell ref="R431:R432"/>
    <mergeCell ref="S431:S432"/>
    <mergeCell ref="T431:T432"/>
    <mergeCell ref="U431:U432"/>
    <mergeCell ref="V431:V432"/>
    <mergeCell ref="W431:W432"/>
    <mergeCell ref="W428:W429"/>
    <mergeCell ref="X428:X429"/>
    <mergeCell ref="J431:J432"/>
    <mergeCell ref="K431:K432"/>
    <mergeCell ref="L431:L432"/>
    <mergeCell ref="M431:M432"/>
    <mergeCell ref="N431:N432"/>
    <mergeCell ref="O431:O432"/>
    <mergeCell ref="P431:P432"/>
    <mergeCell ref="Q431:Q432"/>
    <mergeCell ref="Q428:Q429"/>
    <mergeCell ref="R428:R429"/>
    <mergeCell ref="S428:S429"/>
    <mergeCell ref="T428:T429"/>
    <mergeCell ref="U428:U429"/>
    <mergeCell ref="V428:V429"/>
    <mergeCell ref="K428:K429"/>
    <mergeCell ref="L428:L429"/>
    <mergeCell ref="M428:M429"/>
    <mergeCell ref="N428:N429"/>
    <mergeCell ref="O428:O429"/>
    <mergeCell ref="P428:P429"/>
    <mergeCell ref="X433:X434"/>
    <mergeCell ref="J436:J437"/>
    <mergeCell ref="K436:K437"/>
    <mergeCell ref="L436:L437"/>
    <mergeCell ref="M436:M437"/>
    <mergeCell ref="N436:N437"/>
    <mergeCell ref="O436:O437"/>
    <mergeCell ref="P436:P437"/>
    <mergeCell ref="Q436:Q437"/>
    <mergeCell ref="R436:R437"/>
    <mergeCell ref="R433:R434"/>
    <mergeCell ref="S433:S434"/>
    <mergeCell ref="T433:T434"/>
    <mergeCell ref="U433:U434"/>
    <mergeCell ref="V433:V434"/>
    <mergeCell ref="W433:W434"/>
    <mergeCell ref="L433:L434"/>
    <mergeCell ref="M433:M434"/>
    <mergeCell ref="N433:N434"/>
    <mergeCell ref="O433:O434"/>
    <mergeCell ref="P433:P434"/>
    <mergeCell ref="Q433:Q434"/>
    <mergeCell ref="J433:J434"/>
    <mergeCell ref="K433:K434"/>
    <mergeCell ref="X436:X437"/>
    <mergeCell ref="G438:G442"/>
    <mergeCell ref="J438:J439"/>
    <mergeCell ref="K438:K439"/>
    <mergeCell ref="L438:L439"/>
    <mergeCell ref="M438:M439"/>
    <mergeCell ref="N438:N439"/>
    <mergeCell ref="A438:A442"/>
    <mergeCell ref="B438:B442"/>
    <mergeCell ref="C438:C442"/>
    <mergeCell ref="D438:D442"/>
    <mergeCell ref="E438:E442"/>
    <mergeCell ref="F438:F442"/>
    <mergeCell ref="S436:S437"/>
    <mergeCell ref="T436:T437"/>
    <mergeCell ref="U436:U437"/>
    <mergeCell ref="V436:V437"/>
    <mergeCell ref="W436:W437"/>
    <mergeCell ref="V441:V442"/>
    <mergeCell ref="W441:W442"/>
    <mergeCell ref="A433:A437"/>
    <mergeCell ref="B433:B437"/>
    <mergeCell ref="C433:C437"/>
    <mergeCell ref="D433:D437"/>
    <mergeCell ref="E433:E437"/>
    <mergeCell ref="F433:F437"/>
    <mergeCell ref="G433:G437"/>
    <mergeCell ref="X441:X442"/>
    <mergeCell ref="A443:A447"/>
    <mergeCell ref="B443:B447"/>
    <mergeCell ref="C443:C447"/>
    <mergeCell ref="D443:D447"/>
    <mergeCell ref="E443:E447"/>
    <mergeCell ref="F443:F447"/>
    <mergeCell ref="G443:G447"/>
    <mergeCell ref="P441:P442"/>
    <mergeCell ref="Q441:Q442"/>
    <mergeCell ref="R441:R442"/>
    <mergeCell ref="S441:S442"/>
    <mergeCell ref="T441:T442"/>
    <mergeCell ref="U441:U442"/>
    <mergeCell ref="U438:U439"/>
    <mergeCell ref="V438:V439"/>
    <mergeCell ref="W438:W439"/>
    <mergeCell ref="X438:X439"/>
    <mergeCell ref="J441:J442"/>
    <mergeCell ref="K441:K442"/>
    <mergeCell ref="L441:L442"/>
    <mergeCell ref="M441:M442"/>
    <mergeCell ref="N441:N442"/>
    <mergeCell ref="O441:O442"/>
    <mergeCell ref="O438:O439"/>
    <mergeCell ref="P438:P439"/>
    <mergeCell ref="Q438:Q439"/>
    <mergeCell ref="R438:R439"/>
    <mergeCell ref="S438:S439"/>
    <mergeCell ref="T438:T439"/>
    <mergeCell ref="V443:V444"/>
    <mergeCell ref="W443:W444"/>
    <mergeCell ref="X443:X444"/>
    <mergeCell ref="J446:J447"/>
    <mergeCell ref="K446:K447"/>
    <mergeCell ref="L446:L447"/>
    <mergeCell ref="M446:M447"/>
    <mergeCell ref="N446:N447"/>
    <mergeCell ref="O446:O447"/>
    <mergeCell ref="P446:P447"/>
    <mergeCell ref="P443:P444"/>
    <mergeCell ref="Q443:Q444"/>
    <mergeCell ref="R443:R444"/>
    <mergeCell ref="S443:S444"/>
    <mergeCell ref="T443:T444"/>
    <mergeCell ref="U443:U444"/>
    <mergeCell ref="J443:J444"/>
    <mergeCell ref="K443:K444"/>
    <mergeCell ref="L443:L444"/>
    <mergeCell ref="M443:M444"/>
    <mergeCell ref="N443:N444"/>
    <mergeCell ref="O443:O444"/>
    <mergeCell ref="W446:W447"/>
    <mergeCell ref="X446:X447"/>
    <mergeCell ref="A448:A452"/>
    <mergeCell ref="B448:B452"/>
    <mergeCell ref="C448:C452"/>
    <mergeCell ref="D448:D452"/>
    <mergeCell ref="E448:E452"/>
    <mergeCell ref="F448:F452"/>
    <mergeCell ref="G448:G452"/>
    <mergeCell ref="J448:J449"/>
    <mergeCell ref="Q446:Q447"/>
    <mergeCell ref="R446:R447"/>
    <mergeCell ref="S446:S447"/>
    <mergeCell ref="T446:T447"/>
    <mergeCell ref="U446:U447"/>
    <mergeCell ref="V446:V447"/>
    <mergeCell ref="X451:X452"/>
    <mergeCell ref="R451:R452"/>
    <mergeCell ref="S451:S452"/>
    <mergeCell ref="T451:T452"/>
    <mergeCell ref="U451:U452"/>
    <mergeCell ref="V451:V452"/>
    <mergeCell ref="W451:W452"/>
    <mergeCell ref="W448:W449"/>
    <mergeCell ref="X448:X449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Q448:Q449"/>
    <mergeCell ref="R448:R449"/>
    <mergeCell ref="S448:S449"/>
    <mergeCell ref="T448:T449"/>
    <mergeCell ref="U448:U449"/>
    <mergeCell ref="V448:V449"/>
    <mergeCell ref="K448:K449"/>
    <mergeCell ref="L448:L449"/>
    <mergeCell ref="M448:M449"/>
    <mergeCell ref="N448:N449"/>
    <mergeCell ref="O448:O449"/>
    <mergeCell ref="P448:P449"/>
    <mergeCell ref="X453:X454"/>
    <mergeCell ref="J456:J457"/>
    <mergeCell ref="K456:K457"/>
    <mergeCell ref="L456:L457"/>
    <mergeCell ref="M456:M457"/>
    <mergeCell ref="N456:N457"/>
    <mergeCell ref="O456:O457"/>
    <mergeCell ref="P456:P457"/>
    <mergeCell ref="Q456:Q457"/>
    <mergeCell ref="R456:R457"/>
    <mergeCell ref="R453:R454"/>
    <mergeCell ref="S453:S454"/>
    <mergeCell ref="T453:T454"/>
    <mergeCell ref="U453:U454"/>
    <mergeCell ref="V453:V454"/>
    <mergeCell ref="W453:W454"/>
    <mergeCell ref="L453:L454"/>
    <mergeCell ref="M453:M454"/>
    <mergeCell ref="N453:N454"/>
    <mergeCell ref="O453:O454"/>
    <mergeCell ref="P453:P454"/>
    <mergeCell ref="Q453:Q454"/>
    <mergeCell ref="J453:J454"/>
    <mergeCell ref="K453:K454"/>
    <mergeCell ref="X456:X457"/>
    <mergeCell ref="G458:G462"/>
    <mergeCell ref="J458:J459"/>
    <mergeCell ref="K458:K459"/>
    <mergeCell ref="L458:L459"/>
    <mergeCell ref="M458:M459"/>
    <mergeCell ref="N458:N459"/>
    <mergeCell ref="A458:A462"/>
    <mergeCell ref="B458:B462"/>
    <mergeCell ref="C458:C462"/>
    <mergeCell ref="D458:D462"/>
    <mergeCell ref="E458:E462"/>
    <mergeCell ref="F458:F462"/>
    <mergeCell ref="S456:S457"/>
    <mergeCell ref="T456:T457"/>
    <mergeCell ref="U456:U457"/>
    <mergeCell ref="V456:V457"/>
    <mergeCell ref="W456:W457"/>
    <mergeCell ref="V461:V462"/>
    <mergeCell ref="W461:W462"/>
    <mergeCell ref="A453:A457"/>
    <mergeCell ref="B453:B457"/>
    <mergeCell ref="C453:C457"/>
    <mergeCell ref="D453:D457"/>
    <mergeCell ref="E453:E457"/>
    <mergeCell ref="F453:F457"/>
    <mergeCell ref="G453:G457"/>
    <mergeCell ref="X461:X462"/>
    <mergeCell ref="A463:A467"/>
    <mergeCell ref="B463:B467"/>
    <mergeCell ref="C463:C467"/>
    <mergeCell ref="D463:D467"/>
    <mergeCell ref="E463:E467"/>
    <mergeCell ref="F463:F467"/>
    <mergeCell ref="G463:G467"/>
    <mergeCell ref="P461:P462"/>
    <mergeCell ref="Q461:Q462"/>
    <mergeCell ref="R461:R462"/>
    <mergeCell ref="S461:S462"/>
    <mergeCell ref="T461:T462"/>
    <mergeCell ref="U461:U462"/>
    <mergeCell ref="U458:U459"/>
    <mergeCell ref="V458:V459"/>
    <mergeCell ref="W458:W459"/>
    <mergeCell ref="X458:X459"/>
    <mergeCell ref="J461:J462"/>
    <mergeCell ref="K461:K462"/>
    <mergeCell ref="L461:L462"/>
    <mergeCell ref="M461:M462"/>
    <mergeCell ref="N461:N462"/>
    <mergeCell ref="O461:O462"/>
    <mergeCell ref="O458:O459"/>
    <mergeCell ref="P458:P459"/>
    <mergeCell ref="Q458:Q459"/>
    <mergeCell ref="R458:R459"/>
    <mergeCell ref="S458:S459"/>
    <mergeCell ref="T458:T459"/>
    <mergeCell ref="V463:V464"/>
    <mergeCell ref="W463:W464"/>
    <mergeCell ref="X463:X464"/>
    <mergeCell ref="J466:J467"/>
    <mergeCell ref="K466:K467"/>
    <mergeCell ref="L466:L467"/>
    <mergeCell ref="M466:M467"/>
    <mergeCell ref="N466:N467"/>
    <mergeCell ref="O466:O467"/>
    <mergeCell ref="P466:P467"/>
    <mergeCell ref="P463:P464"/>
    <mergeCell ref="Q463:Q464"/>
    <mergeCell ref="R463:R464"/>
    <mergeCell ref="S463:S464"/>
    <mergeCell ref="T463:T464"/>
    <mergeCell ref="U463:U464"/>
    <mergeCell ref="J463:J464"/>
    <mergeCell ref="K463:K464"/>
    <mergeCell ref="L463:L464"/>
    <mergeCell ref="M463:M464"/>
    <mergeCell ref="N463:N464"/>
    <mergeCell ref="O463:O464"/>
    <mergeCell ref="W466:W467"/>
    <mergeCell ref="X466:X467"/>
    <mergeCell ref="A468:A472"/>
    <mergeCell ref="B468:B472"/>
    <mergeCell ref="C468:C472"/>
    <mergeCell ref="D468:D472"/>
    <mergeCell ref="E468:E472"/>
    <mergeCell ref="F468:F472"/>
    <mergeCell ref="G468:G472"/>
    <mergeCell ref="J468:J469"/>
    <mergeCell ref="Q466:Q467"/>
    <mergeCell ref="R466:R467"/>
    <mergeCell ref="S466:S467"/>
    <mergeCell ref="T466:T467"/>
    <mergeCell ref="U466:U467"/>
    <mergeCell ref="V466:V467"/>
    <mergeCell ref="X471:X472"/>
    <mergeCell ref="R471:R472"/>
    <mergeCell ref="S471:S472"/>
    <mergeCell ref="T471:T472"/>
    <mergeCell ref="U471:U472"/>
    <mergeCell ref="V471:V472"/>
    <mergeCell ref="W471:W472"/>
    <mergeCell ref="W468:W469"/>
    <mergeCell ref="X468:X469"/>
    <mergeCell ref="J471:J472"/>
    <mergeCell ref="K471:K472"/>
    <mergeCell ref="L471:L472"/>
    <mergeCell ref="M471:M472"/>
    <mergeCell ref="N471:N472"/>
    <mergeCell ref="O471:O472"/>
    <mergeCell ref="P471:P472"/>
    <mergeCell ref="Q471:Q472"/>
    <mergeCell ref="Q468:Q469"/>
    <mergeCell ref="R468:R469"/>
    <mergeCell ref="S468:S469"/>
    <mergeCell ref="T468:T469"/>
    <mergeCell ref="U468:U469"/>
    <mergeCell ref="V468:V469"/>
    <mergeCell ref="K468:K469"/>
    <mergeCell ref="L468:L469"/>
    <mergeCell ref="M468:M469"/>
    <mergeCell ref="N468:N469"/>
    <mergeCell ref="O468:O469"/>
    <mergeCell ref="P468:P469"/>
    <mergeCell ref="X473:X474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R473:R474"/>
    <mergeCell ref="S473:S474"/>
    <mergeCell ref="T473:T474"/>
    <mergeCell ref="U473:U474"/>
    <mergeCell ref="V473:V474"/>
    <mergeCell ref="W473:W474"/>
    <mergeCell ref="L473:L474"/>
    <mergeCell ref="M473:M474"/>
    <mergeCell ref="N473:N474"/>
    <mergeCell ref="O473:O474"/>
    <mergeCell ref="P473:P474"/>
    <mergeCell ref="Q473:Q474"/>
    <mergeCell ref="J473:J474"/>
    <mergeCell ref="K473:K474"/>
    <mergeCell ref="X476:X477"/>
    <mergeCell ref="G478:G482"/>
    <mergeCell ref="J478:J479"/>
    <mergeCell ref="K478:K479"/>
    <mergeCell ref="L478:L479"/>
    <mergeCell ref="M478:M479"/>
    <mergeCell ref="N478:N479"/>
    <mergeCell ref="A478:A482"/>
    <mergeCell ref="B478:B482"/>
    <mergeCell ref="C478:C482"/>
    <mergeCell ref="D478:D482"/>
    <mergeCell ref="E478:E482"/>
    <mergeCell ref="F478:F482"/>
    <mergeCell ref="S476:S477"/>
    <mergeCell ref="T476:T477"/>
    <mergeCell ref="U476:U477"/>
    <mergeCell ref="V476:V477"/>
    <mergeCell ref="W476:W477"/>
    <mergeCell ref="V481:V482"/>
    <mergeCell ref="W481:W482"/>
    <mergeCell ref="A473:A477"/>
    <mergeCell ref="B473:B477"/>
    <mergeCell ref="C473:C477"/>
    <mergeCell ref="D473:D477"/>
    <mergeCell ref="E473:E477"/>
    <mergeCell ref="F473:F477"/>
    <mergeCell ref="G473:G477"/>
    <mergeCell ref="X481:X482"/>
    <mergeCell ref="A483:A487"/>
    <mergeCell ref="B483:B487"/>
    <mergeCell ref="C483:C487"/>
    <mergeCell ref="D483:D487"/>
    <mergeCell ref="E483:E487"/>
    <mergeCell ref="F483:F487"/>
    <mergeCell ref="G483:G487"/>
    <mergeCell ref="P481:P482"/>
    <mergeCell ref="Q481:Q482"/>
    <mergeCell ref="R481:R482"/>
    <mergeCell ref="S481:S482"/>
    <mergeCell ref="T481:T482"/>
    <mergeCell ref="U481:U482"/>
    <mergeCell ref="U478:U479"/>
    <mergeCell ref="V478:V479"/>
    <mergeCell ref="W478:W479"/>
    <mergeCell ref="X478:X479"/>
    <mergeCell ref="J481:J482"/>
    <mergeCell ref="K481:K482"/>
    <mergeCell ref="L481:L482"/>
    <mergeCell ref="M481:M482"/>
    <mergeCell ref="N481:N482"/>
    <mergeCell ref="O481:O482"/>
    <mergeCell ref="O478:O479"/>
    <mergeCell ref="P478:P479"/>
    <mergeCell ref="Q478:Q479"/>
    <mergeCell ref="R478:R479"/>
    <mergeCell ref="S478:S479"/>
    <mergeCell ref="T478:T479"/>
    <mergeCell ref="V483:V484"/>
    <mergeCell ref="W483:W484"/>
    <mergeCell ref="X483:X484"/>
    <mergeCell ref="J486:J487"/>
    <mergeCell ref="K486:K487"/>
    <mergeCell ref="L486:L487"/>
    <mergeCell ref="M486:M487"/>
    <mergeCell ref="N486:N487"/>
    <mergeCell ref="O486:O487"/>
    <mergeCell ref="P486:P487"/>
    <mergeCell ref="P483:P484"/>
    <mergeCell ref="Q483:Q484"/>
    <mergeCell ref="R483:R484"/>
    <mergeCell ref="S483:S484"/>
    <mergeCell ref="T483:T484"/>
    <mergeCell ref="U483:U484"/>
    <mergeCell ref="J483:J484"/>
    <mergeCell ref="K483:K484"/>
    <mergeCell ref="L483:L484"/>
    <mergeCell ref="M483:M484"/>
    <mergeCell ref="N483:N484"/>
    <mergeCell ref="O483:O484"/>
    <mergeCell ref="W486:W487"/>
    <mergeCell ref="X486:X487"/>
    <mergeCell ref="A488:A492"/>
    <mergeCell ref="B488:B492"/>
    <mergeCell ref="C488:C492"/>
    <mergeCell ref="D488:D492"/>
    <mergeCell ref="E488:E492"/>
    <mergeCell ref="F488:F492"/>
    <mergeCell ref="G488:G492"/>
    <mergeCell ref="J488:J489"/>
    <mergeCell ref="Q486:Q487"/>
    <mergeCell ref="R486:R487"/>
    <mergeCell ref="S486:S487"/>
    <mergeCell ref="T486:T487"/>
    <mergeCell ref="U486:U487"/>
    <mergeCell ref="V486:V487"/>
    <mergeCell ref="X491:X492"/>
    <mergeCell ref="R491:R492"/>
    <mergeCell ref="S491:S492"/>
    <mergeCell ref="T491:T492"/>
    <mergeCell ref="U491:U492"/>
    <mergeCell ref="V491:V492"/>
    <mergeCell ref="W491:W492"/>
    <mergeCell ref="W488:W489"/>
    <mergeCell ref="X488:X489"/>
    <mergeCell ref="J491:J492"/>
    <mergeCell ref="K491:K492"/>
    <mergeCell ref="L491:L492"/>
    <mergeCell ref="M491:M492"/>
    <mergeCell ref="N491:N492"/>
    <mergeCell ref="O491:O492"/>
    <mergeCell ref="P491:P492"/>
    <mergeCell ref="Q491:Q492"/>
    <mergeCell ref="Q488:Q489"/>
    <mergeCell ref="R488:R489"/>
    <mergeCell ref="S488:S489"/>
    <mergeCell ref="T488:T489"/>
    <mergeCell ref="U488:U489"/>
    <mergeCell ref="V488:V489"/>
    <mergeCell ref="K488:K489"/>
    <mergeCell ref="L488:L489"/>
    <mergeCell ref="M488:M489"/>
    <mergeCell ref="N488:N489"/>
    <mergeCell ref="O488:O489"/>
    <mergeCell ref="P488:P489"/>
    <mergeCell ref="X493:X494"/>
    <mergeCell ref="J496:J497"/>
    <mergeCell ref="K496:K497"/>
    <mergeCell ref="L496:L497"/>
    <mergeCell ref="M496:M497"/>
    <mergeCell ref="N496:N497"/>
    <mergeCell ref="O496:O497"/>
    <mergeCell ref="P496:P497"/>
    <mergeCell ref="Q496:Q497"/>
    <mergeCell ref="R496:R497"/>
    <mergeCell ref="R493:R494"/>
    <mergeCell ref="S493:S494"/>
    <mergeCell ref="T493:T494"/>
    <mergeCell ref="U493:U494"/>
    <mergeCell ref="V493:V494"/>
    <mergeCell ref="W493:W494"/>
    <mergeCell ref="L493:L494"/>
    <mergeCell ref="M493:M494"/>
    <mergeCell ref="N493:N494"/>
    <mergeCell ref="O493:O494"/>
    <mergeCell ref="P493:P494"/>
    <mergeCell ref="Q493:Q494"/>
    <mergeCell ref="J493:J494"/>
    <mergeCell ref="K493:K494"/>
    <mergeCell ref="X496:X497"/>
    <mergeCell ref="G498:G502"/>
    <mergeCell ref="J498:J499"/>
    <mergeCell ref="K498:K499"/>
    <mergeCell ref="L498:L499"/>
    <mergeCell ref="M498:M499"/>
    <mergeCell ref="N498:N499"/>
    <mergeCell ref="A498:A502"/>
    <mergeCell ref="B498:B502"/>
    <mergeCell ref="C498:C502"/>
    <mergeCell ref="D498:D502"/>
    <mergeCell ref="E498:E502"/>
    <mergeCell ref="F498:F502"/>
    <mergeCell ref="S496:S497"/>
    <mergeCell ref="T496:T497"/>
    <mergeCell ref="U496:U497"/>
    <mergeCell ref="V496:V497"/>
    <mergeCell ref="W496:W497"/>
    <mergeCell ref="V501:V502"/>
    <mergeCell ref="W501:W502"/>
    <mergeCell ref="A493:A497"/>
    <mergeCell ref="B493:B497"/>
    <mergeCell ref="C493:C497"/>
    <mergeCell ref="D493:D497"/>
    <mergeCell ref="E493:E497"/>
    <mergeCell ref="F493:F497"/>
    <mergeCell ref="G493:G497"/>
    <mergeCell ref="X501:X502"/>
    <mergeCell ref="A503:A507"/>
    <mergeCell ref="B503:B507"/>
    <mergeCell ref="C503:C507"/>
    <mergeCell ref="D503:D507"/>
    <mergeCell ref="E503:E507"/>
    <mergeCell ref="F503:F507"/>
    <mergeCell ref="G503:G507"/>
    <mergeCell ref="P501:P502"/>
    <mergeCell ref="Q501:Q502"/>
    <mergeCell ref="R501:R502"/>
    <mergeCell ref="S501:S502"/>
    <mergeCell ref="T501:T502"/>
    <mergeCell ref="U501:U502"/>
    <mergeCell ref="U498:U499"/>
    <mergeCell ref="V498:V499"/>
    <mergeCell ref="W498:W499"/>
    <mergeCell ref="X498:X499"/>
    <mergeCell ref="J501:J502"/>
    <mergeCell ref="K501:K502"/>
    <mergeCell ref="L501:L502"/>
    <mergeCell ref="M501:M502"/>
    <mergeCell ref="N501:N502"/>
    <mergeCell ref="O501:O502"/>
    <mergeCell ref="O498:O499"/>
    <mergeCell ref="P498:P499"/>
    <mergeCell ref="Q498:Q499"/>
    <mergeCell ref="R498:R499"/>
    <mergeCell ref="S498:S499"/>
    <mergeCell ref="T498:T499"/>
    <mergeCell ref="V503:V504"/>
    <mergeCell ref="W503:W504"/>
    <mergeCell ref="X503:X504"/>
    <mergeCell ref="J506:J507"/>
    <mergeCell ref="K506:K507"/>
    <mergeCell ref="L506:L507"/>
    <mergeCell ref="M506:M507"/>
    <mergeCell ref="N506:N507"/>
    <mergeCell ref="O506:O507"/>
    <mergeCell ref="P506:P507"/>
    <mergeCell ref="P503:P504"/>
    <mergeCell ref="Q503:Q504"/>
    <mergeCell ref="R503:R504"/>
    <mergeCell ref="S503:S504"/>
    <mergeCell ref="T503:T504"/>
    <mergeCell ref="U503:U504"/>
    <mergeCell ref="J503:J504"/>
    <mergeCell ref="K503:K504"/>
    <mergeCell ref="L503:L504"/>
    <mergeCell ref="M503:M504"/>
    <mergeCell ref="N503:N504"/>
    <mergeCell ref="O503:O504"/>
    <mergeCell ref="W506:W507"/>
    <mergeCell ref="X506:X507"/>
    <mergeCell ref="A508:A512"/>
    <mergeCell ref="B508:B512"/>
    <mergeCell ref="C508:C512"/>
    <mergeCell ref="D508:D512"/>
    <mergeCell ref="E508:E512"/>
    <mergeCell ref="F508:F512"/>
    <mergeCell ref="G508:G512"/>
    <mergeCell ref="J508:J509"/>
    <mergeCell ref="Q506:Q507"/>
    <mergeCell ref="R506:R507"/>
    <mergeCell ref="S506:S507"/>
    <mergeCell ref="T506:T507"/>
    <mergeCell ref="U506:U507"/>
    <mergeCell ref="V506:V507"/>
    <mergeCell ref="X511:X512"/>
    <mergeCell ref="R511:R512"/>
    <mergeCell ref="S511:S512"/>
    <mergeCell ref="T511:T512"/>
    <mergeCell ref="U511:U512"/>
    <mergeCell ref="V511:V512"/>
    <mergeCell ref="W511:W512"/>
    <mergeCell ref="W508:W509"/>
    <mergeCell ref="X508:X509"/>
    <mergeCell ref="J511:J512"/>
    <mergeCell ref="K511:K512"/>
    <mergeCell ref="L511:L512"/>
    <mergeCell ref="M511:M512"/>
    <mergeCell ref="N511:N512"/>
    <mergeCell ref="O511:O512"/>
    <mergeCell ref="P511:P512"/>
    <mergeCell ref="Q511:Q512"/>
    <mergeCell ref="Q508:Q509"/>
    <mergeCell ref="R508:R509"/>
    <mergeCell ref="S508:S509"/>
    <mergeCell ref="T508:T509"/>
    <mergeCell ref="U508:U509"/>
    <mergeCell ref="V508:V509"/>
    <mergeCell ref="K508:K509"/>
    <mergeCell ref="L508:L509"/>
    <mergeCell ref="M508:M509"/>
    <mergeCell ref="N508:N509"/>
    <mergeCell ref="O508:O509"/>
    <mergeCell ref="P508:P509"/>
    <mergeCell ref="X513:X514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R513:R514"/>
    <mergeCell ref="S513:S514"/>
    <mergeCell ref="T513:T514"/>
    <mergeCell ref="U513:U514"/>
    <mergeCell ref="V513:V514"/>
    <mergeCell ref="W513:W514"/>
    <mergeCell ref="L513:L514"/>
    <mergeCell ref="M513:M514"/>
    <mergeCell ref="N513:N514"/>
    <mergeCell ref="O513:O514"/>
    <mergeCell ref="P513:P514"/>
    <mergeCell ref="Q513:Q514"/>
    <mergeCell ref="J513:J514"/>
    <mergeCell ref="K513:K514"/>
    <mergeCell ref="X516:X517"/>
    <mergeCell ref="G518:G522"/>
    <mergeCell ref="J518:J519"/>
    <mergeCell ref="K518:K519"/>
    <mergeCell ref="L518:L519"/>
    <mergeCell ref="M518:M519"/>
    <mergeCell ref="N518:N519"/>
    <mergeCell ref="A518:A522"/>
    <mergeCell ref="B518:B522"/>
    <mergeCell ref="C518:C522"/>
    <mergeCell ref="D518:D522"/>
    <mergeCell ref="E518:E522"/>
    <mergeCell ref="F518:F522"/>
    <mergeCell ref="S516:S517"/>
    <mergeCell ref="T516:T517"/>
    <mergeCell ref="U516:U517"/>
    <mergeCell ref="V516:V517"/>
    <mergeCell ref="W516:W517"/>
    <mergeCell ref="V521:V522"/>
    <mergeCell ref="W521:W522"/>
    <mergeCell ref="A513:A517"/>
    <mergeCell ref="B513:B517"/>
    <mergeCell ref="C513:C517"/>
    <mergeCell ref="D513:D517"/>
    <mergeCell ref="E513:E517"/>
    <mergeCell ref="F513:F517"/>
    <mergeCell ref="G513:G517"/>
    <mergeCell ref="X521:X522"/>
    <mergeCell ref="A523:A527"/>
    <mergeCell ref="B523:B527"/>
    <mergeCell ref="C523:C527"/>
    <mergeCell ref="D523:D527"/>
    <mergeCell ref="E523:E527"/>
    <mergeCell ref="F523:F527"/>
    <mergeCell ref="G523:G527"/>
    <mergeCell ref="P521:P522"/>
    <mergeCell ref="Q521:Q522"/>
    <mergeCell ref="R521:R522"/>
    <mergeCell ref="S521:S522"/>
    <mergeCell ref="T521:T522"/>
    <mergeCell ref="U521:U522"/>
    <mergeCell ref="U518:U519"/>
    <mergeCell ref="V518:V519"/>
    <mergeCell ref="W518:W519"/>
    <mergeCell ref="X518:X519"/>
    <mergeCell ref="J521:J522"/>
    <mergeCell ref="K521:K522"/>
    <mergeCell ref="L521:L522"/>
    <mergeCell ref="M521:M522"/>
    <mergeCell ref="N521:N522"/>
    <mergeCell ref="O521:O522"/>
    <mergeCell ref="O518:O519"/>
    <mergeCell ref="P518:P519"/>
    <mergeCell ref="Q518:Q519"/>
    <mergeCell ref="R518:R519"/>
    <mergeCell ref="S518:S519"/>
    <mergeCell ref="T518:T519"/>
    <mergeCell ref="V523:V524"/>
    <mergeCell ref="W523:W524"/>
    <mergeCell ref="X523:X524"/>
    <mergeCell ref="J526:J527"/>
    <mergeCell ref="K526:K527"/>
    <mergeCell ref="L526:L527"/>
    <mergeCell ref="M526:M527"/>
    <mergeCell ref="N526:N527"/>
    <mergeCell ref="O526:O527"/>
    <mergeCell ref="P526:P527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W526:W527"/>
    <mergeCell ref="X526:X527"/>
    <mergeCell ref="A528:A532"/>
    <mergeCell ref="B528:B532"/>
    <mergeCell ref="C528:C532"/>
    <mergeCell ref="D528:D532"/>
    <mergeCell ref="E528:E532"/>
    <mergeCell ref="F528:F532"/>
    <mergeCell ref="G528:G532"/>
    <mergeCell ref="J528:J529"/>
    <mergeCell ref="Q526:Q527"/>
    <mergeCell ref="R526:R527"/>
    <mergeCell ref="S526:S527"/>
    <mergeCell ref="T526:T527"/>
    <mergeCell ref="U526:U527"/>
    <mergeCell ref="V526:V527"/>
    <mergeCell ref="X531:X532"/>
    <mergeCell ref="R531:R532"/>
    <mergeCell ref="S531:S532"/>
    <mergeCell ref="T531:T532"/>
    <mergeCell ref="U531:U532"/>
    <mergeCell ref="V531:V532"/>
    <mergeCell ref="W531:W532"/>
    <mergeCell ref="W528:W529"/>
    <mergeCell ref="X528:X529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Q528:Q529"/>
    <mergeCell ref="R528:R529"/>
    <mergeCell ref="S528:S529"/>
    <mergeCell ref="T528:T529"/>
    <mergeCell ref="U528:U529"/>
    <mergeCell ref="V528:V529"/>
    <mergeCell ref="K528:K529"/>
    <mergeCell ref="L528:L529"/>
    <mergeCell ref="M528:M529"/>
    <mergeCell ref="N528:N529"/>
    <mergeCell ref="O528:O529"/>
    <mergeCell ref="P528:P529"/>
    <mergeCell ref="X533:X534"/>
    <mergeCell ref="J536:J537"/>
    <mergeCell ref="K536:K537"/>
    <mergeCell ref="L536:L537"/>
    <mergeCell ref="M536:M537"/>
    <mergeCell ref="N536:N537"/>
    <mergeCell ref="O536:O537"/>
    <mergeCell ref="P536:P537"/>
    <mergeCell ref="Q536:Q537"/>
    <mergeCell ref="R536:R537"/>
    <mergeCell ref="R533:R534"/>
    <mergeCell ref="S533:S534"/>
    <mergeCell ref="T533:T534"/>
    <mergeCell ref="U533:U534"/>
    <mergeCell ref="V533:V534"/>
    <mergeCell ref="W533:W534"/>
    <mergeCell ref="L533:L534"/>
    <mergeCell ref="M533:M534"/>
    <mergeCell ref="N533:N534"/>
    <mergeCell ref="O533:O534"/>
    <mergeCell ref="P533:P534"/>
    <mergeCell ref="Q533:Q534"/>
    <mergeCell ref="J533:J534"/>
    <mergeCell ref="K533:K534"/>
    <mergeCell ref="X536:X537"/>
    <mergeCell ref="G538:G542"/>
    <mergeCell ref="J538:J539"/>
    <mergeCell ref="K538:K539"/>
    <mergeCell ref="L538:L539"/>
    <mergeCell ref="M538:M539"/>
    <mergeCell ref="N538:N539"/>
    <mergeCell ref="A538:A542"/>
    <mergeCell ref="B538:B542"/>
    <mergeCell ref="C538:C542"/>
    <mergeCell ref="D538:D542"/>
    <mergeCell ref="E538:E542"/>
    <mergeCell ref="F538:F542"/>
    <mergeCell ref="S536:S537"/>
    <mergeCell ref="T536:T537"/>
    <mergeCell ref="U536:U537"/>
    <mergeCell ref="V536:V537"/>
    <mergeCell ref="W536:W537"/>
    <mergeCell ref="V541:V542"/>
    <mergeCell ref="W541:W542"/>
    <mergeCell ref="A533:A537"/>
    <mergeCell ref="B533:B537"/>
    <mergeCell ref="C533:C537"/>
    <mergeCell ref="D533:D537"/>
    <mergeCell ref="E533:E537"/>
    <mergeCell ref="F533:F537"/>
    <mergeCell ref="G533:G537"/>
    <mergeCell ref="X541:X542"/>
    <mergeCell ref="A543:G547"/>
    <mergeCell ref="J543:J544"/>
    <mergeCell ref="K543:K544"/>
    <mergeCell ref="L543:L544"/>
    <mergeCell ref="M543:M544"/>
    <mergeCell ref="N543:N544"/>
    <mergeCell ref="O543:O544"/>
    <mergeCell ref="P541:P542"/>
    <mergeCell ref="Q541:Q542"/>
    <mergeCell ref="R541:R542"/>
    <mergeCell ref="S541:S542"/>
    <mergeCell ref="T541:T542"/>
    <mergeCell ref="U541:U542"/>
    <mergeCell ref="U538:U539"/>
    <mergeCell ref="V538:V539"/>
    <mergeCell ref="W538:W539"/>
    <mergeCell ref="X538:X539"/>
    <mergeCell ref="J541:J542"/>
    <mergeCell ref="K541:K542"/>
    <mergeCell ref="L541:L542"/>
    <mergeCell ref="M541:M542"/>
    <mergeCell ref="N541:N542"/>
    <mergeCell ref="O541:O542"/>
    <mergeCell ref="O538:O539"/>
    <mergeCell ref="P538:P539"/>
    <mergeCell ref="Q538:Q539"/>
    <mergeCell ref="R538:R539"/>
    <mergeCell ref="S538:S539"/>
    <mergeCell ref="T538:T539"/>
    <mergeCell ref="W546:W547"/>
    <mergeCell ref="X546:X547"/>
    <mergeCell ref="A548:G552"/>
    <mergeCell ref="J548:J549"/>
    <mergeCell ref="K548:K549"/>
    <mergeCell ref="L548:L549"/>
    <mergeCell ref="M548:M549"/>
    <mergeCell ref="N548:N549"/>
    <mergeCell ref="O548:O549"/>
    <mergeCell ref="P548:P549"/>
    <mergeCell ref="Q546:Q547"/>
    <mergeCell ref="R546:R547"/>
    <mergeCell ref="S546:S547"/>
    <mergeCell ref="T546:T547"/>
    <mergeCell ref="U546:U547"/>
    <mergeCell ref="V546:V547"/>
    <mergeCell ref="V543:V544"/>
    <mergeCell ref="W543:W544"/>
    <mergeCell ref="X543:X544"/>
    <mergeCell ref="J546:J547"/>
    <mergeCell ref="K546:K547"/>
    <mergeCell ref="L546:L547"/>
    <mergeCell ref="M546:M547"/>
    <mergeCell ref="N546:N547"/>
    <mergeCell ref="O546:O547"/>
    <mergeCell ref="P546:P547"/>
    <mergeCell ref="P543:P544"/>
    <mergeCell ref="Q543:Q544"/>
    <mergeCell ref="R543:R544"/>
    <mergeCell ref="S543:S544"/>
    <mergeCell ref="T543:T544"/>
    <mergeCell ref="U543:U544"/>
    <mergeCell ref="X551:X552"/>
    <mergeCell ref="R551:R552"/>
    <mergeCell ref="S551:S552"/>
    <mergeCell ref="T551:T552"/>
    <mergeCell ref="U551:U552"/>
    <mergeCell ref="V551:V552"/>
    <mergeCell ref="W551:W552"/>
    <mergeCell ref="W548:W549"/>
    <mergeCell ref="X548:X549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Q548:Q549"/>
    <mergeCell ref="R548:R549"/>
    <mergeCell ref="S548:S549"/>
    <mergeCell ref="T548:T549"/>
    <mergeCell ref="U548:U549"/>
    <mergeCell ref="V548:V549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Width="0" fitToHeight="0" orientation="landscape" r:id="rId1"/>
  <headerFooter alignWithMargins="0"/>
  <rowBreaks count="1" manualBreakCount="1">
    <brk id="166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22"/>
  <sheetViews>
    <sheetView view="pageBreakPreview" zoomScaleSheetLayoutView="100" workbookViewId="0">
      <selection activeCell="A6" sqref="A6:W6"/>
    </sheetView>
  </sheetViews>
  <sheetFormatPr defaultColWidth="9" defaultRowHeight="15"/>
  <cols>
    <col min="1" max="1" width="5.375" style="442" customWidth="1"/>
    <col min="2" max="2" width="13.125" style="442" customWidth="1"/>
    <col min="3" max="3" width="43.875" style="442" customWidth="1"/>
    <col min="4" max="4" width="11.25" style="442" customWidth="1"/>
    <col min="5" max="5" width="10.375" style="442" customWidth="1"/>
    <col min="6" max="6" width="11" style="442" customWidth="1"/>
    <col min="7" max="8" width="12.125" style="442" customWidth="1"/>
    <col min="9" max="9" width="3.125" style="442" customWidth="1"/>
    <col min="10" max="10" width="12.875" style="442" customWidth="1"/>
    <col min="11" max="12" width="12.125" style="442" customWidth="1"/>
    <col min="13" max="13" width="11.375" style="442" customWidth="1"/>
    <col min="14" max="15" width="11.875" style="442" customWidth="1"/>
    <col min="16" max="16" width="11.75" style="442" customWidth="1"/>
    <col min="17" max="17" width="11.375" style="442" customWidth="1"/>
    <col min="18" max="18" width="11.875" style="442" customWidth="1"/>
    <col min="19" max="19" width="11.375" style="442" customWidth="1"/>
    <col min="20" max="20" width="10.375" style="442" customWidth="1"/>
    <col min="21" max="21" width="12.875" style="442" customWidth="1"/>
    <col min="22" max="22" width="11.75" style="442" customWidth="1"/>
    <col min="23" max="23" width="11" style="442" customWidth="1"/>
    <col min="24" max="16384" width="9" style="442"/>
  </cols>
  <sheetData>
    <row r="1" spans="1:256" s="400" customFormat="1" ht="15.75">
      <c r="A1" s="399" t="s">
        <v>458</v>
      </c>
      <c r="T1" s="924" t="s">
        <v>931</v>
      </c>
      <c r="U1" s="924"/>
      <c r="V1" s="924"/>
    </row>
    <row r="2" spans="1:256" s="400" customFormat="1" ht="15.75">
      <c r="A2" s="399"/>
      <c r="T2" s="924" t="s">
        <v>878</v>
      </c>
      <c r="U2" s="924"/>
      <c r="V2" s="924"/>
    </row>
    <row r="3" spans="1:256" s="400" customFormat="1" ht="15.75">
      <c r="A3" s="399"/>
      <c r="T3" s="924" t="s">
        <v>375</v>
      </c>
      <c r="U3" s="924"/>
      <c r="V3" s="924"/>
    </row>
    <row r="4" spans="1:256" s="400" customFormat="1" ht="10.5" customHeight="1">
      <c r="A4" s="399"/>
    </row>
    <row r="5" spans="1:256" s="400" customFormat="1" ht="10.5" customHeight="1">
      <c r="A5" s="399"/>
    </row>
    <row r="6" spans="1:256" s="400" customFormat="1" ht="43.5" customHeight="1">
      <c r="A6" s="925" t="s">
        <v>879</v>
      </c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925"/>
      <c r="T6" s="925"/>
      <c r="U6" s="925"/>
      <c r="V6" s="925"/>
      <c r="W6" s="925"/>
      <c r="X6" s="435"/>
    </row>
    <row r="7" spans="1:256" s="400" customFormat="1" ht="6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7"/>
    </row>
    <row r="8" spans="1:256" s="408" customFormat="1" ht="12.75" customHeight="1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3"/>
      <c r="W8" s="404" t="s">
        <v>0</v>
      </c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03"/>
      <c r="CP8" s="403"/>
      <c r="CQ8" s="403"/>
      <c r="CR8" s="403"/>
      <c r="CS8" s="403"/>
      <c r="CT8" s="403"/>
      <c r="CU8" s="403"/>
      <c r="CV8" s="403"/>
      <c r="CW8" s="403"/>
      <c r="CX8" s="403"/>
      <c r="CY8" s="403"/>
      <c r="CZ8" s="403"/>
      <c r="DA8" s="403"/>
      <c r="DB8" s="403"/>
      <c r="DC8" s="403"/>
      <c r="DD8" s="403"/>
      <c r="DE8" s="403"/>
      <c r="DF8" s="403"/>
      <c r="DG8" s="403"/>
      <c r="DH8" s="403"/>
      <c r="DI8" s="403"/>
      <c r="DJ8" s="403"/>
      <c r="DK8" s="403"/>
      <c r="DL8" s="403"/>
      <c r="DM8" s="403"/>
      <c r="DN8" s="403"/>
      <c r="DO8" s="403"/>
      <c r="DP8" s="403"/>
      <c r="DQ8" s="403"/>
      <c r="DR8" s="403"/>
      <c r="DS8" s="403"/>
      <c r="DT8" s="403"/>
      <c r="DU8" s="403"/>
      <c r="DV8" s="403"/>
      <c r="DW8" s="403"/>
      <c r="DX8" s="403"/>
      <c r="DY8" s="403"/>
      <c r="DZ8" s="403"/>
      <c r="EA8" s="403"/>
      <c r="EB8" s="403"/>
      <c r="EC8" s="403"/>
      <c r="ED8" s="403"/>
      <c r="EE8" s="403"/>
      <c r="EF8" s="403"/>
      <c r="EG8" s="403"/>
      <c r="EH8" s="403"/>
      <c r="EI8" s="403"/>
      <c r="EJ8" s="403"/>
      <c r="EK8" s="403"/>
      <c r="EL8" s="403"/>
      <c r="EM8" s="403"/>
      <c r="EN8" s="403"/>
      <c r="EO8" s="403"/>
      <c r="EP8" s="403"/>
      <c r="EQ8" s="403"/>
      <c r="ER8" s="403"/>
      <c r="ES8" s="403"/>
      <c r="ET8" s="403"/>
      <c r="EU8" s="403"/>
      <c r="EV8" s="403"/>
      <c r="EW8" s="403"/>
      <c r="EX8" s="403"/>
      <c r="EY8" s="403"/>
      <c r="EZ8" s="403"/>
      <c r="FA8" s="403"/>
      <c r="FB8" s="403"/>
      <c r="FC8" s="403"/>
      <c r="FD8" s="403"/>
      <c r="FE8" s="403"/>
      <c r="FF8" s="403"/>
      <c r="FG8" s="403"/>
      <c r="FH8" s="403"/>
      <c r="FI8" s="403"/>
      <c r="FJ8" s="403"/>
      <c r="FK8" s="403"/>
      <c r="FL8" s="403"/>
      <c r="FM8" s="403"/>
      <c r="FN8" s="403"/>
      <c r="FO8" s="403"/>
      <c r="FP8" s="403"/>
      <c r="FQ8" s="403"/>
      <c r="FR8" s="403"/>
      <c r="FS8" s="403"/>
      <c r="FT8" s="403"/>
      <c r="FU8" s="403"/>
      <c r="FV8" s="403"/>
      <c r="FW8" s="403"/>
      <c r="FX8" s="403"/>
      <c r="FY8" s="403"/>
      <c r="FZ8" s="403"/>
      <c r="GA8" s="403"/>
      <c r="GB8" s="403"/>
      <c r="GC8" s="403"/>
      <c r="GD8" s="403"/>
      <c r="GE8" s="403"/>
      <c r="GF8" s="403"/>
      <c r="GG8" s="403"/>
      <c r="GH8" s="403"/>
      <c r="GI8" s="403"/>
      <c r="GJ8" s="403"/>
      <c r="GK8" s="403"/>
      <c r="GL8" s="403"/>
      <c r="GM8" s="403"/>
      <c r="GN8" s="403"/>
      <c r="GO8" s="403"/>
      <c r="GP8" s="403"/>
      <c r="GQ8" s="403"/>
      <c r="GR8" s="403"/>
      <c r="GS8" s="403"/>
      <c r="GT8" s="403"/>
      <c r="GU8" s="403"/>
      <c r="GV8" s="403"/>
      <c r="GW8" s="403"/>
      <c r="GX8" s="403"/>
      <c r="GY8" s="403"/>
      <c r="GZ8" s="403"/>
      <c r="HA8" s="403"/>
      <c r="HB8" s="403"/>
      <c r="HC8" s="403"/>
      <c r="HD8" s="403"/>
      <c r="HE8" s="403"/>
      <c r="HF8" s="403"/>
      <c r="HG8" s="403"/>
      <c r="HH8" s="403"/>
      <c r="HI8" s="403"/>
      <c r="HJ8" s="403"/>
      <c r="HK8" s="403"/>
      <c r="HL8" s="403"/>
      <c r="HM8" s="403"/>
      <c r="HN8" s="403"/>
      <c r="HO8" s="403"/>
      <c r="HP8" s="403"/>
      <c r="HQ8" s="403"/>
      <c r="HR8" s="403"/>
      <c r="HS8" s="403"/>
      <c r="HT8" s="403"/>
      <c r="HU8" s="403"/>
      <c r="HV8" s="403"/>
      <c r="HW8" s="403"/>
      <c r="HX8" s="403"/>
      <c r="HY8" s="403"/>
      <c r="HZ8" s="403"/>
      <c r="IA8" s="403"/>
      <c r="IB8" s="403"/>
      <c r="IC8" s="403"/>
      <c r="ID8" s="403"/>
      <c r="IE8" s="403"/>
      <c r="IF8" s="403"/>
      <c r="IG8" s="403"/>
      <c r="IH8" s="403"/>
      <c r="II8" s="403"/>
      <c r="IJ8" s="403"/>
      <c r="IK8" s="403"/>
      <c r="IL8" s="403"/>
      <c r="IM8" s="403"/>
      <c r="IN8" s="403"/>
      <c r="IO8" s="403"/>
      <c r="IP8" s="403"/>
      <c r="IQ8" s="403"/>
      <c r="IR8" s="403"/>
      <c r="IS8" s="403"/>
      <c r="IT8" s="403"/>
      <c r="IU8" s="403"/>
      <c r="IV8" s="403"/>
    </row>
    <row r="9" spans="1:256" s="408" customFormat="1" ht="22.5" customHeight="1">
      <c r="A9" s="887" t="s">
        <v>589</v>
      </c>
      <c r="B9" s="890" t="s">
        <v>880</v>
      </c>
      <c r="C9" s="893" t="s">
        <v>881</v>
      </c>
      <c r="D9" s="893" t="s">
        <v>593</v>
      </c>
      <c r="E9" s="890" t="s">
        <v>594</v>
      </c>
      <c r="F9" s="893" t="s">
        <v>214</v>
      </c>
      <c r="G9" s="896" t="s">
        <v>882</v>
      </c>
      <c r="H9" s="896" t="s">
        <v>883</v>
      </c>
      <c r="I9" s="893" t="s">
        <v>3</v>
      </c>
      <c r="J9" s="815" t="s">
        <v>597</v>
      </c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  <c r="DQ9" s="403"/>
      <c r="DR9" s="403"/>
      <c r="DS9" s="403"/>
      <c r="DT9" s="403"/>
      <c r="DU9" s="403"/>
      <c r="DV9" s="403"/>
      <c r="DW9" s="403"/>
      <c r="DX9" s="403"/>
      <c r="DY9" s="403"/>
      <c r="DZ9" s="403"/>
      <c r="EA9" s="403"/>
      <c r="EB9" s="403"/>
      <c r="EC9" s="403"/>
      <c r="ED9" s="403"/>
      <c r="EE9" s="403"/>
      <c r="EF9" s="403"/>
      <c r="EG9" s="403"/>
      <c r="EH9" s="403"/>
      <c r="EI9" s="403"/>
      <c r="EJ9" s="403"/>
      <c r="EK9" s="403"/>
      <c r="EL9" s="403"/>
      <c r="EM9" s="403"/>
      <c r="EN9" s="403"/>
      <c r="EO9" s="403"/>
      <c r="EP9" s="403"/>
      <c r="EQ9" s="403"/>
      <c r="ER9" s="403"/>
      <c r="ES9" s="403"/>
      <c r="ET9" s="403"/>
      <c r="EU9" s="403"/>
      <c r="EV9" s="403"/>
      <c r="EW9" s="403"/>
      <c r="EX9" s="403"/>
      <c r="EY9" s="403"/>
      <c r="EZ9" s="403"/>
      <c r="FA9" s="403"/>
      <c r="FB9" s="403"/>
      <c r="FC9" s="403"/>
      <c r="FD9" s="403"/>
      <c r="FE9" s="403"/>
      <c r="FF9" s="403"/>
      <c r="FG9" s="403"/>
      <c r="FH9" s="403"/>
      <c r="FI9" s="403"/>
      <c r="FJ9" s="403"/>
      <c r="FK9" s="403"/>
      <c r="FL9" s="403"/>
      <c r="FM9" s="403"/>
      <c r="FN9" s="403"/>
      <c r="FO9" s="403"/>
      <c r="FP9" s="403"/>
      <c r="FQ9" s="403"/>
      <c r="FR9" s="403"/>
      <c r="FS9" s="403"/>
      <c r="FT9" s="403"/>
      <c r="FU9" s="403"/>
      <c r="FV9" s="403"/>
      <c r="FW9" s="403"/>
      <c r="FX9" s="403"/>
      <c r="FY9" s="403"/>
      <c r="FZ9" s="403"/>
      <c r="GA9" s="403"/>
      <c r="GB9" s="403"/>
      <c r="GC9" s="403"/>
      <c r="GD9" s="403"/>
      <c r="GE9" s="403"/>
      <c r="GF9" s="403"/>
      <c r="GG9" s="403"/>
      <c r="GH9" s="403"/>
      <c r="GI9" s="403"/>
      <c r="GJ9" s="403"/>
      <c r="GK9" s="403"/>
      <c r="GL9" s="403"/>
      <c r="GM9" s="403"/>
      <c r="GN9" s="403"/>
      <c r="GO9" s="403"/>
      <c r="GP9" s="403"/>
      <c r="GQ9" s="403"/>
      <c r="GR9" s="403"/>
      <c r="GS9" s="403"/>
      <c r="GT9" s="403"/>
      <c r="GU9" s="403"/>
      <c r="GV9" s="403"/>
      <c r="GW9" s="403"/>
      <c r="GX9" s="403"/>
      <c r="GY9" s="403"/>
      <c r="GZ9" s="403"/>
      <c r="HA9" s="403"/>
      <c r="HB9" s="403"/>
      <c r="HC9" s="403"/>
      <c r="HD9" s="403"/>
      <c r="HE9" s="403"/>
      <c r="HF9" s="403"/>
      <c r="HG9" s="403"/>
      <c r="HH9" s="403"/>
      <c r="HI9" s="403"/>
      <c r="HJ9" s="403"/>
      <c r="HK9" s="403"/>
      <c r="HL9" s="403"/>
      <c r="HM9" s="403"/>
      <c r="HN9" s="403"/>
      <c r="HO9" s="403"/>
      <c r="HP9" s="403"/>
      <c r="HQ9" s="403"/>
      <c r="HR9" s="403"/>
      <c r="HS9" s="403"/>
      <c r="HT9" s="403"/>
      <c r="HU9" s="403"/>
      <c r="HV9" s="403"/>
      <c r="HW9" s="403"/>
      <c r="HX9" s="403"/>
      <c r="HY9" s="403"/>
      <c r="HZ9" s="403"/>
      <c r="IA9" s="403"/>
      <c r="IB9" s="403"/>
      <c r="IC9" s="403"/>
      <c r="ID9" s="403"/>
      <c r="IE9" s="403"/>
      <c r="IF9" s="403"/>
      <c r="IG9" s="403"/>
      <c r="IH9" s="403"/>
      <c r="II9" s="403"/>
      <c r="IJ9" s="403"/>
      <c r="IK9" s="403"/>
      <c r="IL9" s="403"/>
      <c r="IM9" s="403"/>
      <c r="IN9" s="403"/>
      <c r="IO9" s="403"/>
      <c r="IP9" s="403"/>
      <c r="IQ9" s="403"/>
      <c r="IR9" s="403"/>
      <c r="IS9" s="403"/>
      <c r="IT9" s="403"/>
      <c r="IU9" s="403"/>
      <c r="IV9" s="403"/>
    </row>
    <row r="10" spans="1:256" s="408" customFormat="1" ht="30.75" customHeight="1">
      <c r="A10" s="888"/>
      <c r="B10" s="891"/>
      <c r="C10" s="894"/>
      <c r="D10" s="894"/>
      <c r="E10" s="891"/>
      <c r="F10" s="894"/>
      <c r="G10" s="896"/>
      <c r="H10" s="896"/>
      <c r="I10" s="894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405"/>
      <c r="EP10" s="405"/>
      <c r="EQ10" s="405"/>
      <c r="ER10" s="405"/>
      <c r="ES10" s="405"/>
      <c r="ET10" s="405"/>
      <c r="EU10" s="405"/>
      <c r="EV10" s="405"/>
      <c r="EW10" s="405"/>
      <c r="EX10" s="405"/>
      <c r="EY10" s="405"/>
      <c r="EZ10" s="405"/>
      <c r="FA10" s="405"/>
      <c r="FB10" s="405"/>
      <c r="FC10" s="405"/>
      <c r="FD10" s="405"/>
      <c r="FE10" s="405"/>
      <c r="FF10" s="405"/>
      <c r="FG10" s="405"/>
      <c r="FH10" s="405"/>
      <c r="FI10" s="405"/>
      <c r="FJ10" s="405"/>
      <c r="FK10" s="405"/>
      <c r="FL10" s="405"/>
      <c r="FM10" s="405"/>
      <c r="FN10" s="405"/>
      <c r="FO10" s="405"/>
      <c r="FP10" s="405"/>
      <c r="FQ10" s="405"/>
      <c r="FR10" s="405"/>
      <c r="FS10" s="405"/>
      <c r="FT10" s="405"/>
      <c r="FU10" s="405"/>
      <c r="FV10" s="405"/>
      <c r="FW10" s="405"/>
      <c r="FX10" s="405"/>
      <c r="FY10" s="405"/>
      <c r="FZ10" s="405"/>
      <c r="GA10" s="405"/>
      <c r="GB10" s="405"/>
      <c r="GC10" s="405"/>
      <c r="GD10" s="405"/>
      <c r="GE10" s="405"/>
      <c r="GF10" s="405"/>
      <c r="GG10" s="405"/>
      <c r="GH10" s="405"/>
      <c r="GI10" s="405"/>
      <c r="GJ10" s="405"/>
      <c r="GK10" s="405"/>
      <c r="GL10" s="405"/>
      <c r="GM10" s="405"/>
      <c r="GN10" s="405"/>
      <c r="GO10" s="405"/>
      <c r="GP10" s="405"/>
      <c r="GQ10" s="405"/>
      <c r="GR10" s="405"/>
      <c r="GS10" s="405"/>
      <c r="GT10" s="405"/>
      <c r="GU10" s="405"/>
      <c r="GV10" s="405"/>
      <c r="GW10" s="405"/>
      <c r="GX10" s="405"/>
      <c r="GY10" s="405"/>
      <c r="GZ10" s="405"/>
      <c r="HA10" s="405"/>
      <c r="HB10" s="405"/>
      <c r="HC10" s="405"/>
      <c r="HD10" s="405"/>
      <c r="HE10" s="405"/>
      <c r="HF10" s="405"/>
      <c r="HG10" s="405"/>
      <c r="HH10" s="405"/>
      <c r="HI10" s="405"/>
      <c r="HJ10" s="405"/>
      <c r="HK10" s="405"/>
      <c r="HL10" s="405"/>
      <c r="HM10" s="405"/>
      <c r="HN10" s="405"/>
      <c r="HO10" s="405"/>
      <c r="HP10" s="405"/>
      <c r="HQ10" s="405"/>
      <c r="HR10" s="405"/>
      <c r="HS10" s="405"/>
      <c r="HT10" s="405"/>
      <c r="HU10" s="405"/>
      <c r="HV10" s="405"/>
      <c r="HW10" s="405"/>
      <c r="HX10" s="405"/>
      <c r="HY10" s="405"/>
      <c r="HZ10" s="405"/>
      <c r="IA10" s="405"/>
      <c r="IB10" s="405"/>
      <c r="IC10" s="405"/>
      <c r="ID10" s="405"/>
      <c r="IE10" s="405"/>
      <c r="IF10" s="405"/>
      <c r="IG10" s="405"/>
      <c r="IH10" s="405"/>
      <c r="II10" s="405"/>
      <c r="IJ10" s="405"/>
      <c r="IK10" s="405"/>
      <c r="IL10" s="405"/>
      <c r="IM10" s="405"/>
      <c r="IN10" s="405"/>
      <c r="IO10" s="405"/>
      <c r="IP10" s="405"/>
      <c r="IQ10" s="405"/>
      <c r="IR10" s="405"/>
      <c r="IS10" s="405"/>
      <c r="IT10" s="405"/>
      <c r="IU10" s="405"/>
      <c r="IV10" s="405"/>
    </row>
    <row r="11" spans="1:256" s="408" customFormat="1" ht="15.75" customHeight="1">
      <c r="A11" s="888"/>
      <c r="B11" s="891"/>
      <c r="C11" s="894"/>
      <c r="D11" s="894"/>
      <c r="E11" s="891"/>
      <c r="F11" s="894"/>
      <c r="G11" s="406" t="s">
        <v>598</v>
      </c>
      <c r="H11" s="406" t="s">
        <v>598</v>
      </c>
      <c r="I11" s="894"/>
      <c r="J11" s="815" t="s">
        <v>599</v>
      </c>
      <c r="K11" s="885" t="s">
        <v>600</v>
      </c>
      <c r="L11" s="885"/>
      <c r="M11" s="885"/>
      <c r="N11" s="879" t="s">
        <v>601</v>
      </c>
      <c r="O11" s="885" t="s">
        <v>884</v>
      </c>
      <c r="P11" s="885"/>
      <c r="Q11" s="885"/>
      <c r="R11" s="885"/>
      <c r="S11" s="885"/>
      <c r="T11" s="885"/>
      <c r="U11" s="885"/>
      <c r="V11" s="885"/>
      <c r="W11" s="88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05"/>
      <c r="FI11" s="405"/>
      <c r="FJ11" s="405"/>
      <c r="FK11" s="405"/>
      <c r="FL11" s="405"/>
      <c r="FM11" s="405"/>
      <c r="FN11" s="405"/>
      <c r="FO11" s="405"/>
      <c r="FP11" s="405"/>
      <c r="FQ11" s="405"/>
      <c r="FR11" s="405"/>
      <c r="FS11" s="405"/>
      <c r="FT11" s="405"/>
      <c r="FU11" s="405"/>
      <c r="FV11" s="405"/>
      <c r="FW11" s="405"/>
      <c r="FX11" s="405"/>
      <c r="FY11" s="405"/>
      <c r="FZ11" s="405"/>
      <c r="GA11" s="405"/>
      <c r="GB11" s="405"/>
      <c r="GC11" s="405"/>
      <c r="GD11" s="405"/>
      <c r="GE11" s="405"/>
      <c r="GF11" s="405"/>
      <c r="GG11" s="405"/>
      <c r="GH11" s="405"/>
      <c r="GI11" s="405"/>
      <c r="GJ11" s="405"/>
      <c r="GK11" s="405"/>
      <c r="GL11" s="405"/>
      <c r="GM11" s="405"/>
      <c r="GN11" s="405"/>
      <c r="GO11" s="405"/>
      <c r="GP11" s="405"/>
      <c r="GQ11" s="405"/>
      <c r="GR11" s="405"/>
      <c r="GS11" s="405"/>
      <c r="GT11" s="405"/>
      <c r="GU11" s="405"/>
      <c r="GV11" s="405"/>
      <c r="GW11" s="405"/>
      <c r="GX11" s="405"/>
      <c r="GY11" s="405"/>
      <c r="GZ11" s="405"/>
      <c r="HA11" s="405"/>
      <c r="HB11" s="405"/>
      <c r="HC11" s="405"/>
      <c r="HD11" s="405"/>
      <c r="HE11" s="405"/>
      <c r="HF11" s="405"/>
      <c r="HG11" s="405"/>
      <c r="HH11" s="405"/>
      <c r="HI11" s="405"/>
      <c r="HJ11" s="405"/>
      <c r="HK11" s="405"/>
      <c r="HL11" s="405"/>
      <c r="HM11" s="405"/>
      <c r="HN11" s="405"/>
      <c r="HO11" s="405"/>
      <c r="HP11" s="405"/>
      <c r="HQ11" s="405"/>
      <c r="HR11" s="405"/>
      <c r="HS11" s="405"/>
      <c r="HT11" s="405"/>
      <c r="HU11" s="405"/>
      <c r="HV11" s="405"/>
      <c r="HW11" s="405"/>
      <c r="HX11" s="405"/>
      <c r="HY11" s="405"/>
      <c r="HZ11" s="405"/>
      <c r="IA11" s="405"/>
      <c r="IB11" s="405"/>
      <c r="IC11" s="405"/>
      <c r="ID11" s="405"/>
      <c r="IE11" s="405"/>
      <c r="IF11" s="405"/>
      <c r="IG11" s="405"/>
      <c r="IH11" s="405"/>
      <c r="II11" s="405"/>
      <c r="IJ11" s="405"/>
      <c r="IK11" s="405"/>
      <c r="IL11" s="405"/>
      <c r="IM11" s="405"/>
      <c r="IN11" s="405"/>
      <c r="IO11" s="405"/>
      <c r="IP11" s="405"/>
      <c r="IQ11" s="405"/>
      <c r="IR11" s="405"/>
      <c r="IS11" s="405"/>
      <c r="IT11" s="405"/>
      <c r="IU11" s="405"/>
      <c r="IV11" s="405"/>
    </row>
    <row r="12" spans="1:256" s="438" customFormat="1" ht="14.85" customHeight="1">
      <c r="A12" s="888"/>
      <c r="B12" s="891"/>
      <c r="C12" s="894"/>
      <c r="D12" s="894"/>
      <c r="E12" s="891"/>
      <c r="F12" s="894"/>
      <c r="G12" s="406" t="s">
        <v>603</v>
      </c>
      <c r="H12" s="406" t="s">
        <v>603</v>
      </c>
      <c r="I12" s="894"/>
      <c r="J12" s="815"/>
      <c r="K12" s="885"/>
      <c r="L12" s="885"/>
      <c r="M12" s="885"/>
      <c r="N12" s="879"/>
      <c r="O12" s="877" t="s">
        <v>604</v>
      </c>
      <c r="P12" s="877"/>
      <c r="Q12" s="877"/>
      <c r="R12" s="877" t="s">
        <v>605</v>
      </c>
      <c r="S12" s="877"/>
      <c r="T12" s="877"/>
      <c r="U12" s="879" t="s">
        <v>885</v>
      </c>
      <c r="V12" s="879"/>
      <c r="W12" s="879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5"/>
      <c r="BK12" s="405"/>
      <c r="BL12" s="405"/>
      <c r="BM12" s="405"/>
      <c r="BN12" s="405"/>
      <c r="BO12" s="405"/>
      <c r="BP12" s="405"/>
      <c r="BQ12" s="405"/>
      <c r="BR12" s="405"/>
      <c r="BS12" s="405"/>
      <c r="BT12" s="405"/>
      <c r="BU12" s="405"/>
      <c r="BV12" s="405"/>
      <c r="BW12" s="405"/>
      <c r="BX12" s="405"/>
      <c r="BY12" s="405"/>
      <c r="BZ12" s="405"/>
      <c r="CA12" s="405"/>
      <c r="CB12" s="405"/>
      <c r="CC12" s="405"/>
      <c r="CD12" s="405"/>
      <c r="CE12" s="405"/>
      <c r="CF12" s="405"/>
      <c r="CG12" s="405"/>
      <c r="CH12" s="405"/>
      <c r="CI12" s="405"/>
      <c r="CJ12" s="405"/>
      <c r="CK12" s="405"/>
      <c r="CL12" s="405"/>
      <c r="CM12" s="405"/>
      <c r="CN12" s="405"/>
      <c r="CO12" s="405"/>
      <c r="CP12" s="405"/>
      <c r="CQ12" s="405"/>
      <c r="CR12" s="405"/>
      <c r="CS12" s="405"/>
      <c r="CT12" s="405"/>
      <c r="CU12" s="405"/>
      <c r="CV12" s="405"/>
      <c r="CW12" s="405"/>
      <c r="CX12" s="405"/>
      <c r="CY12" s="405"/>
      <c r="CZ12" s="405"/>
      <c r="DA12" s="405"/>
      <c r="DB12" s="405"/>
      <c r="DC12" s="405"/>
      <c r="DD12" s="405"/>
      <c r="DE12" s="405"/>
      <c r="DF12" s="405"/>
      <c r="DG12" s="405"/>
      <c r="DH12" s="405"/>
      <c r="DI12" s="405"/>
      <c r="DJ12" s="405"/>
      <c r="DK12" s="405"/>
      <c r="DL12" s="405"/>
      <c r="DM12" s="405"/>
      <c r="DN12" s="405"/>
      <c r="DO12" s="405"/>
      <c r="DP12" s="405"/>
      <c r="DQ12" s="405"/>
      <c r="DR12" s="405"/>
      <c r="DS12" s="405"/>
      <c r="DT12" s="405"/>
      <c r="DU12" s="405"/>
      <c r="DV12" s="405"/>
      <c r="DW12" s="405"/>
      <c r="DX12" s="405"/>
      <c r="DY12" s="405"/>
      <c r="DZ12" s="405"/>
      <c r="EA12" s="405"/>
      <c r="EB12" s="405"/>
      <c r="EC12" s="405"/>
      <c r="ED12" s="405"/>
      <c r="EE12" s="405"/>
      <c r="EF12" s="405"/>
      <c r="EG12" s="405"/>
      <c r="EH12" s="405"/>
      <c r="EI12" s="405"/>
      <c r="EJ12" s="405"/>
      <c r="EK12" s="405"/>
      <c r="EL12" s="405"/>
      <c r="EM12" s="405"/>
      <c r="EN12" s="405"/>
      <c r="EO12" s="405"/>
      <c r="EP12" s="405"/>
      <c r="EQ12" s="405"/>
      <c r="ER12" s="405"/>
      <c r="ES12" s="405"/>
      <c r="ET12" s="405"/>
      <c r="EU12" s="405"/>
      <c r="EV12" s="405"/>
      <c r="EW12" s="405"/>
      <c r="EX12" s="405"/>
      <c r="EY12" s="405"/>
      <c r="EZ12" s="405"/>
      <c r="FA12" s="405"/>
      <c r="FB12" s="405"/>
      <c r="FC12" s="405"/>
      <c r="FD12" s="405"/>
      <c r="FE12" s="405"/>
      <c r="FF12" s="405"/>
      <c r="FG12" s="405"/>
      <c r="FH12" s="405"/>
      <c r="FI12" s="405"/>
      <c r="FJ12" s="405"/>
      <c r="FK12" s="405"/>
      <c r="FL12" s="405"/>
      <c r="FM12" s="405"/>
      <c r="FN12" s="405"/>
      <c r="FO12" s="405"/>
      <c r="FP12" s="405"/>
      <c r="FQ12" s="405"/>
      <c r="FR12" s="405"/>
      <c r="FS12" s="405"/>
      <c r="FT12" s="405"/>
      <c r="FU12" s="405"/>
      <c r="FV12" s="405"/>
      <c r="FW12" s="405"/>
      <c r="FX12" s="405"/>
      <c r="FY12" s="405"/>
      <c r="FZ12" s="405"/>
      <c r="GA12" s="405"/>
      <c r="GB12" s="405"/>
      <c r="GC12" s="405"/>
      <c r="GD12" s="405"/>
      <c r="GE12" s="405"/>
      <c r="GF12" s="405"/>
      <c r="GG12" s="405"/>
      <c r="GH12" s="405"/>
      <c r="GI12" s="405"/>
      <c r="GJ12" s="405"/>
      <c r="GK12" s="405"/>
      <c r="GL12" s="405"/>
      <c r="GM12" s="405"/>
      <c r="GN12" s="405"/>
      <c r="GO12" s="405"/>
      <c r="GP12" s="405"/>
      <c r="GQ12" s="405"/>
      <c r="GR12" s="405"/>
      <c r="GS12" s="405"/>
      <c r="GT12" s="405"/>
      <c r="GU12" s="405"/>
      <c r="GV12" s="405"/>
      <c r="GW12" s="405"/>
      <c r="GX12" s="405"/>
      <c r="GY12" s="405"/>
      <c r="GZ12" s="405"/>
      <c r="HA12" s="405"/>
      <c r="HB12" s="405"/>
      <c r="HC12" s="405"/>
      <c r="HD12" s="405"/>
      <c r="HE12" s="405"/>
      <c r="HF12" s="405"/>
      <c r="HG12" s="405"/>
      <c r="HH12" s="405"/>
      <c r="HI12" s="405"/>
      <c r="HJ12" s="405"/>
      <c r="HK12" s="405"/>
      <c r="HL12" s="405"/>
      <c r="HM12" s="405"/>
      <c r="HN12" s="405"/>
      <c r="HO12" s="405"/>
      <c r="HP12" s="405"/>
      <c r="HQ12" s="405"/>
      <c r="HR12" s="405"/>
      <c r="HS12" s="405"/>
      <c r="HT12" s="405"/>
      <c r="HU12" s="405"/>
      <c r="HV12" s="405"/>
      <c r="HW12" s="405"/>
      <c r="HX12" s="405"/>
      <c r="HY12" s="405"/>
      <c r="HZ12" s="405"/>
      <c r="IA12" s="405"/>
      <c r="IB12" s="405"/>
      <c r="IC12" s="405"/>
      <c r="ID12" s="405"/>
      <c r="IE12" s="405"/>
      <c r="IF12" s="405"/>
      <c r="IG12" s="405"/>
      <c r="IH12" s="405"/>
      <c r="II12" s="405"/>
      <c r="IJ12" s="405"/>
      <c r="IK12" s="405"/>
      <c r="IL12" s="405"/>
      <c r="IM12" s="405"/>
      <c r="IN12" s="405"/>
      <c r="IO12" s="405"/>
      <c r="IP12" s="405"/>
      <c r="IQ12" s="405"/>
      <c r="IR12" s="405"/>
      <c r="IS12" s="405"/>
      <c r="IT12" s="405"/>
      <c r="IU12" s="405"/>
      <c r="IV12" s="405"/>
    </row>
    <row r="13" spans="1:256" s="438" customFormat="1" ht="14.85" customHeight="1">
      <c r="A13" s="888"/>
      <c r="B13" s="891"/>
      <c r="C13" s="894"/>
      <c r="D13" s="894"/>
      <c r="E13" s="891"/>
      <c r="F13" s="894"/>
      <c r="G13" s="406" t="s">
        <v>607</v>
      </c>
      <c r="H13" s="406" t="s">
        <v>607</v>
      </c>
      <c r="I13" s="894"/>
      <c r="J13" s="815"/>
      <c r="K13" s="877" t="s">
        <v>71</v>
      </c>
      <c r="L13" s="877" t="s">
        <v>608</v>
      </c>
      <c r="M13" s="877" t="s">
        <v>609</v>
      </c>
      <c r="N13" s="879"/>
      <c r="O13" s="877" t="s">
        <v>71</v>
      </c>
      <c r="P13" s="877" t="s">
        <v>610</v>
      </c>
      <c r="Q13" s="881" t="s">
        <v>609</v>
      </c>
      <c r="R13" s="877" t="s">
        <v>71</v>
      </c>
      <c r="S13" s="877" t="s">
        <v>610</v>
      </c>
      <c r="T13" s="878" t="s">
        <v>609</v>
      </c>
      <c r="U13" s="879" t="s">
        <v>611</v>
      </c>
      <c r="V13" s="877" t="s">
        <v>610</v>
      </c>
      <c r="W13" s="878" t="s">
        <v>609</v>
      </c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5"/>
      <c r="BP13" s="405"/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5"/>
      <c r="CO13" s="405"/>
      <c r="CP13" s="405"/>
      <c r="CQ13" s="405"/>
      <c r="CR13" s="405"/>
      <c r="CS13" s="405"/>
      <c r="CT13" s="405"/>
      <c r="CU13" s="405"/>
      <c r="CV13" s="405"/>
      <c r="CW13" s="405"/>
      <c r="CX13" s="405"/>
      <c r="CY13" s="405"/>
      <c r="CZ13" s="405"/>
      <c r="DA13" s="405"/>
      <c r="DB13" s="405"/>
      <c r="DC13" s="405"/>
      <c r="DD13" s="405"/>
      <c r="DE13" s="405"/>
      <c r="DF13" s="405"/>
      <c r="DG13" s="405"/>
      <c r="DH13" s="405"/>
      <c r="DI13" s="405"/>
      <c r="DJ13" s="405"/>
      <c r="DK13" s="405"/>
      <c r="DL13" s="405"/>
      <c r="DM13" s="405"/>
      <c r="DN13" s="405"/>
      <c r="DO13" s="405"/>
      <c r="DP13" s="405"/>
      <c r="DQ13" s="405"/>
      <c r="DR13" s="405"/>
      <c r="DS13" s="405"/>
      <c r="DT13" s="405"/>
      <c r="DU13" s="405"/>
      <c r="DV13" s="405"/>
      <c r="DW13" s="405"/>
      <c r="DX13" s="405"/>
      <c r="DY13" s="405"/>
      <c r="DZ13" s="405"/>
      <c r="EA13" s="405"/>
      <c r="EB13" s="405"/>
      <c r="EC13" s="405"/>
      <c r="ED13" s="405"/>
      <c r="EE13" s="405"/>
      <c r="EF13" s="405"/>
      <c r="EG13" s="405"/>
      <c r="EH13" s="405"/>
      <c r="EI13" s="405"/>
      <c r="EJ13" s="405"/>
      <c r="EK13" s="405"/>
      <c r="EL13" s="405"/>
      <c r="EM13" s="405"/>
      <c r="EN13" s="405"/>
      <c r="EO13" s="405"/>
      <c r="EP13" s="405"/>
      <c r="EQ13" s="405"/>
      <c r="ER13" s="405"/>
      <c r="ES13" s="405"/>
      <c r="ET13" s="405"/>
      <c r="EU13" s="405"/>
      <c r="EV13" s="405"/>
      <c r="EW13" s="405"/>
      <c r="EX13" s="405"/>
      <c r="EY13" s="405"/>
      <c r="EZ13" s="405"/>
      <c r="FA13" s="405"/>
      <c r="FB13" s="405"/>
      <c r="FC13" s="405"/>
      <c r="FD13" s="405"/>
      <c r="FE13" s="405"/>
      <c r="FF13" s="405"/>
      <c r="FG13" s="405"/>
      <c r="FH13" s="405"/>
      <c r="FI13" s="405"/>
      <c r="FJ13" s="405"/>
      <c r="FK13" s="405"/>
      <c r="FL13" s="405"/>
      <c r="FM13" s="405"/>
      <c r="FN13" s="405"/>
      <c r="FO13" s="405"/>
      <c r="FP13" s="405"/>
      <c r="FQ13" s="405"/>
      <c r="FR13" s="405"/>
      <c r="FS13" s="405"/>
      <c r="FT13" s="405"/>
      <c r="FU13" s="405"/>
      <c r="FV13" s="405"/>
      <c r="FW13" s="405"/>
      <c r="FX13" s="405"/>
      <c r="FY13" s="405"/>
      <c r="FZ13" s="405"/>
      <c r="GA13" s="405"/>
      <c r="GB13" s="405"/>
      <c r="GC13" s="405"/>
      <c r="GD13" s="405"/>
      <c r="GE13" s="405"/>
      <c r="GF13" s="405"/>
      <c r="GG13" s="405"/>
      <c r="GH13" s="405"/>
      <c r="GI13" s="405"/>
      <c r="GJ13" s="405"/>
      <c r="GK13" s="405"/>
      <c r="GL13" s="405"/>
      <c r="GM13" s="405"/>
      <c r="GN13" s="405"/>
      <c r="GO13" s="405"/>
      <c r="GP13" s="405"/>
      <c r="GQ13" s="405"/>
      <c r="GR13" s="405"/>
      <c r="GS13" s="405"/>
      <c r="GT13" s="405"/>
      <c r="GU13" s="405"/>
      <c r="GV13" s="405"/>
      <c r="GW13" s="405"/>
      <c r="GX13" s="405"/>
      <c r="GY13" s="405"/>
      <c r="GZ13" s="405"/>
      <c r="HA13" s="405"/>
      <c r="HB13" s="405"/>
      <c r="HC13" s="405"/>
      <c r="HD13" s="405"/>
      <c r="HE13" s="405"/>
      <c r="HF13" s="405"/>
      <c r="HG13" s="405"/>
      <c r="HH13" s="405"/>
      <c r="HI13" s="405"/>
      <c r="HJ13" s="405"/>
      <c r="HK13" s="405"/>
      <c r="HL13" s="405"/>
      <c r="HM13" s="405"/>
      <c r="HN13" s="405"/>
      <c r="HO13" s="405"/>
      <c r="HP13" s="405"/>
      <c r="HQ13" s="405"/>
      <c r="HR13" s="405"/>
      <c r="HS13" s="405"/>
      <c r="HT13" s="405"/>
      <c r="HU13" s="405"/>
      <c r="HV13" s="405"/>
      <c r="HW13" s="405"/>
      <c r="HX13" s="405"/>
      <c r="HY13" s="405"/>
      <c r="HZ13" s="405"/>
      <c r="IA13" s="405"/>
      <c r="IB13" s="405"/>
      <c r="IC13" s="405"/>
      <c r="ID13" s="405"/>
      <c r="IE13" s="405"/>
      <c r="IF13" s="405"/>
      <c r="IG13" s="405"/>
      <c r="IH13" s="405"/>
      <c r="II13" s="405"/>
      <c r="IJ13" s="405"/>
      <c r="IK13" s="405"/>
      <c r="IL13" s="405"/>
      <c r="IM13" s="405"/>
      <c r="IN13" s="405"/>
      <c r="IO13" s="405"/>
      <c r="IP13" s="405"/>
      <c r="IQ13" s="405"/>
      <c r="IR13" s="405"/>
      <c r="IS13" s="405"/>
      <c r="IT13" s="405"/>
      <c r="IU13" s="405"/>
      <c r="IV13" s="405"/>
    </row>
    <row r="14" spans="1:256" s="438" customFormat="1" ht="14.85" customHeight="1">
      <c r="A14" s="889"/>
      <c r="B14" s="892"/>
      <c r="C14" s="895"/>
      <c r="D14" s="895"/>
      <c r="E14" s="892"/>
      <c r="F14" s="895"/>
      <c r="G14" s="406" t="s">
        <v>885</v>
      </c>
      <c r="H14" s="406" t="s">
        <v>885</v>
      </c>
      <c r="I14" s="895"/>
      <c r="J14" s="815"/>
      <c r="K14" s="877"/>
      <c r="L14" s="877"/>
      <c r="M14" s="877"/>
      <c r="N14" s="879"/>
      <c r="O14" s="877"/>
      <c r="P14" s="877"/>
      <c r="Q14" s="881"/>
      <c r="R14" s="877"/>
      <c r="S14" s="877"/>
      <c r="T14" s="878"/>
      <c r="U14" s="879"/>
      <c r="V14" s="877"/>
      <c r="W14" s="878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/>
      <c r="EK14" s="405"/>
      <c r="EL14" s="405"/>
      <c r="EM14" s="405"/>
      <c r="EN14" s="405"/>
      <c r="EO14" s="405"/>
      <c r="EP14" s="405"/>
      <c r="EQ14" s="405"/>
      <c r="ER14" s="405"/>
      <c r="ES14" s="405"/>
      <c r="ET14" s="405"/>
      <c r="EU14" s="405"/>
      <c r="EV14" s="405"/>
      <c r="EW14" s="405"/>
      <c r="EX14" s="405"/>
      <c r="EY14" s="405"/>
      <c r="EZ14" s="405"/>
      <c r="FA14" s="405"/>
      <c r="FB14" s="405"/>
      <c r="FC14" s="405"/>
      <c r="FD14" s="405"/>
      <c r="FE14" s="405"/>
      <c r="FF14" s="405"/>
      <c r="FG14" s="405"/>
      <c r="FH14" s="405"/>
      <c r="FI14" s="405"/>
      <c r="FJ14" s="405"/>
      <c r="FK14" s="405"/>
      <c r="FL14" s="405"/>
      <c r="FM14" s="405"/>
      <c r="FN14" s="405"/>
      <c r="FO14" s="405"/>
      <c r="FP14" s="405"/>
      <c r="FQ14" s="405"/>
      <c r="FR14" s="405"/>
      <c r="FS14" s="405"/>
      <c r="FT14" s="405"/>
      <c r="FU14" s="405"/>
      <c r="FV14" s="405"/>
      <c r="FW14" s="405"/>
      <c r="FX14" s="405"/>
      <c r="FY14" s="405"/>
      <c r="FZ14" s="405"/>
      <c r="GA14" s="405"/>
      <c r="GB14" s="405"/>
      <c r="GC14" s="405"/>
      <c r="GD14" s="405"/>
      <c r="GE14" s="405"/>
      <c r="GF14" s="405"/>
      <c r="GG14" s="405"/>
      <c r="GH14" s="405"/>
      <c r="GI14" s="405"/>
      <c r="GJ14" s="405"/>
      <c r="GK14" s="405"/>
      <c r="GL14" s="405"/>
      <c r="GM14" s="405"/>
      <c r="GN14" s="405"/>
      <c r="GO14" s="405"/>
      <c r="GP14" s="405"/>
      <c r="GQ14" s="405"/>
      <c r="GR14" s="405"/>
      <c r="GS14" s="405"/>
      <c r="GT14" s="405"/>
      <c r="GU14" s="405"/>
      <c r="GV14" s="405"/>
      <c r="GW14" s="405"/>
      <c r="GX14" s="405"/>
      <c r="GY14" s="405"/>
      <c r="GZ14" s="405"/>
      <c r="HA14" s="405"/>
      <c r="HB14" s="405"/>
      <c r="HC14" s="405"/>
      <c r="HD14" s="405"/>
      <c r="HE14" s="405"/>
      <c r="HF14" s="405"/>
      <c r="HG14" s="405"/>
      <c r="HH14" s="405"/>
      <c r="HI14" s="405"/>
      <c r="HJ14" s="405"/>
      <c r="HK14" s="405"/>
      <c r="HL14" s="405"/>
      <c r="HM14" s="405"/>
      <c r="HN14" s="405"/>
      <c r="HO14" s="405"/>
      <c r="HP14" s="405"/>
      <c r="HQ14" s="405"/>
      <c r="HR14" s="405"/>
      <c r="HS14" s="405"/>
      <c r="HT14" s="405"/>
      <c r="HU14" s="405"/>
      <c r="HV14" s="405"/>
      <c r="HW14" s="405"/>
      <c r="HX14" s="405"/>
      <c r="HY14" s="405"/>
      <c r="HZ14" s="405"/>
      <c r="IA14" s="405"/>
      <c r="IB14" s="405"/>
      <c r="IC14" s="405"/>
      <c r="ID14" s="405"/>
      <c r="IE14" s="405"/>
      <c r="IF14" s="405"/>
      <c r="IG14" s="405"/>
      <c r="IH14" s="405"/>
      <c r="II14" s="405"/>
      <c r="IJ14" s="405"/>
      <c r="IK14" s="405"/>
      <c r="IL14" s="405"/>
      <c r="IM14" s="405"/>
      <c r="IN14" s="405"/>
      <c r="IO14" s="405"/>
      <c r="IP14" s="405"/>
      <c r="IQ14" s="405"/>
      <c r="IR14" s="405"/>
      <c r="IS14" s="405"/>
      <c r="IT14" s="405"/>
      <c r="IU14" s="405"/>
      <c r="IV14" s="405"/>
    </row>
    <row r="15" spans="1:256" s="438" customFormat="1" ht="14.85" customHeight="1">
      <c r="A15" s="407">
        <v>1</v>
      </c>
      <c r="B15" s="407">
        <v>2</v>
      </c>
      <c r="C15" s="407">
        <v>3</v>
      </c>
      <c r="D15" s="407">
        <v>4</v>
      </c>
      <c r="E15" s="407">
        <v>5</v>
      </c>
      <c r="F15" s="407">
        <v>6</v>
      </c>
      <c r="G15" s="407">
        <v>7</v>
      </c>
      <c r="H15" s="407">
        <v>8</v>
      </c>
      <c r="I15" s="407" t="s">
        <v>612</v>
      </c>
      <c r="J15" s="407" t="s">
        <v>614</v>
      </c>
      <c r="K15" s="407" t="s">
        <v>615</v>
      </c>
      <c r="L15" s="407">
        <v>11</v>
      </c>
      <c r="M15" s="407">
        <v>12</v>
      </c>
      <c r="N15" s="407" t="s">
        <v>616</v>
      </c>
      <c r="O15" s="407" t="s">
        <v>617</v>
      </c>
      <c r="P15" s="407">
        <v>15</v>
      </c>
      <c r="Q15" s="407">
        <v>16</v>
      </c>
      <c r="R15" s="407" t="s">
        <v>618</v>
      </c>
      <c r="S15" s="407">
        <v>18</v>
      </c>
      <c r="T15" s="407">
        <v>19</v>
      </c>
      <c r="U15" s="407" t="s">
        <v>619</v>
      </c>
      <c r="V15" s="407">
        <v>21</v>
      </c>
      <c r="W15" s="407">
        <v>22</v>
      </c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8"/>
      <c r="CO15" s="408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8"/>
      <c r="DM15" s="408"/>
      <c r="DN15" s="408"/>
      <c r="DO15" s="408"/>
      <c r="DP15" s="408"/>
      <c r="DQ15" s="408"/>
      <c r="DR15" s="408"/>
      <c r="DS15" s="408"/>
      <c r="DT15" s="408"/>
      <c r="DU15" s="408"/>
      <c r="DV15" s="408"/>
      <c r="DW15" s="408"/>
      <c r="DX15" s="408"/>
      <c r="DY15" s="408"/>
      <c r="DZ15" s="408"/>
      <c r="EA15" s="408"/>
      <c r="EB15" s="408"/>
      <c r="EC15" s="408"/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8"/>
      <c r="ER15" s="408"/>
      <c r="ES15" s="408"/>
      <c r="ET15" s="408"/>
      <c r="EU15" s="408"/>
      <c r="EV15" s="408"/>
      <c r="EW15" s="408"/>
      <c r="EX15" s="408"/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8"/>
      <c r="FL15" s="408"/>
      <c r="FM15" s="408"/>
      <c r="FN15" s="408"/>
      <c r="FO15" s="408"/>
      <c r="FP15" s="408"/>
      <c r="FQ15" s="408"/>
      <c r="FR15" s="408"/>
      <c r="FS15" s="408"/>
      <c r="FT15" s="408"/>
      <c r="FU15" s="408"/>
      <c r="FV15" s="408"/>
      <c r="FW15" s="408"/>
      <c r="FX15" s="408"/>
      <c r="FY15" s="408"/>
      <c r="FZ15" s="408"/>
      <c r="GA15" s="408"/>
      <c r="GB15" s="408"/>
      <c r="GC15" s="408"/>
      <c r="GD15" s="408"/>
      <c r="GE15" s="408"/>
      <c r="GF15" s="408"/>
      <c r="GG15" s="408"/>
      <c r="GH15" s="408"/>
      <c r="GI15" s="408"/>
      <c r="GJ15" s="408"/>
      <c r="GK15" s="408"/>
      <c r="GL15" s="408"/>
      <c r="GM15" s="408"/>
      <c r="GN15" s="408"/>
      <c r="GO15" s="408"/>
      <c r="GP15" s="408"/>
      <c r="GQ15" s="408"/>
      <c r="GR15" s="408"/>
      <c r="GS15" s="408"/>
      <c r="GT15" s="408"/>
      <c r="GU15" s="408"/>
      <c r="GV15" s="408"/>
      <c r="GW15" s="408"/>
      <c r="GX15" s="408"/>
      <c r="GY15" s="408"/>
      <c r="GZ15" s="408"/>
      <c r="HA15" s="408"/>
      <c r="HB15" s="408"/>
      <c r="HC15" s="408"/>
      <c r="HD15" s="408"/>
      <c r="HE15" s="408"/>
      <c r="HF15" s="408"/>
      <c r="HG15" s="408"/>
      <c r="HH15" s="408"/>
      <c r="HI15" s="408"/>
      <c r="HJ15" s="408"/>
      <c r="HK15" s="408"/>
      <c r="HL15" s="408"/>
      <c r="HM15" s="408"/>
      <c r="HN15" s="408"/>
      <c r="HO15" s="408"/>
      <c r="HP15" s="408"/>
      <c r="HQ15" s="408"/>
      <c r="HR15" s="408"/>
      <c r="HS15" s="408"/>
      <c r="HT15" s="408"/>
      <c r="HU15" s="408"/>
      <c r="HV15" s="408"/>
      <c r="HW15" s="408"/>
      <c r="HX15" s="408"/>
      <c r="HY15" s="408"/>
      <c r="HZ15" s="408"/>
      <c r="IA15" s="408"/>
      <c r="IB15" s="408"/>
      <c r="IC15" s="408"/>
      <c r="ID15" s="408"/>
      <c r="IE15" s="408"/>
      <c r="IF15" s="408"/>
      <c r="IG15" s="408"/>
      <c r="IH15" s="408"/>
      <c r="II15" s="408"/>
      <c r="IJ15" s="408"/>
      <c r="IK15" s="408"/>
      <c r="IL15" s="408"/>
      <c r="IM15" s="408"/>
      <c r="IN15" s="408"/>
      <c r="IO15" s="408"/>
      <c r="IP15" s="408"/>
      <c r="IQ15" s="408"/>
      <c r="IR15" s="408"/>
      <c r="IS15" s="408"/>
      <c r="IT15" s="408"/>
      <c r="IU15" s="408"/>
      <c r="IV15" s="408"/>
    </row>
    <row r="16" spans="1:256" s="438" customFormat="1" ht="4.5" customHeight="1">
      <c r="A16" s="880"/>
      <c r="B16" s="880"/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408"/>
      <c r="BH16" s="408"/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8"/>
      <c r="CC16" s="408"/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08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  <c r="FI16" s="408"/>
      <c r="FJ16" s="408"/>
      <c r="FK16" s="408"/>
      <c r="FL16" s="408"/>
      <c r="FM16" s="408"/>
      <c r="FN16" s="408"/>
      <c r="FO16" s="408"/>
      <c r="FP16" s="408"/>
      <c r="FQ16" s="408"/>
      <c r="FR16" s="408"/>
      <c r="FS16" s="408"/>
      <c r="FT16" s="408"/>
      <c r="FU16" s="408"/>
      <c r="FV16" s="408"/>
      <c r="FW16" s="408"/>
      <c r="FX16" s="408"/>
      <c r="FY16" s="408"/>
      <c r="FZ16" s="408"/>
      <c r="GA16" s="408"/>
      <c r="GB16" s="408"/>
      <c r="GC16" s="408"/>
      <c r="GD16" s="408"/>
      <c r="GE16" s="408"/>
      <c r="GF16" s="408"/>
      <c r="GG16" s="408"/>
      <c r="GH16" s="408"/>
      <c r="GI16" s="408"/>
      <c r="GJ16" s="408"/>
      <c r="GK16" s="408"/>
      <c r="GL16" s="408"/>
      <c r="GM16" s="408"/>
      <c r="GN16" s="408"/>
      <c r="GO16" s="408"/>
      <c r="GP16" s="408"/>
      <c r="GQ16" s="408"/>
      <c r="GR16" s="408"/>
      <c r="GS16" s="408"/>
      <c r="GT16" s="408"/>
      <c r="GU16" s="408"/>
      <c r="GV16" s="408"/>
      <c r="GW16" s="408"/>
      <c r="GX16" s="408"/>
      <c r="GY16" s="408"/>
      <c r="GZ16" s="408"/>
      <c r="HA16" s="408"/>
      <c r="HB16" s="408"/>
      <c r="HC16" s="408"/>
      <c r="HD16" s="408"/>
      <c r="HE16" s="408"/>
      <c r="HF16" s="408"/>
      <c r="HG16" s="408"/>
      <c r="HH16" s="408"/>
      <c r="HI16" s="408"/>
      <c r="HJ16" s="408"/>
      <c r="HK16" s="408"/>
      <c r="HL16" s="408"/>
      <c r="HM16" s="408"/>
      <c r="HN16" s="408"/>
      <c r="HO16" s="408"/>
      <c r="HP16" s="408"/>
      <c r="HQ16" s="408"/>
      <c r="HR16" s="408"/>
      <c r="HS16" s="408"/>
      <c r="HT16" s="408"/>
      <c r="HU16" s="408"/>
      <c r="HV16" s="408"/>
      <c r="HW16" s="408"/>
      <c r="HX16" s="408"/>
      <c r="HY16" s="408"/>
      <c r="HZ16" s="408"/>
      <c r="IA16" s="408"/>
      <c r="IB16" s="408"/>
      <c r="IC16" s="408"/>
      <c r="ID16" s="408"/>
      <c r="IE16" s="408"/>
      <c r="IF16" s="408"/>
      <c r="IG16" s="408"/>
      <c r="IH16" s="408"/>
      <c r="II16" s="408"/>
      <c r="IJ16" s="408"/>
      <c r="IK16" s="408"/>
      <c r="IL16" s="408"/>
      <c r="IM16" s="408"/>
      <c r="IN16" s="408"/>
      <c r="IO16" s="408"/>
      <c r="IP16" s="408"/>
      <c r="IQ16" s="408"/>
      <c r="IR16" s="408"/>
      <c r="IS16" s="408"/>
      <c r="IT16" s="408"/>
      <c r="IU16" s="408"/>
      <c r="IV16" s="408"/>
    </row>
    <row r="17" spans="1:256" s="438" customFormat="1" ht="15" customHeight="1">
      <c r="A17" s="923" t="s">
        <v>886</v>
      </c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409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8"/>
      <c r="BP17" s="408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8"/>
      <c r="CC17" s="408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8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8"/>
      <c r="DC17" s="408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8"/>
      <c r="DP17" s="408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8"/>
      <c r="EC17" s="408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8"/>
      <c r="EP17" s="408"/>
      <c r="EQ17" s="408"/>
      <c r="ER17" s="408"/>
      <c r="ES17" s="408"/>
      <c r="ET17" s="408"/>
      <c r="EU17" s="408"/>
      <c r="EV17" s="408"/>
      <c r="EW17" s="408"/>
      <c r="EX17" s="408"/>
      <c r="EY17" s="408"/>
      <c r="EZ17" s="408"/>
      <c r="FA17" s="408"/>
      <c r="FB17" s="408"/>
      <c r="FC17" s="408"/>
      <c r="FD17" s="408"/>
      <c r="FE17" s="408"/>
      <c r="FF17" s="408"/>
      <c r="FG17" s="408"/>
      <c r="FH17" s="408"/>
      <c r="FI17" s="408"/>
      <c r="FJ17" s="408"/>
      <c r="FK17" s="408"/>
      <c r="FL17" s="408"/>
      <c r="FM17" s="408"/>
      <c r="FN17" s="408"/>
      <c r="FO17" s="408"/>
      <c r="FP17" s="408"/>
      <c r="FQ17" s="408"/>
      <c r="FR17" s="408"/>
      <c r="FS17" s="408"/>
      <c r="FT17" s="408"/>
      <c r="FU17" s="408"/>
      <c r="FV17" s="408"/>
      <c r="FW17" s="408"/>
      <c r="FX17" s="408"/>
      <c r="FY17" s="408"/>
      <c r="FZ17" s="408"/>
      <c r="GA17" s="408"/>
      <c r="GB17" s="408"/>
      <c r="GC17" s="408"/>
      <c r="GD17" s="408"/>
      <c r="GE17" s="408"/>
      <c r="GF17" s="408"/>
      <c r="GG17" s="408"/>
      <c r="GH17" s="408"/>
      <c r="GI17" s="408"/>
      <c r="GJ17" s="408"/>
      <c r="GK17" s="408"/>
      <c r="GL17" s="408"/>
      <c r="GM17" s="408"/>
      <c r="GN17" s="408"/>
      <c r="GO17" s="408"/>
      <c r="GP17" s="408"/>
      <c r="GQ17" s="408"/>
      <c r="GR17" s="408"/>
      <c r="GS17" s="408"/>
      <c r="GT17" s="408"/>
      <c r="GU17" s="408"/>
      <c r="GV17" s="408"/>
      <c r="GW17" s="408"/>
      <c r="GX17" s="408"/>
      <c r="GY17" s="408"/>
      <c r="GZ17" s="408"/>
      <c r="HA17" s="408"/>
      <c r="HB17" s="408"/>
      <c r="HC17" s="408"/>
      <c r="HD17" s="408"/>
      <c r="HE17" s="408"/>
      <c r="HF17" s="408"/>
      <c r="HG17" s="408"/>
      <c r="HH17" s="408"/>
      <c r="HI17" s="408"/>
      <c r="HJ17" s="408"/>
      <c r="HK17" s="408"/>
      <c r="HL17" s="408"/>
      <c r="HM17" s="408"/>
      <c r="HN17" s="408"/>
      <c r="HO17" s="408"/>
      <c r="HP17" s="408"/>
      <c r="HQ17" s="408"/>
      <c r="HR17" s="408"/>
      <c r="HS17" s="408"/>
      <c r="HT17" s="408"/>
      <c r="HU17" s="408"/>
      <c r="HV17" s="408"/>
      <c r="HW17" s="408"/>
      <c r="HX17" s="408"/>
      <c r="HY17" s="408"/>
      <c r="HZ17" s="408"/>
      <c r="IA17" s="408"/>
      <c r="IB17" s="408"/>
      <c r="IC17" s="408"/>
      <c r="ID17" s="408"/>
      <c r="IE17" s="408"/>
      <c r="IF17" s="408"/>
      <c r="IG17" s="408"/>
      <c r="IH17" s="408"/>
      <c r="II17" s="408"/>
      <c r="IJ17" s="408"/>
      <c r="IK17" s="408"/>
      <c r="IL17" s="408"/>
      <c r="IM17" s="408"/>
      <c r="IN17" s="408"/>
      <c r="IO17" s="408"/>
      <c r="IP17" s="408"/>
      <c r="IQ17" s="408"/>
      <c r="IR17" s="408"/>
      <c r="IS17" s="408"/>
      <c r="IT17" s="408"/>
      <c r="IU17" s="408"/>
      <c r="IV17" s="408"/>
    </row>
    <row r="18" spans="1:256" s="438" customFormat="1" ht="4.5" customHeight="1">
      <c r="A18" s="899"/>
      <c r="B18" s="899"/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410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408"/>
      <c r="BS18" s="408"/>
      <c r="BT18" s="408"/>
      <c r="BU18" s="408"/>
      <c r="BV18" s="408"/>
      <c r="BW18" s="408"/>
      <c r="BX18" s="408"/>
      <c r="BY18" s="408"/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8"/>
      <c r="DA18" s="408"/>
      <c r="DB18" s="408"/>
      <c r="DC18" s="408"/>
      <c r="DD18" s="408"/>
      <c r="DE18" s="408"/>
      <c r="DF18" s="408"/>
      <c r="DG18" s="408"/>
      <c r="DH18" s="408"/>
      <c r="DI18" s="408"/>
      <c r="DJ18" s="408"/>
      <c r="DK18" s="408"/>
      <c r="DL18" s="408"/>
      <c r="DM18" s="408"/>
      <c r="DN18" s="408"/>
      <c r="DO18" s="408"/>
      <c r="DP18" s="408"/>
      <c r="DQ18" s="408"/>
      <c r="DR18" s="408"/>
      <c r="DS18" s="408"/>
      <c r="DT18" s="408"/>
      <c r="DU18" s="408"/>
      <c r="DV18" s="408"/>
      <c r="DW18" s="408"/>
      <c r="DX18" s="408"/>
      <c r="DY18" s="408"/>
      <c r="DZ18" s="408"/>
      <c r="EA18" s="408"/>
      <c r="EB18" s="408"/>
      <c r="EC18" s="408"/>
      <c r="ED18" s="408"/>
      <c r="EE18" s="408"/>
      <c r="EF18" s="408"/>
      <c r="EG18" s="408"/>
      <c r="EH18" s="408"/>
      <c r="EI18" s="408"/>
      <c r="EJ18" s="408"/>
      <c r="EK18" s="408"/>
      <c r="EL18" s="408"/>
      <c r="EM18" s="408"/>
      <c r="EN18" s="408"/>
      <c r="EO18" s="408"/>
      <c r="EP18" s="408"/>
      <c r="EQ18" s="408"/>
      <c r="ER18" s="408"/>
      <c r="ES18" s="408"/>
      <c r="ET18" s="408"/>
      <c r="EU18" s="408"/>
      <c r="EV18" s="408"/>
      <c r="EW18" s="408"/>
      <c r="EX18" s="408"/>
      <c r="EY18" s="408"/>
      <c r="EZ18" s="408"/>
      <c r="FA18" s="408"/>
      <c r="FB18" s="408"/>
      <c r="FC18" s="408"/>
      <c r="FD18" s="408"/>
      <c r="FE18" s="408"/>
      <c r="FF18" s="408"/>
      <c r="FG18" s="408"/>
      <c r="FH18" s="408"/>
      <c r="FI18" s="408"/>
      <c r="FJ18" s="408"/>
      <c r="FK18" s="408"/>
      <c r="FL18" s="408"/>
      <c r="FM18" s="408"/>
      <c r="FN18" s="408"/>
      <c r="FO18" s="408"/>
      <c r="FP18" s="408"/>
      <c r="FQ18" s="408"/>
      <c r="FR18" s="408"/>
      <c r="FS18" s="408"/>
      <c r="FT18" s="408"/>
      <c r="FU18" s="408"/>
      <c r="FV18" s="408"/>
      <c r="FW18" s="408"/>
      <c r="FX18" s="408"/>
      <c r="FY18" s="408"/>
      <c r="FZ18" s="408"/>
      <c r="GA18" s="408"/>
      <c r="GB18" s="408"/>
      <c r="GC18" s="408"/>
      <c r="GD18" s="408"/>
      <c r="GE18" s="408"/>
      <c r="GF18" s="408"/>
      <c r="GG18" s="408"/>
      <c r="GH18" s="408"/>
      <c r="GI18" s="408"/>
      <c r="GJ18" s="408"/>
      <c r="GK18" s="408"/>
      <c r="GL18" s="408"/>
      <c r="GM18" s="408"/>
      <c r="GN18" s="408"/>
      <c r="GO18" s="408"/>
      <c r="GP18" s="408"/>
      <c r="GQ18" s="408"/>
      <c r="GR18" s="408"/>
      <c r="GS18" s="408"/>
      <c r="GT18" s="408"/>
      <c r="GU18" s="408"/>
      <c r="GV18" s="408"/>
      <c r="GW18" s="408"/>
      <c r="GX18" s="408"/>
      <c r="GY18" s="408"/>
      <c r="GZ18" s="408"/>
      <c r="HA18" s="408"/>
      <c r="HB18" s="408"/>
      <c r="HC18" s="408"/>
      <c r="HD18" s="408"/>
      <c r="HE18" s="408"/>
      <c r="HF18" s="408"/>
      <c r="HG18" s="408"/>
      <c r="HH18" s="408"/>
      <c r="HI18" s="408"/>
      <c r="HJ18" s="408"/>
      <c r="HK18" s="408"/>
      <c r="HL18" s="408"/>
      <c r="HM18" s="408"/>
      <c r="HN18" s="408"/>
      <c r="HO18" s="408"/>
      <c r="HP18" s="408"/>
      <c r="HQ18" s="408"/>
      <c r="HR18" s="408"/>
      <c r="HS18" s="408"/>
      <c r="HT18" s="408"/>
      <c r="HU18" s="408"/>
      <c r="HV18" s="408"/>
      <c r="HW18" s="408"/>
      <c r="HX18" s="408"/>
      <c r="HY18" s="408"/>
      <c r="HZ18" s="408"/>
      <c r="IA18" s="408"/>
      <c r="IB18" s="408"/>
      <c r="IC18" s="408"/>
      <c r="ID18" s="408"/>
      <c r="IE18" s="408"/>
      <c r="IF18" s="408"/>
      <c r="IG18" s="408"/>
      <c r="IH18" s="408"/>
      <c r="II18" s="408"/>
      <c r="IJ18" s="408"/>
      <c r="IK18" s="408"/>
      <c r="IL18" s="408"/>
      <c r="IM18" s="408"/>
      <c r="IN18" s="408"/>
      <c r="IO18" s="408"/>
      <c r="IP18" s="408"/>
      <c r="IQ18" s="408"/>
      <c r="IR18" s="408"/>
      <c r="IS18" s="408"/>
      <c r="IT18" s="408"/>
      <c r="IU18" s="408"/>
      <c r="IV18" s="408"/>
    </row>
    <row r="19" spans="1:256" s="438" customFormat="1" ht="17.25" customHeight="1">
      <c r="A19" s="916">
        <v>1</v>
      </c>
      <c r="B19" s="820" t="s">
        <v>887</v>
      </c>
      <c r="C19" s="917" t="s">
        <v>888</v>
      </c>
      <c r="D19" s="819" t="s">
        <v>226</v>
      </c>
      <c r="E19" s="906" t="s">
        <v>889</v>
      </c>
      <c r="F19" s="820" t="s">
        <v>890</v>
      </c>
      <c r="G19" s="439">
        <f>G20+G21+G22+G23</f>
        <v>10792049</v>
      </c>
      <c r="H19" s="439">
        <f>H20+H21+H22+H23</f>
        <v>9206683</v>
      </c>
      <c r="I19" s="817" t="s">
        <v>5</v>
      </c>
      <c r="J19" s="901">
        <f>K19+N19</f>
        <v>1555000</v>
      </c>
      <c r="K19" s="901">
        <f>L19+M19</f>
        <v>1321750</v>
      </c>
      <c r="L19" s="814">
        <v>1321750</v>
      </c>
      <c r="M19" s="814">
        <v>0</v>
      </c>
      <c r="N19" s="901">
        <f>O19+R19+U19</f>
        <v>233250</v>
      </c>
      <c r="O19" s="901">
        <f>P19+Q19</f>
        <v>233250</v>
      </c>
      <c r="P19" s="814">
        <v>233250</v>
      </c>
      <c r="Q19" s="814">
        <v>0</v>
      </c>
      <c r="R19" s="901">
        <f>S19+T19</f>
        <v>0</v>
      </c>
      <c r="S19" s="814">
        <v>0</v>
      </c>
      <c r="T19" s="814">
        <v>0</v>
      </c>
      <c r="U19" s="901">
        <f>V19+W19</f>
        <v>0</v>
      </c>
      <c r="V19" s="814">
        <v>0</v>
      </c>
      <c r="W19" s="814">
        <v>0</v>
      </c>
    </row>
    <row r="20" spans="1:256" s="438" customFormat="1" ht="17.25" customHeight="1">
      <c r="A20" s="916"/>
      <c r="B20" s="820"/>
      <c r="C20" s="918"/>
      <c r="D20" s="819"/>
      <c r="E20" s="906"/>
      <c r="F20" s="820"/>
      <c r="G20" s="439">
        <v>9173209</v>
      </c>
      <c r="H20" s="439">
        <v>7825648</v>
      </c>
      <c r="I20" s="818"/>
      <c r="J20" s="901"/>
      <c r="K20" s="901"/>
      <c r="L20" s="814"/>
      <c r="M20" s="814"/>
      <c r="N20" s="901"/>
      <c r="O20" s="901"/>
      <c r="P20" s="814"/>
      <c r="Q20" s="814"/>
      <c r="R20" s="901"/>
      <c r="S20" s="814"/>
      <c r="T20" s="814"/>
      <c r="U20" s="901"/>
      <c r="V20" s="814"/>
      <c r="W20" s="814"/>
    </row>
    <row r="21" spans="1:256" s="438" customFormat="1" ht="17.25" customHeight="1">
      <c r="A21" s="916"/>
      <c r="B21" s="820"/>
      <c r="C21" s="918"/>
      <c r="D21" s="819"/>
      <c r="E21" s="906"/>
      <c r="F21" s="820"/>
      <c r="G21" s="439">
        <v>1618801</v>
      </c>
      <c r="H21" s="439">
        <v>1380996</v>
      </c>
      <c r="I21" s="411" t="s">
        <v>6</v>
      </c>
      <c r="J21" s="440">
        <f>K21+N21</f>
        <v>30366</v>
      </c>
      <c r="K21" s="440">
        <f>L21+M21</f>
        <v>25811</v>
      </c>
      <c r="L21" s="414">
        <v>25811</v>
      </c>
      <c r="M21" s="414">
        <v>0</v>
      </c>
      <c r="N21" s="440">
        <f>O21+R21+U21</f>
        <v>4555</v>
      </c>
      <c r="O21" s="440">
        <f>P21+Q21</f>
        <v>4555</v>
      </c>
      <c r="P21" s="414">
        <v>4555</v>
      </c>
      <c r="Q21" s="414">
        <v>0</v>
      </c>
      <c r="R21" s="440">
        <f>S21+T21</f>
        <v>0</v>
      </c>
      <c r="S21" s="414">
        <v>0</v>
      </c>
      <c r="T21" s="414">
        <v>0</v>
      </c>
      <c r="U21" s="440">
        <f>V21+W21</f>
        <v>0</v>
      </c>
      <c r="V21" s="414">
        <v>0</v>
      </c>
      <c r="W21" s="414">
        <v>0</v>
      </c>
    </row>
    <row r="22" spans="1:256" s="438" customFormat="1" ht="17.25" customHeight="1">
      <c r="A22" s="916"/>
      <c r="B22" s="820"/>
      <c r="C22" s="918"/>
      <c r="D22" s="819"/>
      <c r="E22" s="906"/>
      <c r="F22" s="820"/>
      <c r="G22" s="439">
        <v>39</v>
      </c>
      <c r="H22" s="439">
        <v>39</v>
      </c>
      <c r="I22" s="817" t="s">
        <v>7</v>
      </c>
      <c r="J22" s="901">
        <f t="shared" ref="J22:W22" si="0">J19+J21</f>
        <v>1585366</v>
      </c>
      <c r="K22" s="901">
        <f t="shared" si="0"/>
        <v>1347561</v>
      </c>
      <c r="L22" s="814">
        <f t="shared" si="0"/>
        <v>1347561</v>
      </c>
      <c r="M22" s="814">
        <f t="shared" si="0"/>
        <v>0</v>
      </c>
      <c r="N22" s="901">
        <f t="shared" si="0"/>
        <v>237805</v>
      </c>
      <c r="O22" s="901">
        <f t="shared" si="0"/>
        <v>237805</v>
      </c>
      <c r="P22" s="814">
        <f t="shared" si="0"/>
        <v>237805</v>
      </c>
      <c r="Q22" s="814">
        <f t="shared" si="0"/>
        <v>0</v>
      </c>
      <c r="R22" s="901">
        <f t="shared" si="0"/>
        <v>0</v>
      </c>
      <c r="S22" s="814">
        <f t="shared" si="0"/>
        <v>0</v>
      </c>
      <c r="T22" s="814">
        <f t="shared" si="0"/>
        <v>0</v>
      </c>
      <c r="U22" s="901">
        <f t="shared" si="0"/>
        <v>0</v>
      </c>
      <c r="V22" s="814">
        <f t="shared" si="0"/>
        <v>0</v>
      </c>
      <c r="W22" s="814">
        <f t="shared" si="0"/>
        <v>0</v>
      </c>
    </row>
    <row r="23" spans="1:256" s="438" customFormat="1" ht="17.25" customHeight="1">
      <c r="A23" s="916"/>
      <c r="B23" s="820"/>
      <c r="C23" s="919"/>
      <c r="D23" s="819"/>
      <c r="E23" s="906"/>
      <c r="F23" s="820"/>
      <c r="G23" s="439">
        <v>0</v>
      </c>
      <c r="H23" s="439">
        <v>0</v>
      </c>
      <c r="I23" s="818"/>
      <c r="J23" s="901"/>
      <c r="K23" s="901"/>
      <c r="L23" s="814"/>
      <c r="M23" s="814"/>
      <c r="N23" s="901"/>
      <c r="O23" s="901"/>
      <c r="P23" s="814"/>
      <c r="Q23" s="814"/>
      <c r="R23" s="901"/>
      <c r="S23" s="814"/>
      <c r="T23" s="814"/>
      <c r="U23" s="901"/>
      <c r="V23" s="814"/>
      <c r="W23" s="814"/>
    </row>
    <row r="24" spans="1:256" s="438" customFormat="1" ht="14.85" hidden="1" customHeight="1">
      <c r="A24" s="922">
        <v>2</v>
      </c>
      <c r="B24" s="820" t="s">
        <v>887</v>
      </c>
      <c r="C24" s="917" t="s">
        <v>891</v>
      </c>
      <c r="D24" s="819" t="s">
        <v>624</v>
      </c>
      <c r="E24" s="906" t="s">
        <v>889</v>
      </c>
      <c r="F24" s="820" t="s">
        <v>892</v>
      </c>
      <c r="G24" s="439">
        <f>G26+G25+G27+G28</f>
        <v>814900</v>
      </c>
      <c r="H24" s="439">
        <f>H26+H25+H27+H28</f>
        <v>125400</v>
      </c>
      <c r="I24" s="817" t="s">
        <v>5</v>
      </c>
      <c r="J24" s="901">
        <f t="shared" ref="J24" si="1">K24+N24</f>
        <v>355000</v>
      </c>
      <c r="K24" s="901">
        <f t="shared" ref="K24" si="2">L24+M24</f>
        <v>271575</v>
      </c>
      <c r="L24" s="814">
        <v>271575</v>
      </c>
      <c r="M24" s="814">
        <v>0</v>
      </c>
      <c r="N24" s="901">
        <f t="shared" ref="N24" si="3">O24+R24+U24</f>
        <v>83425</v>
      </c>
      <c r="O24" s="901">
        <f t="shared" ref="O24" si="4">P24+Q24</f>
        <v>47925</v>
      </c>
      <c r="P24" s="814">
        <v>47925</v>
      </c>
      <c r="Q24" s="814">
        <v>0</v>
      </c>
      <c r="R24" s="901">
        <f t="shared" ref="R24" si="5">S24+T24</f>
        <v>35500</v>
      </c>
      <c r="S24" s="814">
        <v>35500</v>
      </c>
      <c r="T24" s="814">
        <v>0</v>
      </c>
      <c r="U24" s="901">
        <f t="shared" ref="U24" si="6">V24+W24</f>
        <v>0</v>
      </c>
      <c r="V24" s="814">
        <v>0</v>
      </c>
      <c r="W24" s="814">
        <v>0</v>
      </c>
    </row>
    <row r="25" spans="1:256" s="438" customFormat="1" ht="14.85" hidden="1" customHeight="1">
      <c r="A25" s="922"/>
      <c r="B25" s="820"/>
      <c r="C25" s="918"/>
      <c r="D25" s="819"/>
      <c r="E25" s="906"/>
      <c r="F25" s="820"/>
      <c r="G25" s="439">
        <v>623398</v>
      </c>
      <c r="H25" s="439">
        <v>95931</v>
      </c>
      <c r="I25" s="818"/>
      <c r="J25" s="901"/>
      <c r="K25" s="901"/>
      <c r="L25" s="814"/>
      <c r="M25" s="814"/>
      <c r="N25" s="901"/>
      <c r="O25" s="901"/>
      <c r="P25" s="814"/>
      <c r="Q25" s="814"/>
      <c r="R25" s="901"/>
      <c r="S25" s="814"/>
      <c r="T25" s="814"/>
      <c r="U25" s="901"/>
      <c r="V25" s="814"/>
      <c r="W25" s="814"/>
    </row>
    <row r="26" spans="1:256" s="438" customFormat="1" ht="14.85" hidden="1" customHeight="1">
      <c r="A26" s="922"/>
      <c r="B26" s="820"/>
      <c r="C26" s="918"/>
      <c r="D26" s="819"/>
      <c r="E26" s="906"/>
      <c r="F26" s="820"/>
      <c r="G26" s="439">
        <v>110012</v>
      </c>
      <c r="H26" s="439">
        <v>16929</v>
      </c>
      <c r="I26" s="411" t="s">
        <v>6</v>
      </c>
      <c r="J26" s="440">
        <f t="shared" ref="J26" si="7">K26+N26</f>
        <v>0</v>
      </c>
      <c r="K26" s="440">
        <f t="shared" ref="K26" si="8">L26+M26</f>
        <v>0</v>
      </c>
      <c r="L26" s="414">
        <v>0</v>
      </c>
      <c r="M26" s="414">
        <v>0</v>
      </c>
      <c r="N26" s="440">
        <f t="shared" ref="N26" si="9">O26+R26+U26</f>
        <v>0</v>
      </c>
      <c r="O26" s="440">
        <f t="shared" ref="O26" si="10">P26+Q26</f>
        <v>0</v>
      </c>
      <c r="P26" s="414">
        <v>0</v>
      </c>
      <c r="Q26" s="414">
        <v>0</v>
      </c>
      <c r="R26" s="440">
        <f t="shared" ref="R26" si="11">S26+T26</f>
        <v>0</v>
      </c>
      <c r="S26" s="414">
        <v>0</v>
      </c>
      <c r="T26" s="414">
        <v>0</v>
      </c>
      <c r="U26" s="440">
        <f t="shared" ref="U26" si="12">V26+W26</f>
        <v>0</v>
      </c>
      <c r="V26" s="414">
        <v>0</v>
      </c>
      <c r="W26" s="414">
        <v>0</v>
      </c>
    </row>
    <row r="27" spans="1:256" s="438" customFormat="1" ht="14.85" hidden="1" customHeight="1">
      <c r="A27" s="922"/>
      <c r="B27" s="820"/>
      <c r="C27" s="918"/>
      <c r="D27" s="819"/>
      <c r="E27" s="906"/>
      <c r="F27" s="820"/>
      <c r="G27" s="439">
        <v>81490</v>
      </c>
      <c r="H27" s="439">
        <v>12540</v>
      </c>
      <c r="I27" s="817" t="s">
        <v>7</v>
      </c>
      <c r="J27" s="901">
        <f t="shared" ref="J27:W27" si="13">J24+J26</f>
        <v>355000</v>
      </c>
      <c r="K27" s="901">
        <f t="shared" si="13"/>
        <v>271575</v>
      </c>
      <c r="L27" s="814">
        <f t="shared" si="13"/>
        <v>271575</v>
      </c>
      <c r="M27" s="814">
        <f t="shared" si="13"/>
        <v>0</v>
      </c>
      <c r="N27" s="901">
        <f t="shared" si="13"/>
        <v>83425</v>
      </c>
      <c r="O27" s="901">
        <f t="shared" si="13"/>
        <v>47925</v>
      </c>
      <c r="P27" s="814">
        <f t="shared" si="13"/>
        <v>47925</v>
      </c>
      <c r="Q27" s="814">
        <f t="shared" si="13"/>
        <v>0</v>
      </c>
      <c r="R27" s="901">
        <f t="shared" si="13"/>
        <v>35500</v>
      </c>
      <c r="S27" s="814">
        <f t="shared" si="13"/>
        <v>35500</v>
      </c>
      <c r="T27" s="814">
        <f t="shared" si="13"/>
        <v>0</v>
      </c>
      <c r="U27" s="901">
        <f t="shared" si="13"/>
        <v>0</v>
      </c>
      <c r="V27" s="814">
        <f t="shared" si="13"/>
        <v>0</v>
      </c>
      <c r="W27" s="814">
        <f t="shared" si="13"/>
        <v>0</v>
      </c>
    </row>
    <row r="28" spans="1:256" s="438" customFormat="1" ht="14.85" hidden="1" customHeight="1">
      <c r="A28" s="922"/>
      <c r="B28" s="820"/>
      <c r="C28" s="919"/>
      <c r="D28" s="819"/>
      <c r="E28" s="906"/>
      <c r="F28" s="820"/>
      <c r="G28" s="439">
        <v>0</v>
      </c>
      <c r="H28" s="439">
        <v>0</v>
      </c>
      <c r="I28" s="818"/>
      <c r="J28" s="901"/>
      <c r="K28" s="901"/>
      <c r="L28" s="814"/>
      <c r="M28" s="814"/>
      <c r="N28" s="901"/>
      <c r="O28" s="901"/>
      <c r="P28" s="814"/>
      <c r="Q28" s="814"/>
      <c r="R28" s="901"/>
      <c r="S28" s="814"/>
      <c r="T28" s="814"/>
      <c r="U28" s="901"/>
      <c r="V28" s="814"/>
      <c r="W28" s="814"/>
    </row>
    <row r="29" spans="1:256" s="438" customFormat="1" ht="17.25" customHeight="1">
      <c r="A29" s="916">
        <v>2</v>
      </c>
      <c r="B29" s="825" t="s">
        <v>893</v>
      </c>
      <c r="C29" s="917" t="s">
        <v>894</v>
      </c>
      <c r="D29" s="819" t="s">
        <v>895</v>
      </c>
      <c r="E29" s="906" t="s">
        <v>733</v>
      </c>
      <c r="F29" s="820" t="s">
        <v>662</v>
      </c>
      <c r="G29" s="439">
        <f>G30+G31+G32+G33</f>
        <v>9806092</v>
      </c>
      <c r="H29" s="439">
        <f>H30+H31+H32+H33</f>
        <v>4622239</v>
      </c>
      <c r="I29" s="817" t="s">
        <v>5</v>
      </c>
      <c r="J29" s="901">
        <f t="shared" ref="J29" si="14">K29+N29</f>
        <v>3659000</v>
      </c>
      <c r="K29" s="901">
        <f t="shared" ref="K29" si="15">L29+M29</f>
        <v>0</v>
      </c>
      <c r="L29" s="814">
        <v>0</v>
      </c>
      <c r="M29" s="814">
        <v>0</v>
      </c>
      <c r="N29" s="901">
        <f t="shared" ref="N29" si="16">O29+R29+U29</f>
        <v>3659000</v>
      </c>
      <c r="O29" s="901">
        <f t="shared" ref="O29" si="17">P29+Q29</f>
        <v>3659000</v>
      </c>
      <c r="P29" s="814">
        <v>3659000</v>
      </c>
      <c r="Q29" s="814">
        <v>0</v>
      </c>
      <c r="R29" s="901">
        <f t="shared" ref="R29" si="18">S29+T29</f>
        <v>0</v>
      </c>
      <c r="S29" s="814">
        <v>0</v>
      </c>
      <c r="T29" s="814">
        <v>0</v>
      </c>
      <c r="U29" s="901">
        <f t="shared" ref="U29" si="19">V29+W29</f>
        <v>0</v>
      </c>
      <c r="V29" s="814">
        <v>0</v>
      </c>
      <c r="W29" s="814">
        <v>0</v>
      </c>
    </row>
    <row r="30" spans="1:256" s="438" customFormat="1" ht="17.25" customHeight="1">
      <c r="A30" s="916"/>
      <c r="B30" s="826"/>
      <c r="C30" s="918"/>
      <c r="D30" s="819"/>
      <c r="E30" s="906"/>
      <c r="F30" s="820"/>
      <c r="G30" s="439">
        <v>0</v>
      </c>
      <c r="H30" s="439">
        <v>0</v>
      </c>
      <c r="I30" s="818"/>
      <c r="J30" s="901"/>
      <c r="K30" s="901"/>
      <c r="L30" s="814"/>
      <c r="M30" s="814"/>
      <c r="N30" s="901"/>
      <c r="O30" s="901"/>
      <c r="P30" s="814"/>
      <c r="Q30" s="814"/>
      <c r="R30" s="901"/>
      <c r="S30" s="814"/>
      <c r="T30" s="814"/>
      <c r="U30" s="901"/>
      <c r="V30" s="814"/>
      <c r="W30" s="814"/>
    </row>
    <row r="31" spans="1:256" s="438" customFormat="1" ht="17.25" customHeight="1">
      <c r="A31" s="916"/>
      <c r="B31" s="826"/>
      <c r="C31" s="918"/>
      <c r="D31" s="819"/>
      <c r="E31" s="906"/>
      <c r="F31" s="820"/>
      <c r="G31" s="439">
        <v>9806092</v>
      </c>
      <c r="H31" s="439">
        <v>4622239</v>
      </c>
      <c r="I31" s="411" t="s">
        <v>6</v>
      </c>
      <c r="J31" s="440">
        <f t="shared" ref="J31" si="20">K31+N31</f>
        <v>0</v>
      </c>
      <c r="K31" s="440">
        <f t="shared" ref="K31" si="21">L31+M31</f>
        <v>0</v>
      </c>
      <c r="L31" s="414">
        <v>0</v>
      </c>
      <c r="M31" s="414">
        <v>0</v>
      </c>
      <c r="N31" s="440">
        <f t="shared" ref="N31" si="22">O31+R31+U31</f>
        <v>0</v>
      </c>
      <c r="O31" s="440">
        <f t="shared" ref="O31" si="23">P31+Q31</f>
        <v>0</v>
      </c>
      <c r="P31" s="414">
        <v>0</v>
      </c>
      <c r="Q31" s="414">
        <v>0</v>
      </c>
      <c r="R31" s="440">
        <f t="shared" ref="R31" si="24">S31+T31</f>
        <v>0</v>
      </c>
      <c r="S31" s="414">
        <v>0</v>
      </c>
      <c r="T31" s="414">
        <v>0</v>
      </c>
      <c r="U31" s="440">
        <f t="shared" ref="U31" si="25">V31+W31</f>
        <v>0</v>
      </c>
      <c r="V31" s="414">
        <v>0</v>
      </c>
      <c r="W31" s="414">
        <v>0</v>
      </c>
    </row>
    <row r="32" spans="1:256" s="438" customFormat="1" ht="17.25" customHeight="1">
      <c r="A32" s="916"/>
      <c r="B32" s="826"/>
      <c r="C32" s="918"/>
      <c r="D32" s="819"/>
      <c r="E32" s="906"/>
      <c r="F32" s="820"/>
      <c r="G32" s="439">
        <v>0</v>
      </c>
      <c r="H32" s="439">
        <v>0</v>
      </c>
      <c r="I32" s="817" t="s">
        <v>7</v>
      </c>
      <c r="J32" s="901">
        <f t="shared" ref="J32:W32" si="26">J29+J31</f>
        <v>3659000</v>
      </c>
      <c r="K32" s="901">
        <f t="shared" si="26"/>
        <v>0</v>
      </c>
      <c r="L32" s="814">
        <f t="shared" si="26"/>
        <v>0</v>
      </c>
      <c r="M32" s="814">
        <f t="shared" si="26"/>
        <v>0</v>
      </c>
      <c r="N32" s="901">
        <f t="shared" si="26"/>
        <v>3659000</v>
      </c>
      <c r="O32" s="901">
        <f t="shared" si="26"/>
        <v>3659000</v>
      </c>
      <c r="P32" s="814">
        <f t="shared" si="26"/>
        <v>3659000</v>
      </c>
      <c r="Q32" s="814">
        <f t="shared" si="26"/>
        <v>0</v>
      </c>
      <c r="R32" s="901">
        <f t="shared" si="26"/>
        <v>0</v>
      </c>
      <c r="S32" s="814">
        <f t="shared" si="26"/>
        <v>0</v>
      </c>
      <c r="T32" s="814">
        <f t="shared" si="26"/>
        <v>0</v>
      </c>
      <c r="U32" s="901">
        <f t="shared" si="26"/>
        <v>0</v>
      </c>
      <c r="V32" s="814">
        <f t="shared" si="26"/>
        <v>0</v>
      </c>
      <c r="W32" s="814">
        <f t="shared" si="26"/>
        <v>0</v>
      </c>
    </row>
    <row r="33" spans="1:23" s="438" customFormat="1" ht="17.25" customHeight="1">
      <c r="A33" s="916"/>
      <c r="B33" s="827"/>
      <c r="C33" s="919"/>
      <c r="D33" s="819"/>
      <c r="E33" s="906"/>
      <c r="F33" s="820"/>
      <c r="G33" s="439">
        <v>0</v>
      </c>
      <c r="H33" s="439">
        <v>0</v>
      </c>
      <c r="I33" s="818"/>
      <c r="J33" s="901"/>
      <c r="K33" s="901"/>
      <c r="L33" s="814"/>
      <c r="M33" s="814"/>
      <c r="N33" s="901"/>
      <c r="O33" s="901"/>
      <c r="P33" s="814"/>
      <c r="Q33" s="814"/>
      <c r="R33" s="901"/>
      <c r="S33" s="814"/>
      <c r="T33" s="814"/>
      <c r="U33" s="901"/>
      <c r="V33" s="814"/>
      <c r="W33" s="814"/>
    </row>
    <row r="34" spans="1:23" s="438" customFormat="1" ht="14.85" hidden="1" customHeight="1">
      <c r="A34" s="902">
        <v>1</v>
      </c>
      <c r="B34" s="825" t="s">
        <v>896</v>
      </c>
      <c r="C34" s="917" t="s">
        <v>897</v>
      </c>
      <c r="D34" s="819" t="s">
        <v>898</v>
      </c>
      <c r="E34" s="906" t="s">
        <v>738</v>
      </c>
      <c r="F34" s="820" t="s">
        <v>688</v>
      </c>
      <c r="G34" s="439">
        <f>G36+G35+G37+G38</f>
        <v>29251022</v>
      </c>
      <c r="H34" s="439">
        <f>H36+H35+H37+H38</f>
        <v>16190564</v>
      </c>
      <c r="I34" s="817" t="s">
        <v>5</v>
      </c>
      <c r="J34" s="901">
        <f t="shared" ref="J34" si="27">K34+N34</f>
        <v>13060458</v>
      </c>
      <c r="K34" s="901">
        <f t="shared" ref="K34" si="28">L34+M34</f>
        <v>11007355</v>
      </c>
      <c r="L34" s="814">
        <v>11007355</v>
      </c>
      <c r="M34" s="814">
        <v>0</v>
      </c>
      <c r="N34" s="901">
        <f t="shared" ref="N34" si="29">O34+R34+U34</f>
        <v>2053103</v>
      </c>
      <c r="O34" s="901">
        <f t="shared" ref="O34" si="30">P34+Q34</f>
        <v>2053103</v>
      </c>
      <c r="P34" s="814">
        <v>2053103</v>
      </c>
      <c r="Q34" s="814">
        <v>0</v>
      </c>
      <c r="R34" s="901">
        <f t="shared" ref="R34" si="31">S34+T34</f>
        <v>0</v>
      </c>
      <c r="S34" s="814">
        <v>0</v>
      </c>
      <c r="T34" s="814">
        <v>0</v>
      </c>
      <c r="U34" s="901">
        <f t="shared" ref="U34" si="32">V34+W34</f>
        <v>0</v>
      </c>
      <c r="V34" s="814">
        <v>0</v>
      </c>
      <c r="W34" s="814">
        <v>0</v>
      </c>
    </row>
    <row r="35" spans="1:23" s="438" customFormat="1" ht="14.85" hidden="1" customHeight="1">
      <c r="A35" s="902"/>
      <c r="B35" s="826"/>
      <c r="C35" s="918"/>
      <c r="D35" s="819"/>
      <c r="E35" s="906"/>
      <c r="F35" s="820"/>
      <c r="G35" s="439">
        <v>24652761</v>
      </c>
      <c r="H35" s="439">
        <v>13645406</v>
      </c>
      <c r="I35" s="818"/>
      <c r="J35" s="901"/>
      <c r="K35" s="901"/>
      <c r="L35" s="814"/>
      <c r="M35" s="814"/>
      <c r="N35" s="901"/>
      <c r="O35" s="901"/>
      <c r="P35" s="814"/>
      <c r="Q35" s="814"/>
      <c r="R35" s="901"/>
      <c r="S35" s="814"/>
      <c r="T35" s="814"/>
      <c r="U35" s="901"/>
      <c r="V35" s="814"/>
      <c r="W35" s="814"/>
    </row>
    <row r="36" spans="1:23" s="438" customFormat="1" ht="14.85" hidden="1" customHeight="1">
      <c r="A36" s="902"/>
      <c r="B36" s="826"/>
      <c r="C36" s="918"/>
      <c r="D36" s="819"/>
      <c r="E36" s="906"/>
      <c r="F36" s="820"/>
      <c r="G36" s="439">
        <v>4598261</v>
      </c>
      <c r="H36" s="439">
        <v>2545158</v>
      </c>
      <c r="I36" s="411" t="s">
        <v>6</v>
      </c>
      <c r="J36" s="440">
        <f t="shared" ref="J36" si="33">K36+N36</f>
        <v>0</v>
      </c>
      <c r="K36" s="440">
        <f t="shared" ref="K36" si="34">L36+M36</f>
        <v>0</v>
      </c>
      <c r="L36" s="414">
        <v>0</v>
      </c>
      <c r="M36" s="414">
        <v>0</v>
      </c>
      <c r="N36" s="440">
        <f t="shared" ref="N36" si="35">O36+R36+U36</f>
        <v>0</v>
      </c>
      <c r="O36" s="440">
        <f t="shared" ref="O36" si="36">P36+Q36</f>
        <v>0</v>
      </c>
      <c r="P36" s="414">
        <v>0</v>
      </c>
      <c r="Q36" s="414">
        <v>0</v>
      </c>
      <c r="R36" s="440">
        <f t="shared" ref="R36" si="37">S36+T36</f>
        <v>0</v>
      </c>
      <c r="S36" s="414">
        <v>0</v>
      </c>
      <c r="T36" s="414">
        <v>0</v>
      </c>
      <c r="U36" s="440">
        <f t="shared" ref="U36" si="38">V36+W36</f>
        <v>0</v>
      </c>
      <c r="V36" s="414">
        <v>0</v>
      </c>
      <c r="W36" s="414">
        <v>0</v>
      </c>
    </row>
    <row r="37" spans="1:23" s="438" customFormat="1" ht="14.85" hidden="1" customHeight="1">
      <c r="A37" s="902"/>
      <c r="B37" s="826"/>
      <c r="C37" s="918"/>
      <c r="D37" s="819"/>
      <c r="E37" s="906"/>
      <c r="F37" s="820"/>
      <c r="G37" s="439">
        <v>0</v>
      </c>
      <c r="H37" s="439">
        <v>0</v>
      </c>
      <c r="I37" s="817" t="s">
        <v>7</v>
      </c>
      <c r="J37" s="901">
        <f t="shared" ref="J37:W37" si="39">J34+J36</f>
        <v>13060458</v>
      </c>
      <c r="K37" s="901">
        <f t="shared" si="39"/>
        <v>11007355</v>
      </c>
      <c r="L37" s="814">
        <f t="shared" si="39"/>
        <v>11007355</v>
      </c>
      <c r="M37" s="814">
        <f t="shared" si="39"/>
        <v>0</v>
      </c>
      <c r="N37" s="901">
        <f t="shared" si="39"/>
        <v>2053103</v>
      </c>
      <c r="O37" s="901">
        <f t="shared" si="39"/>
        <v>2053103</v>
      </c>
      <c r="P37" s="814">
        <f t="shared" si="39"/>
        <v>2053103</v>
      </c>
      <c r="Q37" s="814">
        <f t="shared" si="39"/>
        <v>0</v>
      </c>
      <c r="R37" s="901">
        <f t="shared" si="39"/>
        <v>0</v>
      </c>
      <c r="S37" s="814">
        <f t="shared" si="39"/>
        <v>0</v>
      </c>
      <c r="T37" s="814">
        <f t="shared" si="39"/>
        <v>0</v>
      </c>
      <c r="U37" s="901">
        <f t="shared" si="39"/>
        <v>0</v>
      </c>
      <c r="V37" s="814">
        <f t="shared" si="39"/>
        <v>0</v>
      </c>
      <c r="W37" s="814">
        <f t="shared" si="39"/>
        <v>0</v>
      </c>
    </row>
    <row r="38" spans="1:23" s="438" customFormat="1" ht="14.85" hidden="1" customHeight="1">
      <c r="A38" s="902"/>
      <c r="B38" s="827"/>
      <c r="C38" s="919"/>
      <c r="D38" s="819"/>
      <c r="E38" s="906"/>
      <c r="F38" s="820"/>
      <c r="G38" s="439">
        <v>0</v>
      </c>
      <c r="H38" s="439">
        <v>0</v>
      </c>
      <c r="I38" s="818"/>
      <c r="J38" s="901"/>
      <c r="K38" s="901"/>
      <c r="L38" s="814"/>
      <c r="M38" s="814"/>
      <c r="N38" s="901"/>
      <c r="O38" s="901"/>
      <c r="P38" s="814"/>
      <c r="Q38" s="814"/>
      <c r="R38" s="901"/>
      <c r="S38" s="814"/>
      <c r="T38" s="814"/>
      <c r="U38" s="901"/>
      <c r="V38" s="814"/>
      <c r="W38" s="814"/>
    </row>
    <row r="39" spans="1:23" s="438" customFormat="1" ht="17.25" customHeight="1">
      <c r="A39" s="916">
        <v>3</v>
      </c>
      <c r="B39" s="825" t="s">
        <v>899</v>
      </c>
      <c r="C39" s="917" t="s">
        <v>900</v>
      </c>
      <c r="D39" s="819" t="s">
        <v>901</v>
      </c>
      <c r="E39" s="906" t="s">
        <v>766</v>
      </c>
      <c r="F39" s="820" t="s">
        <v>639</v>
      </c>
      <c r="G39" s="439">
        <f>G40+G41+G42+G43</f>
        <v>203748</v>
      </c>
      <c r="H39" s="439">
        <f>H40+H41+H42+H43</f>
        <v>71028</v>
      </c>
      <c r="I39" s="817" t="s">
        <v>5</v>
      </c>
      <c r="J39" s="901">
        <f t="shared" ref="J39" si="40">K39+N39</f>
        <v>110950</v>
      </c>
      <c r="K39" s="901">
        <f t="shared" ref="K39" si="41">L39+M39</f>
        <v>93509</v>
      </c>
      <c r="L39" s="814">
        <v>93509</v>
      </c>
      <c r="M39" s="814">
        <v>0</v>
      </c>
      <c r="N39" s="901">
        <f t="shared" ref="N39" si="42">O39+R39+U39</f>
        <v>17441</v>
      </c>
      <c r="O39" s="901">
        <f t="shared" ref="O39" si="43">P39+Q39</f>
        <v>17441</v>
      </c>
      <c r="P39" s="814">
        <v>17441</v>
      </c>
      <c r="Q39" s="814">
        <v>0</v>
      </c>
      <c r="R39" s="901">
        <f t="shared" ref="R39" si="44">S39+T39</f>
        <v>0</v>
      </c>
      <c r="S39" s="814">
        <v>0</v>
      </c>
      <c r="T39" s="814">
        <v>0</v>
      </c>
      <c r="U39" s="901">
        <f t="shared" ref="U39" si="45">V39+W39</f>
        <v>0</v>
      </c>
      <c r="V39" s="814">
        <v>0</v>
      </c>
      <c r="W39" s="814">
        <v>0</v>
      </c>
    </row>
    <row r="40" spans="1:23" s="438" customFormat="1" ht="17.25" customHeight="1">
      <c r="A40" s="916"/>
      <c r="B40" s="826"/>
      <c r="C40" s="918"/>
      <c r="D40" s="819"/>
      <c r="E40" s="906"/>
      <c r="F40" s="820"/>
      <c r="G40" s="439">
        <v>171719</v>
      </c>
      <c r="H40" s="439">
        <v>59862</v>
      </c>
      <c r="I40" s="818"/>
      <c r="J40" s="901"/>
      <c r="K40" s="901"/>
      <c r="L40" s="814"/>
      <c r="M40" s="814"/>
      <c r="N40" s="901"/>
      <c r="O40" s="901"/>
      <c r="P40" s="814"/>
      <c r="Q40" s="814"/>
      <c r="R40" s="901"/>
      <c r="S40" s="814"/>
      <c r="T40" s="814"/>
      <c r="U40" s="901"/>
      <c r="V40" s="814"/>
      <c r="W40" s="814"/>
    </row>
    <row r="41" spans="1:23" s="438" customFormat="1" ht="17.25" customHeight="1">
      <c r="A41" s="916"/>
      <c r="B41" s="826"/>
      <c r="C41" s="918"/>
      <c r="D41" s="819"/>
      <c r="E41" s="906"/>
      <c r="F41" s="820"/>
      <c r="G41" s="439">
        <v>32029</v>
      </c>
      <c r="H41" s="439">
        <v>11166</v>
      </c>
      <c r="I41" s="411" t="s">
        <v>6</v>
      </c>
      <c r="J41" s="440">
        <f t="shared" ref="J41" si="46">K41+N41</f>
        <v>21770</v>
      </c>
      <c r="K41" s="440">
        <f t="shared" ref="K41" si="47">L41+M41</f>
        <v>18348</v>
      </c>
      <c r="L41" s="414">
        <v>18348</v>
      </c>
      <c r="M41" s="414">
        <v>0</v>
      </c>
      <c r="N41" s="440">
        <f t="shared" ref="N41" si="48">O41+R41+U41</f>
        <v>3422</v>
      </c>
      <c r="O41" s="440">
        <f t="shared" ref="O41" si="49">P41+Q41</f>
        <v>3422</v>
      </c>
      <c r="P41" s="414">
        <v>3422</v>
      </c>
      <c r="Q41" s="414">
        <v>0</v>
      </c>
      <c r="R41" s="440">
        <f t="shared" ref="R41" si="50">S41+T41</f>
        <v>0</v>
      </c>
      <c r="S41" s="414">
        <v>0</v>
      </c>
      <c r="T41" s="414">
        <v>0</v>
      </c>
      <c r="U41" s="440">
        <f t="shared" ref="U41" si="51">V41+W41</f>
        <v>0</v>
      </c>
      <c r="V41" s="414">
        <v>0</v>
      </c>
      <c r="W41" s="414">
        <v>0</v>
      </c>
    </row>
    <row r="42" spans="1:23" s="438" customFormat="1" ht="17.25" customHeight="1">
      <c r="A42" s="916"/>
      <c r="B42" s="826"/>
      <c r="C42" s="918"/>
      <c r="D42" s="819"/>
      <c r="E42" s="906"/>
      <c r="F42" s="820"/>
      <c r="G42" s="439">
        <v>0</v>
      </c>
      <c r="H42" s="439">
        <v>0</v>
      </c>
      <c r="I42" s="817" t="s">
        <v>7</v>
      </c>
      <c r="J42" s="901">
        <f t="shared" ref="J42:W42" si="52">J39+J41</f>
        <v>132720</v>
      </c>
      <c r="K42" s="901">
        <f t="shared" si="52"/>
        <v>111857</v>
      </c>
      <c r="L42" s="814">
        <f t="shared" si="52"/>
        <v>111857</v>
      </c>
      <c r="M42" s="814">
        <f t="shared" si="52"/>
        <v>0</v>
      </c>
      <c r="N42" s="901">
        <f t="shared" si="52"/>
        <v>20863</v>
      </c>
      <c r="O42" s="901">
        <f t="shared" si="52"/>
        <v>20863</v>
      </c>
      <c r="P42" s="814">
        <f t="shared" si="52"/>
        <v>20863</v>
      </c>
      <c r="Q42" s="814">
        <f t="shared" si="52"/>
        <v>0</v>
      </c>
      <c r="R42" s="901">
        <f t="shared" si="52"/>
        <v>0</v>
      </c>
      <c r="S42" s="814">
        <f t="shared" si="52"/>
        <v>0</v>
      </c>
      <c r="T42" s="814">
        <f t="shared" si="52"/>
        <v>0</v>
      </c>
      <c r="U42" s="901">
        <f t="shared" si="52"/>
        <v>0</v>
      </c>
      <c r="V42" s="814">
        <f t="shared" si="52"/>
        <v>0</v>
      </c>
      <c r="W42" s="814">
        <f t="shared" si="52"/>
        <v>0</v>
      </c>
    </row>
    <row r="43" spans="1:23" s="438" customFormat="1" ht="17.25" customHeight="1">
      <c r="A43" s="916"/>
      <c r="B43" s="827"/>
      <c r="C43" s="919"/>
      <c r="D43" s="819"/>
      <c r="E43" s="906"/>
      <c r="F43" s="820"/>
      <c r="G43" s="439">
        <v>0</v>
      </c>
      <c r="H43" s="439">
        <v>0</v>
      </c>
      <c r="I43" s="818"/>
      <c r="J43" s="901"/>
      <c r="K43" s="901"/>
      <c r="L43" s="814"/>
      <c r="M43" s="814"/>
      <c r="N43" s="901"/>
      <c r="O43" s="901"/>
      <c r="P43" s="814"/>
      <c r="Q43" s="814"/>
      <c r="R43" s="901"/>
      <c r="S43" s="814"/>
      <c r="T43" s="814"/>
      <c r="U43" s="901"/>
      <c r="V43" s="814"/>
      <c r="W43" s="814"/>
    </row>
    <row r="44" spans="1:23" s="438" customFormat="1" ht="17.25" customHeight="1">
      <c r="A44" s="916">
        <v>4</v>
      </c>
      <c r="B44" s="825" t="s">
        <v>902</v>
      </c>
      <c r="C44" s="917" t="s">
        <v>903</v>
      </c>
      <c r="D44" s="819" t="s">
        <v>226</v>
      </c>
      <c r="E44" s="906" t="s">
        <v>889</v>
      </c>
      <c r="F44" s="820" t="s">
        <v>639</v>
      </c>
      <c r="G44" s="439">
        <f>G45+G46+G47+G48</f>
        <v>326482</v>
      </c>
      <c r="H44" s="439">
        <f>H45+H46+H47+H48</f>
        <v>112332</v>
      </c>
      <c r="I44" s="817" t="s">
        <v>5</v>
      </c>
      <c r="J44" s="901">
        <f t="shared" ref="J44" si="53">K44+N44</f>
        <v>152268</v>
      </c>
      <c r="K44" s="901">
        <f t="shared" ref="K44" si="54">L44+M44</f>
        <v>142594</v>
      </c>
      <c r="L44" s="814">
        <v>142594</v>
      </c>
      <c r="M44" s="814">
        <v>0</v>
      </c>
      <c r="N44" s="901">
        <f t="shared" ref="N44" si="55">O44+R44+U44</f>
        <v>9674</v>
      </c>
      <c r="O44" s="901">
        <f t="shared" ref="O44" si="56">P44+Q44</f>
        <v>9674</v>
      </c>
      <c r="P44" s="814">
        <v>9674</v>
      </c>
      <c r="Q44" s="814">
        <v>0</v>
      </c>
      <c r="R44" s="901">
        <f t="shared" ref="R44" si="57">S44+T44</f>
        <v>0</v>
      </c>
      <c r="S44" s="814">
        <v>0</v>
      </c>
      <c r="T44" s="814">
        <v>0</v>
      </c>
      <c r="U44" s="901">
        <f t="shared" ref="U44" si="58">V44+W44</f>
        <v>0</v>
      </c>
      <c r="V44" s="814">
        <v>0</v>
      </c>
      <c r="W44" s="814">
        <v>0</v>
      </c>
    </row>
    <row r="45" spans="1:23" s="438" customFormat="1" ht="17.25" customHeight="1">
      <c r="A45" s="916"/>
      <c r="B45" s="826"/>
      <c r="C45" s="918"/>
      <c r="D45" s="819"/>
      <c r="E45" s="906"/>
      <c r="F45" s="820"/>
      <c r="G45" s="439">
        <v>305736</v>
      </c>
      <c r="H45" s="439">
        <v>105192</v>
      </c>
      <c r="I45" s="818"/>
      <c r="J45" s="901"/>
      <c r="K45" s="901"/>
      <c r="L45" s="814"/>
      <c r="M45" s="814"/>
      <c r="N45" s="901"/>
      <c r="O45" s="901"/>
      <c r="P45" s="814"/>
      <c r="Q45" s="814"/>
      <c r="R45" s="901"/>
      <c r="S45" s="814"/>
      <c r="T45" s="814"/>
      <c r="U45" s="901"/>
      <c r="V45" s="814"/>
      <c r="W45" s="814"/>
    </row>
    <row r="46" spans="1:23" s="438" customFormat="1" ht="17.25" customHeight="1">
      <c r="A46" s="916"/>
      <c r="B46" s="826"/>
      <c r="C46" s="918"/>
      <c r="D46" s="819"/>
      <c r="E46" s="906"/>
      <c r="F46" s="820"/>
      <c r="G46" s="439">
        <v>20746</v>
      </c>
      <c r="H46" s="439">
        <v>7140</v>
      </c>
      <c r="I46" s="411" t="s">
        <v>6</v>
      </c>
      <c r="J46" s="440">
        <f t="shared" ref="J46" si="59">K46+N46</f>
        <v>61882</v>
      </c>
      <c r="K46" s="440">
        <f t="shared" ref="K46" si="60">L46+M46</f>
        <v>57950</v>
      </c>
      <c r="L46" s="414">
        <v>57950</v>
      </c>
      <c r="M46" s="414">
        <v>0</v>
      </c>
      <c r="N46" s="440">
        <f t="shared" ref="N46" si="61">O46+R46+U46</f>
        <v>3932</v>
      </c>
      <c r="O46" s="440">
        <f t="shared" ref="O46" si="62">P46+Q46</f>
        <v>3932</v>
      </c>
      <c r="P46" s="414">
        <v>3932</v>
      </c>
      <c r="Q46" s="414">
        <v>0</v>
      </c>
      <c r="R46" s="440">
        <f t="shared" ref="R46" si="63">S46+T46</f>
        <v>0</v>
      </c>
      <c r="S46" s="414">
        <v>0</v>
      </c>
      <c r="T46" s="414">
        <v>0</v>
      </c>
      <c r="U46" s="440">
        <f t="shared" ref="U46" si="64">V46+W46</f>
        <v>0</v>
      </c>
      <c r="V46" s="414">
        <v>0</v>
      </c>
      <c r="W46" s="414">
        <v>0</v>
      </c>
    </row>
    <row r="47" spans="1:23" s="438" customFormat="1" ht="17.25" customHeight="1">
      <c r="A47" s="916"/>
      <c r="B47" s="826"/>
      <c r="C47" s="918"/>
      <c r="D47" s="819"/>
      <c r="E47" s="906"/>
      <c r="F47" s="820"/>
      <c r="G47" s="439">
        <v>0</v>
      </c>
      <c r="H47" s="439">
        <v>0</v>
      </c>
      <c r="I47" s="817" t="s">
        <v>7</v>
      </c>
      <c r="J47" s="901">
        <f t="shared" ref="J47:W47" si="65">J44+J46</f>
        <v>214150</v>
      </c>
      <c r="K47" s="901">
        <f t="shared" si="65"/>
        <v>200544</v>
      </c>
      <c r="L47" s="814">
        <f t="shared" si="65"/>
        <v>200544</v>
      </c>
      <c r="M47" s="814">
        <f t="shared" si="65"/>
        <v>0</v>
      </c>
      <c r="N47" s="901">
        <f t="shared" si="65"/>
        <v>13606</v>
      </c>
      <c r="O47" s="901">
        <f t="shared" si="65"/>
        <v>13606</v>
      </c>
      <c r="P47" s="814">
        <f t="shared" si="65"/>
        <v>13606</v>
      </c>
      <c r="Q47" s="814">
        <f t="shared" si="65"/>
        <v>0</v>
      </c>
      <c r="R47" s="901">
        <f t="shared" si="65"/>
        <v>0</v>
      </c>
      <c r="S47" s="814">
        <f t="shared" si="65"/>
        <v>0</v>
      </c>
      <c r="T47" s="814">
        <f t="shared" si="65"/>
        <v>0</v>
      </c>
      <c r="U47" s="901">
        <f t="shared" si="65"/>
        <v>0</v>
      </c>
      <c r="V47" s="814">
        <f t="shared" si="65"/>
        <v>0</v>
      </c>
      <c r="W47" s="814">
        <f t="shared" si="65"/>
        <v>0</v>
      </c>
    </row>
    <row r="48" spans="1:23" s="438" customFormat="1" ht="17.25" customHeight="1">
      <c r="A48" s="916"/>
      <c r="B48" s="827"/>
      <c r="C48" s="919"/>
      <c r="D48" s="819"/>
      <c r="E48" s="906"/>
      <c r="F48" s="820"/>
      <c r="G48" s="439">
        <v>0</v>
      </c>
      <c r="H48" s="439">
        <v>0</v>
      </c>
      <c r="I48" s="818"/>
      <c r="J48" s="901"/>
      <c r="K48" s="901"/>
      <c r="L48" s="814"/>
      <c r="M48" s="814"/>
      <c r="N48" s="901"/>
      <c r="O48" s="901"/>
      <c r="P48" s="814"/>
      <c r="Q48" s="814"/>
      <c r="R48" s="901"/>
      <c r="S48" s="814"/>
      <c r="T48" s="814"/>
      <c r="U48" s="901"/>
      <c r="V48" s="814"/>
      <c r="W48" s="814"/>
    </row>
    <row r="49" spans="1:23" s="438" customFormat="1" ht="17.25" customHeight="1">
      <c r="A49" s="916">
        <v>5</v>
      </c>
      <c r="B49" s="819" t="s">
        <v>904</v>
      </c>
      <c r="C49" s="917" t="s">
        <v>905</v>
      </c>
      <c r="D49" s="819" t="s">
        <v>895</v>
      </c>
      <c r="E49" s="906" t="s">
        <v>733</v>
      </c>
      <c r="F49" s="820" t="s">
        <v>906</v>
      </c>
      <c r="G49" s="439">
        <f>G50+G51+G52+G53</f>
        <v>20135626</v>
      </c>
      <c r="H49" s="439">
        <f>H50+H51+H52+H53</f>
        <v>13756752</v>
      </c>
      <c r="I49" s="817" t="s">
        <v>5</v>
      </c>
      <c r="J49" s="901">
        <f t="shared" ref="J49" si="66">K49+N49</f>
        <v>3145467</v>
      </c>
      <c r="K49" s="901">
        <f t="shared" ref="K49" si="67">L49+M49</f>
        <v>2651000</v>
      </c>
      <c r="L49" s="814">
        <v>2651000</v>
      </c>
      <c r="M49" s="814">
        <v>0</v>
      </c>
      <c r="N49" s="901">
        <f t="shared" ref="N49" si="68">O49+R49+U49</f>
        <v>494467</v>
      </c>
      <c r="O49" s="901">
        <f t="shared" ref="O49" si="69">P49+Q49</f>
        <v>0</v>
      </c>
      <c r="P49" s="814">
        <v>0</v>
      </c>
      <c r="Q49" s="814">
        <v>0</v>
      </c>
      <c r="R49" s="901">
        <f t="shared" ref="R49" si="70">S49+T49</f>
        <v>494467</v>
      </c>
      <c r="S49" s="814">
        <v>494467</v>
      </c>
      <c r="T49" s="814">
        <v>0</v>
      </c>
      <c r="U49" s="901">
        <f t="shared" ref="U49" si="71">V49+W49</f>
        <v>0</v>
      </c>
      <c r="V49" s="814">
        <v>0</v>
      </c>
      <c r="W49" s="814">
        <v>0</v>
      </c>
    </row>
    <row r="50" spans="1:23" s="438" customFormat="1" ht="17.25" customHeight="1">
      <c r="A50" s="916"/>
      <c r="B50" s="819"/>
      <c r="C50" s="918"/>
      <c r="D50" s="819"/>
      <c r="E50" s="906"/>
      <c r="F50" s="820"/>
      <c r="G50" s="439">
        <v>16970304</v>
      </c>
      <c r="H50" s="439">
        <v>11594188</v>
      </c>
      <c r="I50" s="818"/>
      <c r="J50" s="901"/>
      <c r="K50" s="901"/>
      <c r="L50" s="814"/>
      <c r="M50" s="814"/>
      <c r="N50" s="901"/>
      <c r="O50" s="901"/>
      <c r="P50" s="814"/>
      <c r="Q50" s="814"/>
      <c r="R50" s="901"/>
      <c r="S50" s="814"/>
      <c r="T50" s="814"/>
      <c r="U50" s="901"/>
      <c r="V50" s="814"/>
      <c r="W50" s="814"/>
    </row>
    <row r="51" spans="1:23" s="438" customFormat="1" ht="17.25" customHeight="1">
      <c r="A51" s="916"/>
      <c r="B51" s="819"/>
      <c r="C51" s="918"/>
      <c r="D51" s="819"/>
      <c r="E51" s="906"/>
      <c r="F51" s="820"/>
      <c r="G51" s="439">
        <v>0</v>
      </c>
      <c r="H51" s="439">
        <v>0</v>
      </c>
      <c r="I51" s="411" t="s">
        <v>6</v>
      </c>
      <c r="J51" s="440">
        <f t="shared" ref="J51" si="72">K51+N51</f>
        <v>0</v>
      </c>
      <c r="K51" s="440">
        <f t="shared" ref="K51" si="73">L51+M51</f>
        <v>0</v>
      </c>
      <c r="L51" s="414">
        <v>0</v>
      </c>
      <c r="M51" s="414">
        <v>0</v>
      </c>
      <c r="N51" s="440">
        <f t="shared" ref="N51" si="74">O51+R51+U51</f>
        <v>0</v>
      </c>
      <c r="O51" s="440">
        <f t="shared" ref="O51" si="75">P51+Q51</f>
        <v>0</v>
      </c>
      <c r="P51" s="414">
        <v>0</v>
      </c>
      <c r="Q51" s="414">
        <v>0</v>
      </c>
      <c r="R51" s="440">
        <f t="shared" ref="R51" si="76">S51+T51</f>
        <v>0</v>
      </c>
      <c r="S51" s="414">
        <v>0</v>
      </c>
      <c r="T51" s="414">
        <v>0</v>
      </c>
      <c r="U51" s="440">
        <f t="shared" ref="U51" si="77">V51+W51</f>
        <v>0</v>
      </c>
      <c r="V51" s="414">
        <v>0</v>
      </c>
      <c r="W51" s="414">
        <v>0</v>
      </c>
    </row>
    <row r="52" spans="1:23" s="438" customFormat="1" ht="17.25" customHeight="1">
      <c r="A52" s="916"/>
      <c r="B52" s="819"/>
      <c r="C52" s="918"/>
      <c r="D52" s="819"/>
      <c r="E52" s="906"/>
      <c r="F52" s="820"/>
      <c r="G52" s="439">
        <v>3165322</v>
      </c>
      <c r="H52" s="439">
        <v>2162564</v>
      </c>
      <c r="I52" s="817" t="s">
        <v>7</v>
      </c>
      <c r="J52" s="901">
        <f t="shared" ref="J52:W52" si="78">J49+J51</f>
        <v>3145467</v>
      </c>
      <c r="K52" s="901">
        <f t="shared" si="78"/>
        <v>2651000</v>
      </c>
      <c r="L52" s="814">
        <f t="shared" si="78"/>
        <v>2651000</v>
      </c>
      <c r="M52" s="814">
        <f t="shared" si="78"/>
        <v>0</v>
      </c>
      <c r="N52" s="901">
        <f t="shared" si="78"/>
        <v>494467</v>
      </c>
      <c r="O52" s="901">
        <f t="shared" si="78"/>
        <v>0</v>
      </c>
      <c r="P52" s="814">
        <f t="shared" si="78"/>
        <v>0</v>
      </c>
      <c r="Q52" s="814">
        <f t="shared" si="78"/>
        <v>0</v>
      </c>
      <c r="R52" s="901">
        <f t="shared" si="78"/>
        <v>494467</v>
      </c>
      <c r="S52" s="814">
        <f t="shared" si="78"/>
        <v>494467</v>
      </c>
      <c r="T52" s="814">
        <f t="shared" si="78"/>
        <v>0</v>
      </c>
      <c r="U52" s="901">
        <f t="shared" si="78"/>
        <v>0</v>
      </c>
      <c r="V52" s="814">
        <f t="shared" si="78"/>
        <v>0</v>
      </c>
      <c r="W52" s="814">
        <f t="shared" si="78"/>
        <v>0</v>
      </c>
    </row>
    <row r="53" spans="1:23" s="438" customFormat="1" ht="17.25" customHeight="1">
      <c r="A53" s="916"/>
      <c r="B53" s="819"/>
      <c r="C53" s="919"/>
      <c r="D53" s="819"/>
      <c r="E53" s="906"/>
      <c r="F53" s="820"/>
      <c r="G53" s="439">
        <v>0</v>
      </c>
      <c r="H53" s="439">
        <v>0</v>
      </c>
      <c r="I53" s="818"/>
      <c r="J53" s="901"/>
      <c r="K53" s="901"/>
      <c r="L53" s="814"/>
      <c r="M53" s="814"/>
      <c r="N53" s="901"/>
      <c r="O53" s="901"/>
      <c r="P53" s="814"/>
      <c r="Q53" s="814"/>
      <c r="R53" s="901"/>
      <c r="S53" s="814"/>
      <c r="T53" s="814"/>
      <c r="U53" s="901"/>
      <c r="V53" s="814"/>
      <c r="W53" s="814"/>
    </row>
    <row r="54" spans="1:23" s="438" customFormat="1" ht="14.85" hidden="1" customHeight="1">
      <c r="A54" s="922">
        <v>8</v>
      </c>
      <c r="B54" s="843" t="s">
        <v>907</v>
      </c>
      <c r="C54" s="917" t="s">
        <v>908</v>
      </c>
      <c r="D54" s="843" t="s">
        <v>226</v>
      </c>
      <c r="E54" s="920" t="s">
        <v>675</v>
      </c>
      <c r="F54" s="873" t="s">
        <v>693</v>
      </c>
      <c r="G54" s="439">
        <f>G55+G56+G57+G58</f>
        <v>31626097</v>
      </c>
      <c r="H54" s="439">
        <f>H55+H56+H57+H58</f>
        <v>11609132</v>
      </c>
      <c r="I54" s="817" t="s">
        <v>5</v>
      </c>
      <c r="J54" s="901">
        <f t="shared" ref="J54" si="79">K54+N54</f>
        <v>20016965</v>
      </c>
      <c r="K54" s="901">
        <f t="shared" ref="K54" si="80">L54+M54</f>
        <v>8960179</v>
      </c>
      <c r="L54" s="814">
        <v>0</v>
      </c>
      <c r="M54" s="814">
        <v>8960179</v>
      </c>
      <c r="N54" s="901">
        <f t="shared" ref="N54" si="81">O54+R54+U54</f>
        <v>11056786</v>
      </c>
      <c r="O54" s="901">
        <f t="shared" ref="O54" si="82">P54+Q54</f>
        <v>0</v>
      </c>
      <c r="P54" s="814">
        <v>0</v>
      </c>
      <c r="Q54" s="814">
        <v>0</v>
      </c>
      <c r="R54" s="901">
        <f t="shared" ref="R54" si="83">S54+T54</f>
        <v>11056786</v>
      </c>
      <c r="S54" s="814">
        <v>666584</v>
      </c>
      <c r="T54" s="814">
        <v>10390202</v>
      </c>
      <c r="U54" s="901">
        <f t="shared" ref="U54" si="84">V54+W54</f>
        <v>0</v>
      </c>
      <c r="V54" s="814">
        <v>0</v>
      </c>
      <c r="W54" s="814">
        <v>0</v>
      </c>
    </row>
    <row r="55" spans="1:23" s="438" customFormat="1" ht="14.85" hidden="1" customHeight="1">
      <c r="A55" s="922"/>
      <c r="B55" s="843"/>
      <c r="C55" s="918"/>
      <c r="D55" s="843"/>
      <c r="E55" s="920"/>
      <c r="F55" s="873"/>
      <c r="G55" s="439">
        <v>14873864</v>
      </c>
      <c r="H55" s="439">
        <v>5913685</v>
      </c>
      <c r="I55" s="818"/>
      <c r="J55" s="901"/>
      <c r="K55" s="901"/>
      <c r="L55" s="814"/>
      <c r="M55" s="814"/>
      <c r="N55" s="901"/>
      <c r="O55" s="901"/>
      <c r="P55" s="814"/>
      <c r="Q55" s="814"/>
      <c r="R55" s="901"/>
      <c r="S55" s="814"/>
      <c r="T55" s="814"/>
      <c r="U55" s="901"/>
      <c r="V55" s="814"/>
      <c r="W55" s="814"/>
    </row>
    <row r="56" spans="1:23" s="438" customFormat="1" ht="14.85" hidden="1" customHeight="1">
      <c r="A56" s="922"/>
      <c r="B56" s="843"/>
      <c r="C56" s="918"/>
      <c r="D56" s="843"/>
      <c r="E56" s="920"/>
      <c r="F56" s="873"/>
      <c r="G56" s="439">
        <v>0</v>
      </c>
      <c r="H56" s="439">
        <v>0</v>
      </c>
      <c r="I56" s="411" t="s">
        <v>6</v>
      </c>
      <c r="J56" s="440">
        <f t="shared" ref="J56" si="85">K56+N56</f>
        <v>0</v>
      </c>
      <c r="K56" s="440">
        <f t="shared" ref="K56" si="86">L56+M56</f>
        <v>0</v>
      </c>
      <c r="L56" s="414">
        <v>0</v>
      </c>
      <c r="M56" s="414">
        <v>0</v>
      </c>
      <c r="N56" s="440">
        <f t="shared" ref="N56" si="87">O56+R56+U56</f>
        <v>0</v>
      </c>
      <c r="O56" s="440">
        <f t="shared" ref="O56" si="88">P56+Q56</f>
        <v>0</v>
      </c>
      <c r="P56" s="414">
        <v>0</v>
      </c>
      <c r="Q56" s="414">
        <v>0</v>
      </c>
      <c r="R56" s="440">
        <f t="shared" ref="R56" si="89">S56+T56</f>
        <v>0</v>
      </c>
      <c r="S56" s="414">
        <v>0</v>
      </c>
      <c r="T56" s="414">
        <v>0</v>
      </c>
      <c r="U56" s="440">
        <f t="shared" ref="U56" si="90">V56+W56</f>
        <v>0</v>
      </c>
      <c r="V56" s="414">
        <v>0</v>
      </c>
      <c r="W56" s="414">
        <v>0</v>
      </c>
    </row>
    <row r="57" spans="1:23" s="438" customFormat="1" ht="14.85" hidden="1" customHeight="1">
      <c r="A57" s="922"/>
      <c r="B57" s="843"/>
      <c r="C57" s="918"/>
      <c r="D57" s="843"/>
      <c r="E57" s="920"/>
      <c r="F57" s="873"/>
      <c r="G57" s="439">
        <v>16752233</v>
      </c>
      <c r="H57" s="439">
        <v>5695447</v>
      </c>
      <c r="I57" s="817" t="s">
        <v>7</v>
      </c>
      <c r="J57" s="901">
        <f t="shared" ref="J57:W57" si="91">J54+J56</f>
        <v>20016965</v>
      </c>
      <c r="K57" s="901">
        <f t="shared" si="91"/>
        <v>8960179</v>
      </c>
      <c r="L57" s="814">
        <f t="shared" si="91"/>
        <v>0</v>
      </c>
      <c r="M57" s="814">
        <f t="shared" si="91"/>
        <v>8960179</v>
      </c>
      <c r="N57" s="901">
        <f t="shared" si="91"/>
        <v>11056786</v>
      </c>
      <c r="O57" s="901">
        <f t="shared" si="91"/>
        <v>0</v>
      </c>
      <c r="P57" s="814">
        <f t="shared" si="91"/>
        <v>0</v>
      </c>
      <c r="Q57" s="814">
        <f t="shared" si="91"/>
        <v>0</v>
      </c>
      <c r="R57" s="901">
        <f t="shared" si="91"/>
        <v>11056786</v>
      </c>
      <c r="S57" s="814">
        <f t="shared" si="91"/>
        <v>666584</v>
      </c>
      <c r="T57" s="814">
        <f t="shared" si="91"/>
        <v>10390202</v>
      </c>
      <c r="U57" s="901">
        <f t="shared" si="91"/>
        <v>0</v>
      </c>
      <c r="V57" s="814">
        <f t="shared" si="91"/>
        <v>0</v>
      </c>
      <c r="W57" s="814">
        <f t="shared" si="91"/>
        <v>0</v>
      </c>
    </row>
    <row r="58" spans="1:23" s="438" customFormat="1" ht="14.85" hidden="1" customHeight="1">
      <c r="A58" s="922"/>
      <c r="B58" s="843"/>
      <c r="C58" s="919"/>
      <c r="D58" s="843"/>
      <c r="E58" s="920"/>
      <c r="F58" s="873"/>
      <c r="G58" s="439">
        <v>0</v>
      </c>
      <c r="H58" s="439">
        <v>0</v>
      </c>
      <c r="I58" s="818"/>
      <c r="J58" s="901"/>
      <c r="K58" s="901"/>
      <c r="L58" s="814"/>
      <c r="M58" s="814"/>
      <c r="N58" s="901"/>
      <c r="O58" s="901"/>
      <c r="P58" s="814"/>
      <c r="Q58" s="814"/>
      <c r="R58" s="901"/>
      <c r="S58" s="814"/>
      <c r="T58" s="814"/>
      <c r="U58" s="901"/>
      <c r="V58" s="814"/>
      <c r="W58" s="814"/>
    </row>
    <row r="59" spans="1:23" s="438" customFormat="1" ht="17.25" customHeight="1">
      <c r="A59" s="916">
        <v>6</v>
      </c>
      <c r="B59" s="825" t="s">
        <v>909</v>
      </c>
      <c r="C59" s="921" t="s">
        <v>910</v>
      </c>
      <c r="D59" s="819" t="s">
        <v>226</v>
      </c>
      <c r="E59" s="906" t="s">
        <v>911</v>
      </c>
      <c r="F59" s="820" t="s">
        <v>912</v>
      </c>
      <c r="G59" s="439">
        <f>G60+G61+G62+G63</f>
        <v>33796197</v>
      </c>
      <c r="H59" s="439">
        <f>H60+H61+H62+H63</f>
        <v>20446197</v>
      </c>
      <c r="I59" s="817" t="s">
        <v>5</v>
      </c>
      <c r="J59" s="901">
        <f t="shared" ref="J59" si="92">K59+N59</f>
        <v>4850000</v>
      </c>
      <c r="K59" s="901">
        <f t="shared" ref="K59" si="93">L59+M59</f>
        <v>3086000</v>
      </c>
      <c r="L59" s="814">
        <v>3086000</v>
      </c>
      <c r="M59" s="814">
        <v>0</v>
      </c>
      <c r="N59" s="901">
        <f t="shared" ref="N59" si="94">O59+R59+U59</f>
        <v>1764000</v>
      </c>
      <c r="O59" s="901">
        <f t="shared" ref="O59" si="95">P59+Q59</f>
        <v>1764000</v>
      </c>
      <c r="P59" s="814">
        <v>1764000</v>
      </c>
      <c r="Q59" s="814">
        <v>0</v>
      </c>
      <c r="R59" s="901">
        <f t="shared" ref="R59" si="96">S59+T59</f>
        <v>0</v>
      </c>
      <c r="S59" s="814">
        <v>0</v>
      </c>
      <c r="T59" s="814">
        <v>0</v>
      </c>
      <c r="U59" s="901">
        <f t="shared" ref="U59" si="97">V59+W59</f>
        <v>0</v>
      </c>
      <c r="V59" s="814">
        <v>0</v>
      </c>
      <c r="W59" s="814">
        <v>0</v>
      </c>
    </row>
    <row r="60" spans="1:23" s="438" customFormat="1" ht="17.25" customHeight="1">
      <c r="A60" s="916"/>
      <c r="B60" s="826"/>
      <c r="C60" s="921"/>
      <c r="D60" s="819"/>
      <c r="E60" s="906"/>
      <c r="F60" s="820"/>
      <c r="G60" s="439">
        <v>21503913</v>
      </c>
      <c r="H60" s="439">
        <v>13009913</v>
      </c>
      <c r="I60" s="818"/>
      <c r="J60" s="901"/>
      <c r="K60" s="901"/>
      <c r="L60" s="814"/>
      <c r="M60" s="814"/>
      <c r="N60" s="901"/>
      <c r="O60" s="901"/>
      <c r="P60" s="814"/>
      <c r="Q60" s="814"/>
      <c r="R60" s="901"/>
      <c r="S60" s="814"/>
      <c r="T60" s="814"/>
      <c r="U60" s="901"/>
      <c r="V60" s="814"/>
      <c r="W60" s="814"/>
    </row>
    <row r="61" spans="1:23" s="438" customFormat="1" ht="17.25" customHeight="1">
      <c r="A61" s="916"/>
      <c r="B61" s="826"/>
      <c r="C61" s="921"/>
      <c r="D61" s="819"/>
      <c r="E61" s="906"/>
      <c r="F61" s="820"/>
      <c r="G61" s="439">
        <v>12292284</v>
      </c>
      <c r="H61" s="439">
        <v>7436284</v>
      </c>
      <c r="I61" s="411" t="s">
        <v>6</v>
      </c>
      <c r="J61" s="440">
        <f t="shared" ref="J61" si="98">K61+N61</f>
        <v>0</v>
      </c>
      <c r="K61" s="440">
        <f t="shared" ref="K61" si="99">L61+M61</f>
        <v>0</v>
      </c>
      <c r="L61" s="414">
        <v>0</v>
      </c>
      <c r="M61" s="414">
        <v>0</v>
      </c>
      <c r="N61" s="440">
        <f t="shared" ref="N61" si="100">O61+R61+U61</f>
        <v>0</v>
      </c>
      <c r="O61" s="440">
        <f t="shared" ref="O61" si="101">P61+Q61</f>
        <v>0</v>
      </c>
      <c r="P61" s="414">
        <v>0</v>
      </c>
      <c r="Q61" s="414">
        <v>0</v>
      </c>
      <c r="R61" s="440">
        <f t="shared" ref="R61" si="102">S61+T61</f>
        <v>0</v>
      </c>
      <c r="S61" s="414">
        <v>0</v>
      </c>
      <c r="T61" s="414">
        <v>0</v>
      </c>
      <c r="U61" s="440">
        <f t="shared" ref="U61" si="103">V61+W61</f>
        <v>0</v>
      </c>
      <c r="V61" s="414">
        <v>0</v>
      </c>
      <c r="W61" s="414">
        <v>0</v>
      </c>
    </row>
    <row r="62" spans="1:23" s="438" customFormat="1" ht="17.25" customHeight="1">
      <c r="A62" s="916"/>
      <c r="B62" s="826"/>
      <c r="C62" s="921"/>
      <c r="D62" s="819"/>
      <c r="E62" s="906"/>
      <c r="F62" s="820"/>
      <c r="G62" s="439">
        <v>0</v>
      </c>
      <c r="H62" s="439">
        <v>0</v>
      </c>
      <c r="I62" s="817" t="s">
        <v>7</v>
      </c>
      <c r="J62" s="901">
        <f t="shared" ref="J62:W62" si="104">J59+J61</f>
        <v>4850000</v>
      </c>
      <c r="K62" s="901">
        <f t="shared" si="104"/>
        <v>3086000</v>
      </c>
      <c r="L62" s="814">
        <f t="shared" si="104"/>
        <v>3086000</v>
      </c>
      <c r="M62" s="814">
        <f t="shared" si="104"/>
        <v>0</v>
      </c>
      <c r="N62" s="901">
        <f t="shared" si="104"/>
        <v>1764000</v>
      </c>
      <c r="O62" s="901">
        <f t="shared" si="104"/>
        <v>1764000</v>
      </c>
      <c r="P62" s="814">
        <f t="shared" si="104"/>
        <v>1764000</v>
      </c>
      <c r="Q62" s="814">
        <f t="shared" si="104"/>
        <v>0</v>
      </c>
      <c r="R62" s="901">
        <f t="shared" si="104"/>
        <v>0</v>
      </c>
      <c r="S62" s="814">
        <f t="shared" si="104"/>
        <v>0</v>
      </c>
      <c r="T62" s="814">
        <f t="shared" si="104"/>
        <v>0</v>
      </c>
      <c r="U62" s="901">
        <f t="shared" si="104"/>
        <v>0</v>
      </c>
      <c r="V62" s="814">
        <f t="shared" si="104"/>
        <v>0</v>
      </c>
      <c r="W62" s="814">
        <f t="shared" si="104"/>
        <v>0</v>
      </c>
    </row>
    <row r="63" spans="1:23" s="438" customFormat="1" ht="17.25" customHeight="1">
      <c r="A63" s="916"/>
      <c r="B63" s="827"/>
      <c r="C63" s="921"/>
      <c r="D63" s="819"/>
      <c r="E63" s="906"/>
      <c r="F63" s="820"/>
      <c r="G63" s="439">
        <v>0</v>
      </c>
      <c r="H63" s="439">
        <v>0</v>
      </c>
      <c r="I63" s="818"/>
      <c r="J63" s="901"/>
      <c r="K63" s="901"/>
      <c r="L63" s="814"/>
      <c r="M63" s="814"/>
      <c r="N63" s="901"/>
      <c r="O63" s="901"/>
      <c r="P63" s="814"/>
      <c r="Q63" s="814"/>
      <c r="R63" s="901"/>
      <c r="S63" s="814"/>
      <c r="T63" s="814"/>
      <c r="U63" s="901"/>
      <c r="V63" s="814"/>
      <c r="W63" s="814"/>
    </row>
    <row r="64" spans="1:23" s="438" customFormat="1" ht="17.25" customHeight="1">
      <c r="A64" s="916">
        <v>7</v>
      </c>
      <c r="B64" s="825" t="s">
        <v>909</v>
      </c>
      <c r="C64" s="921" t="s">
        <v>913</v>
      </c>
      <c r="D64" s="819" t="s">
        <v>226</v>
      </c>
      <c r="E64" s="906" t="s">
        <v>911</v>
      </c>
      <c r="F64" s="820" t="s">
        <v>912</v>
      </c>
      <c r="G64" s="439">
        <f>G65+G66+G67+G68</f>
        <v>1013003</v>
      </c>
      <c r="H64" s="439">
        <f>H65+H66+H67+H68</f>
        <v>613003</v>
      </c>
      <c r="I64" s="817" t="s">
        <v>5</v>
      </c>
      <c r="J64" s="901">
        <f t="shared" ref="J64" si="105">K64+N64</f>
        <v>100000</v>
      </c>
      <c r="K64" s="901">
        <f t="shared" ref="K64" si="106">L64+M64</f>
        <v>64000</v>
      </c>
      <c r="L64" s="814">
        <v>64000</v>
      </c>
      <c r="M64" s="814">
        <v>0</v>
      </c>
      <c r="N64" s="901">
        <f t="shared" ref="N64" si="107">O64+R64+U64</f>
        <v>36000</v>
      </c>
      <c r="O64" s="901">
        <f t="shared" ref="O64" si="108">P64+Q64</f>
        <v>36000</v>
      </c>
      <c r="P64" s="814">
        <v>36000</v>
      </c>
      <c r="Q64" s="814">
        <v>0</v>
      </c>
      <c r="R64" s="901">
        <f t="shared" ref="R64" si="109">S64+T64</f>
        <v>0</v>
      </c>
      <c r="S64" s="814">
        <v>0</v>
      </c>
      <c r="T64" s="814">
        <v>0</v>
      </c>
      <c r="U64" s="901">
        <f t="shared" ref="U64" si="110">V64+W64</f>
        <v>0</v>
      </c>
      <c r="V64" s="814">
        <v>0</v>
      </c>
      <c r="W64" s="814">
        <v>0</v>
      </c>
    </row>
    <row r="65" spans="1:23" s="438" customFormat="1" ht="17.25" customHeight="1">
      <c r="A65" s="916"/>
      <c r="B65" s="826"/>
      <c r="C65" s="921"/>
      <c r="D65" s="819"/>
      <c r="E65" s="906"/>
      <c r="F65" s="820"/>
      <c r="G65" s="439">
        <v>646054</v>
      </c>
      <c r="H65" s="439">
        <v>390054</v>
      </c>
      <c r="I65" s="818"/>
      <c r="J65" s="901"/>
      <c r="K65" s="901"/>
      <c r="L65" s="814"/>
      <c r="M65" s="814"/>
      <c r="N65" s="901"/>
      <c r="O65" s="901"/>
      <c r="P65" s="814"/>
      <c r="Q65" s="814"/>
      <c r="R65" s="901"/>
      <c r="S65" s="814"/>
      <c r="T65" s="814"/>
      <c r="U65" s="901"/>
      <c r="V65" s="814"/>
      <c r="W65" s="814"/>
    </row>
    <row r="66" spans="1:23" s="438" customFormat="1" ht="17.25" customHeight="1">
      <c r="A66" s="916"/>
      <c r="B66" s="826"/>
      <c r="C66" s="921"/>
      <c r="D66" s="819"/>
      <c r="E66" s="906"/>
      <c r="F66" s="820"/>
      <c r="G66" s="439">
        <v>366949</v>
      </c>
      <c r="H66" s="439">
        <v>222949</v>
      </c>
      <c r="I66" s="411" t="s">
        <v>6</v>
      </c>
      <c r="J66" s="440">
        <f t="shared" ref="J66" si="111">K66+N66</f>
        <v>0</v>
      </c>
      <c r="K66" s="440">
        <f t="shared" ref="K66" si="112">L66+M66</f>
        <v>0</v>
      </c>
      <c r="L66" s="414">
        <v>0</v>
      </c>
      <c r="M66" s="414">
        <v>0</v>
      </c>
      <c r="N66" s="440">
        <f t="shared" ref="N66" si="113">O66+R66+U66</f>
        <v>0</v>
      </c>
      <c r="O66" s="440">
        <f t="shared" ref="O66" si="114">P66+Q66</f>
        <v>0</v>
      </c>
      <c r="P66" s="414">
        <v>0</v>
      </c>
      <c r="Q66" s="414">
        <v>0</v>
      </c>
      <c r="R66" s="440">
        <f t="shared" ref="R66" si="115">S66+T66</f>
        <v>0</v>
      </c>
      <c r="S66" s="414">
        <v>0</v>
      </c>
      <c r="T66" s="414">
        <v>0</v>
      </c>
      <c r="U66" s="440">
        <f t="shared" ref="U66" si="116">V66+W66</f>
        <v>0</v>
      </c>
      <c r="V66" s="414">
        <v>0</v>
      </c>
      <c r="W66" s="414">
        <v>0</v>
      </c>
    </row>
    <row r="67" spans="1:23" s="438" customFormat="1" ht="17.25" customHeight="1">
      <c r="A67" s="916"/>
      <c r="B67" s="826"/>
      <c r="C67" s="921"/>
      <c r="D67" s="819"/>
      <c r="E67" s="906"/>
      <c r="F67" s="820"/>
      <c r="G67" s="439">
        <v>0</v>
      </c>
      <c r="H67" s="439">
        <v>0</v>
      </c>
      <c r="I67" s="817" t="s">
        <v>7</v>
      </c>
      <c r="J67" s="901">
        <f t="shared" ref="J67:W67" si="117">J64+J66</f>
        <v>100000</v>
      </c>
      <c r="K67" s="901">
        <f t="shared" si="117"/>
        <v>64000</v>
      </c>
      <c r="L67" s="814">
        <f t="shared" si="117"/>
        <v>64000</v>
      </c>
      <c r="M67" s="814">
        <f t="shared" si="117"/>
        <v>0</v>
      </c>
      <c r="N67" s="901">
        <f t="shared" si="117"/>
        <v>36000</v>
      </c>
      <c r="O67" s="901">
        <f t="shared" si="117"/>
        <v>36000</v>
      </c>
      <c r="P67" s="814">
        <f t="shared" si="117"/>
        <v>36000</v>
      </c>
      <c r="Q67" s="814">
        <f t="shared" si="117"/>
        <v>0</v>
      </c>
      <c r="R67" s="901">
        <f t="shared" si="117"/>
        <v>0</v>
      </c>
      <c r="S67" s="814">
        <f t="shared" si="117"/>
        <v>0</v>
      </c>
      <c r="T67" s="814">
        <f t="shared" si="117"/>
        <v>0</v>
      </c>
      <c r="U67" s="901">
        <f t="shared" si="117"/>
        <v>0</v>
      </c>
      <c r="V67" s="814">
        <f t="shared" si="117"/>
        <v>0</v>
      </c>
      <c r="W67" s="814">
        <f t="shared" si="117"/>
        <v>0</v>
      </c>
    </row>
    <row r="68" spans="1:23" s="438" customFormat="1" ht="17.25" customHeight="1">
      <c r="A68" s="916"/>
      <c r="B68" s="827"/>
      <c r="C68" s="921"/>
      <c r="D68" s="819"/>
      <c r="E68" s="906"/>
      <c r="F68" s="820"/>
      <c r="G68" s="439">
        <v>0</v>
      </c>
      <c r="H68" s="439">
        <v>0</v>
      </c>
      <c r="I68" s="818"/>
      <c r="J68" s="901"/>
      <c r="K68" s="901"/>
      <c r="L68" s="814"/>
      <c r="M68" s="814"/>
      <c r="N68" s="901"/>
      <c r="O68" s="901"/>
      <c r="P68" s="814"/>
      <c r="Q68" s="814"/>
      <c r="R68" s="901"/>
      <c r="S68" s="814"/>
      <c r="T68" s="814"/>
      <c r="U68" s="901"/>
      <c r="V68" s="814"/>
      <c r="W68" s="814"/>
    </row>
    <row r="69" spans="1:23" s="438" customFormat="1" ht="17.25" customHeight="1">
      <c r="A69" s="916">
        <v>8</v>
      </c>
      <c r="B69" s="825" t="s">
        <v>909</v>
      </c>
      <c r="C69" s="921" t="s">
        <v>914</v>
      </c>
      <c r="D69" s="819" t="s">
        <v>226</v>
      </c>
      <c r="E69" s="906" t="s">
        <v>911</v>
      </c>
      <c r="F69" s="820" t="s">
        <v>912</v>
      </c>
      <c r="G69" s="439">
        <f>G70+G71+G72+G73</f>
        <v>8282403</v>
      </c>
      <c r="H69" s="439">
        <f>H70+H71+H72+H73</f>
        <v>5562403</v>
      </c>
      <c r="I69" s="817" t="s">
        <v>5</v>
      </c>
      <c r="J69" s="901">
        <f t="shared" ref="J69" si="118">K69+N69</f>
        <v>1200000</v>
      </c>
      <c r="K69" s="901">
        <f t="shared" ref="K69" si="119">L69+M69</f>
        <v>764000</v>
      </c>
      <c r="L69" s="814">
        <v>764000</v>
      </c>
      <c r="M69" s="814">
        <v>0</v>
      </c>
      <c r="N69" s="901">
        <f t="shared" ref="N69" si="120">O69+R69+U69</f>
        <v>436000</v>
      </c>
      <c r="O69" s="901">
        <f t="shared" ref="O69" si="121">P69+Q69</f>
        <v>436000</v>
      </c>
      <c r="P69" s="814">
        <v>436000</v>
      </c>
      <c r="Q69" s="814">
        <v>0</v>
      </c>
      <c r="R69" s="901">
        <f t="shared" ref="R69" si="122">S69+T69</f>
        <v>0</v>
      </c>
      <c r="S69" s="814">
        <v>0</v>
      </c>
      <c r="T69" s="814">
        <v>0</v>
      </c>
      <c r="U69" s="901">
        <f t="shared" ref="U69" si="123">V69+W69</f>
        <v>0</v>
      </c>
      <c r="V69" s="814">
        <v>0</v>
      </c>
      <c r="W69" s="814">
        <v>0</v>
      </c>
    </row>
    <row r="70" spans="1:23" s="438" customFormat="1" ht="17.25" customHeight="1">
      <c r="A70" s="916"/>
      <c r="B70" s="826"/>
      <c r="C70" s="921"/>
      <c r="D70" s="819"/>
      <c r="E70" s="906"/>
      <c r="F70" s="820"/>
      <c r="G70" s="439">
        <v>5270164</v>
      </c>
      <c r="H70" s="439">
        <v>3539356</v>
      </c>
      <c r="I70" s="818"/>
      <c r="J70" s="901"/>
      <c r="K70" s="901"/>
      <c r="L70" s="814"/>
      <c r="M70" s="814"/>
      <c r="N70" s="901"/>
      <c r="O70" s="901"/>
      <c r="P70" s="814"/>
      <c r="Q70" s="814"/>
      <c r="R70" s="901"/>
      <c r="S70" s="814"/>
      <c r="T70" s="814"/>
      <c r="U70" s="901"/>
      <c r="V70" s="814"/>
      <c r="W70" s="814"/>
    </row>
    <row r="71" spans="1:23" s="438" customFormat="1" ht="17.25" customHeight="1">
      <c r="A71" s="916"/>
      <c r="B71" s="826"/>
      <c r="C71" s="921"/>
      <c r="D71" s="819"/>
      <c r="E71" s="906"/>
      <c r="F71" s="820"/>
      <c r="G71" s="439">
        <v>3012239</v>
      </c>
      <c r="H71" s="439">
        <v>2023047</v>
      </c>
      <c r="I71" s="411" t="s">
        <v>6</v>
      </c>
      <c r="J71" s="440">
        <f t="shared" ref="J71" si="124">K71+N71</f>
        <v>0</v>
      </c>
      <c r="K71" s="440">
        <f t="shared" ref="K71" si="125">L71+M71</f>
        <v>0</v>
      </c>
      <c r="L71" s="414">
        <v>0</v>
      </c>
      <c r="M71" s="414">
        <v>0</v>
      </c>
      <c r="N71" s="440">
        <f t="shared" ref="N71" si="126">O71+R71+U71</f>
        <v>0</v>
      </c>
      <c r="O71" s="440">
        <f t="shared" ref="O71" si="127">P71+Q71</f>
        <v>0</v>
      </c>
      <c r="P71" s="414">
        <v>0</v>
      </c>
      <c r="Q71" s="414">
        <v>0</v>
      </c>
      <c r="R71" s="440">
        <f t="shared" ref="R71" si="128">S71+T71</f>
        <v>0</v>
      </c>
      <c r="S71" s="414">
        <v>0</v>
      </c>
      <c r="T71" s="414">
        <v>0</v>
      </c>
      <c r="U71" s="440">
        <f t="shared" ref="U71" si="129">V71+W71</f>
        <v>0</v>
      </c>
      <c r="V71" s="414">
        <v>0</v>
      </c>
      <c r="W71" s="414">
        <v>0</v>
      </c>
    </row>
    <row r="72" spans="1:23" s="438" customFormat="1" ht="17.25" customHeight="1">
      <c r="A72" s="916"/>
      <c r="B72" s="826"/>
      <c r="C72" s="921"/>
      <c r="D72" s="819"/>
      <c r="E72" s="906"/>
      <c r="F72" s="820"/>
      <c r="G72" s="439">
        <v>0</v>
      </c>
      <c r="H72" s="439">
        <v>0</v>
      </c>
      <c r="I72" s="817" t="s">
        <v>7</v>
      </c>
      <c r="J72" s="901">
        <f t="shared" ref="J72:W72" si="130">J69+J71</f>
        <v>1200000</v>
      </c>
      <c r="K72" s="901">
        <f t="shared" si="130"/>
        <v>764000</v>
      </c>
      <c r="L72" s="814">
        <f t="shared" si="130"/>
        <v>764000</v>
      </c>
      <c r="M72" s="814">
        <f t="shared" si="130"/>
        <v>0</v>
      </c>
      <c r="N72" s="901">
        <f t="shared" si="130"/>
        <v>436000</v>
      </c>
      <c r="O72" s="901">
        <f t="shared" si="130"/>
        <v>436000</v>
      </c>
      <c r="P72" s="814">
        <f t="shared" si="130"/>
        <v>436000</v>
      </c>
      <c r="Q72" s="814">
        <f t="shared" si="130"/>
        <v>0</v>
      </c>
      <c r="R72" s="901">
        <f t="shared" si="130"/>
        <v>0</v>
      </c>
      <c r="S72" s="814">
        <f t="shared" si="130"/>
        <v>0</v>
      </c>
      <c r="T72" s="814">
        <f t="shared" si="130"/>
        <v>0</v>
      </c>
      <c r="U72" s="901">
        <f t="shared" si="130"/>
        <v>0</v>
      </c>
      <c r="V72" s="814">
        <f t="shared" si="130"/>
        <v>0</v>
      </c>
      <c r="W72" s="814">
        <f t="shared" si="130"/>
        <v>0</v>
      </c>
    </row>
    <row r="73" spans="1:23" s="438" customFormat="1" ht="17.25" customHeight="1">
      <c r="A73" s="916"/>
      <c r="B73" s="827"/>
      <c r="C73" s="921"/>
      <c r="D73" s="819"/>
      <c r="E73" s="906"/>
      <c r="F73" s="820"/>
      <c r="G73" s="439">
        <v>0</v>
      </c>
      <c r="H73" s="439">
        <v>0</v>
      </c>
      <c r="I73" s="818"/>
      <c r="J73" s="901"/>
      <c r="K73" s="901"/>
      <c r="L73" s="814"/>
      <c r="M73" s="814"/>
      <c r="N73" s="901"/>
      <c r="O73" s="901"/>
      <c r="P73" s="814"/>
      <c r="Q73" s="814"/>
      <c r="R73" s="901"/>
      <c r="S73" s="814"/>
      <c r="T73" s="814"/>
      <c r="U73" s="901"/>
      <c r="V73" s="814"/>
      <c r="W73" s="814"/>
    </row>
    <row r="74" spans="1:23" s="438" customFormat="1" ht="17.25" customHeight="1">
      <c r="A74" s="916">
        <v>9</v>
      </c>
      <c r="B74" s="819" t="s">
        <v>915</v>
      </c>
      <c r="C74" s="917" t="s">
        <v>916</v>
      </c>
      <c r="D74" s="819" t="s">
        <v>226</v>
      </c>
      <c r="E74" s="906" t="s">
        <v>917</v>
      </c>
      <c r="F74" s="820" t="s">
        <v>693</v>
      </c>
      <c r="G74" s="439">
        <f>G76+G75+G77+G78</f>
        <v>2596020</v>
      </c>
      <c r="H74" s="439">
        <f>H76+H75+H77+H78</f>
        <v>2348020</v>
      </c>
      <c r="I74" s="817" t="s">
        <v>5</v>
      </c>
      <c r="J74" s="901">
        <f t="shared" ref="J74" si="131">K74+N74</f>
        <v>248000</v>
      </c>
      <c r="K74" s="901">
        <f t="shared" ref="K74" si="132">L74+M74</f>
        <v>186000</v>
      </c>
      <c r="L74" s="814">
        <v>186000</v>
      </c>
      <c r="M74" s="814">
        <v>0</v>
      </c>
      <c r="N74" s="901">
        <f t="shared" ref="N74" si="133">O74+R74+U74</f>
        <v>62000</v>
      </c>
      <c r="O74" s="901">
        <f t="shared" ref="O74" si="134">P74+Q74</f>
        <v>62000</v>
      </c>
      <c r="P74" s="814">
        <v>62000</v>
      </c>
      <c r="Q74" s="814">
        <v>0</v>
      </c>
      <c r="R74" s="901">
        <f t="shared" ref="R74" si="135">S74+T74</f>
        <v>0</v>
      </c>
      <c r="S74" s="814">
        <v>0</v>
      </c>
      <c r="T74" s="814">
        <v>0</v>
      </c>
      <c r="U74" s="901">
        <f t="shared" ref="U74" si="136">V74+W74</f>
        <v>0</v>
      </c>
      <c r="V74" s="814">
        <v>0</v>
      </c>
      <c r="W74" s="814">
        <v>0</v>
      </c>
    </row>
    <row r="75" spans="1:23" s="438" customFormat="1" ht="17.25" customHeight="1">
      <c r="A75" s="916"/>
      <c r="B75" s="819"/>
      <c r="C75" s="918"/>
      <c r="D75" s="819"/>
      <c r="E75" s="906"/>
      <c r="F75" s="820"/>
      <c r="G75" s="439">
        <v>1947015</v>
      </c>
      <c r="H75" s="439">
        <v>1761015</v>
      </c>
      <c r="I75" s="818"/>
      <c r="J75" s="901"/>
      <c r="K75" s="901"/>
      <c r="L75" s="814"/>
      <c r="M75" s="814"/>
      <c r="N75" s="901"/>
      <c r="O75" s="901"/>
      <c r="P75" s="814"/>
      <c r="Q75" s="814"/>
      <c r="R75" s="901"/>
      <c r="S75" s="814"/>
      <c r="T75" s="814"/>
      <c r="U75" s="901"/>
      <c r="V75" s="814"/>
      <c r="W75" s="814"/>
    </row>
    <row r="76" spans="1:23" s="438" customFormat="1" ht="17.25" customHeight="1">
      <c r="A76" s="916"/>
      <c r="B76" s="819"/>
      <c r="C76" s="918"/>
      <c r="D76" s="819"/>
      <c r="E76" s="906"/>
      <c r="F76" s="820"/>
      <c r="G76" s="439">
        <v>649005</v>
      </c>
      <c r="H76" s="439">
        <v>587005</v>
      </c>
      <c r="I76" s="411" t="s">
        <v>6</v>
      </c>
      <c r="J76" s="440">
        <f t="shared" ref="J76" si="137">K76+N76</f>
        <v>0</v>
      </c>
      <c r="K76" s="440">
        <f t="shared" ref="K76" si="138">L76+M76</f>
        <v>0</v>
      </c>
      <c r="L76" s="414">
        <v>0</v>
      </c>
      <c r="M76" s="414">
        <v>0</v>
      </c>
      <c r="N76" s="440">
        <f t="shared" ref="N76" si="139">O76+R76+U76</f>
        <v>0</v>
      </c>
      <c r="O76" s="440">
        <f t="shared" ref="O76" si="140">P76+Q76</f>
        <v>0</v>
      </c>
      <c r="P76" s="414">
        <v>0</v>
      </c>
      <c r="Q76" s="414">
        <v>0</v>
      </c>
      <c r="R76" s="440">
        <f t="shared" ref="R76" si="141">S76+T76</f>
        <v>0</v>
      </c>
      <c r="S76" s="414">
        <v>0</v>
      </c>
      <c r="T76" s="414">
        <v>0</v>
      </c>
      <c r="U76" s="440">
        <f t="shared" ref="U76" si="142">V76+W76</f>
        <v>0</v>
      </c>
      <c r="V76" s="414">
        <v>0</v>
      </c>
      <c r="W76" s="414">
        <v>0</v>
      </c>
    </row>
    <row r="77" spans="1:23" s="438" customFormat="1" ht="17.25" customHeight="1">
      <c r="A77" s="916"/>
      <c r="B77" s="819"/>
      <c r="C77" s="918"/>
      <c r="D77" s="819"/>
      <c r="E77" s="906"/>
      <c r="F77" s="820"/>
      <c r="G77" s="439">
        <v>0</v>
      </c>
      <c r="H77" s="439">
        <v>0</v>
      </c>
      <c r="I77" s="817" t="s">
        <v>7</v>
      </c>
      <c r="J77" s="901">
        <f t="shared" ref="J77:W77" si="143">J74+J76</f>
        <v>248000</v>
      </c>
      <c r="K77" s="901">
        <f t="shared" si="143"/>
        <v>186000</v>
      </c>
      <c r="L77" s="814">
        <f t="shared" si="143"/>
        <v>186000</v>
      </c>
      <c r="M77" s="814">
        <f t="shared" si="143"/>
        <v>0</v>
      </c>
      <c r="N77" s="901">
        <f t="shared" si="143"/>
        <v>62000</v>
      </c>
      <c r="O77" s="901">
        <f t="shared" si="143"/>
        <v>62000</v>
      </c>
      <c r="P77" s="814">
        <f t="shared" si="143"/>
        <v>62000</v>
      </c>
      <c r="Q77" s="814">
        <f t="shared" si="143"/>
        <v>0</v>
      </c>
      <c r="R77" s="901">
        <f t="shared" si="143"/>
        <v>0</v>
      </c>
      <c r="S77" s="814">
        <f t="shared" si="143"/>
        <v>0</v>
      </c>
      <c r="T77" s="814">
        <f t="shared" si="143"/>
        <v>0</v>
      </c>
      <c r="U77" s="901">
        <f t="shared" si="143"/>
        <v>0</v>
      </c>
      <c r="V77" s="814">
        <f t="shared" si="143"/>
        <v>0</v>
      </c>
      <c r="W77" s="814">
        <f t="shared" si="143"/>
        <v>0</v>
      </c>
    </row>
    <row r="78" spans="1:23" s="438" customFormat="1" ht="17.25" customHeight="1">
      <c r="A78" s="916"/>
      <c r="B78" s="819"/>
      <c r="C78" s="919"/>
      <c r="D78" s="819"/>
      <c r="E78" s="906"/>
      <c r="F78" s="820"/>
      <c r="G78" s="439">
        <v>0</v>
      </c>
      <c r="H78" s="439">
        <v>0</v>
      </c>
      <c r="I78" s="818"/>
      <c r="J78" s="901"/>
      <c r="K78" s="901"/>
      <c r="L78" s="814"/>
      <c r="M78" s="814"/>
      <c r="N78" s="901"/>
      <c r="O78" s="901"/>
      <c r="P78" s="814"/>
      <c r="Q78" s="814"/>
      <c r="R78" s="901"/>
      <c r="S78" s="814"/>
      <c r="T78" s="814"/>
      <c r="U78" s="901"/>
      <c r="V78" s="814"/>
      <c r="W78" s="814"/>
    </row>
    <row r="79" spans="1:23" s="438" customFormat="1" ht="15" customHeight="1">
      <c r="A79" s="916">
        <v>10</v>
      </c>
      <c r="B79" s="825" t="s">
        <v>918</v>
      </c>
      <c r="C79" s="917" t="s">
        <v>919</v>
      </c>
      <c r="D79" s="843" t="s">
        <v>901</v>
      </c>
      <c r="E79" s="920" t="s">
        <v>766</v>
      </c>
      <c r="F79" s="873" t="s">
        <v>734</v>
      </c>
      <c r="G79" s="439">
        <f>G80+G81+G82+G83</f>
        <v>620615</v>
      </c>
      <c r="H79" s="439">
        <f>H80+H81+H82+H83</f>
        <v>331470</v>
      </c>
      <c r="I79" s="817" t="s">
        <v>5</v>
      </c>
      <c r="J79" s="901">
        <f t="shared" ref="J79" si="144">K79+N79</f>
        <v>97160</v>
      </c>
      <c r="K79" s="901">
        <f t="shared" ref="K79" si="145">L79+M79</f>
        <v>97160</v>
      </c>
      <c r="L79" s="814">
        <v>97160</v>
      </c>
      <c r="M79" s="814">
        <v>0</v>
      </c>
      <c r="N79" s="901">
        <f t="shared" ref="N79" si="146">O79+R79+U79</f>
        <v>0</v>
      </c>
      <c r="O79" s="901">
        <f t="shared" ref="O79" si="147">P79+Q79</f>
        <v>0</v>
      </c>
      <c r="P79" s="814">
        <v>0</v>
      </c>
      <c r="Q79" s="814">
        <v>0</v>
      </c>
      <c r="R79" s="901">
        <f t="shared" ref="R79" si="148">S79+T79</f>
        <v>0</v>
      </c>
      <c r="S79" s="814">
        <v>0</v>
      </c>
      <c r="T79" s="814">
        <v>0</v>
      </c>
      <c r="U79" s="901">
        <f t="shared" ref="U79" si="149">V79+W79</f>
        <v>0</v>
      </c>
      <c r="V79" s="814">
        <v>0</v>
      </c>
      <c r="W79" s="814">
        <v>0</v>
      </c>
    </row>
    <row r="80" spans="1:23" s="438" customFormat="1" ht="15" customHeight="1">
      <c r="A80" s="916"/>
      <c r="B80" s="826"/>
      <c r="C80" s="918"/>
      <c r="D80" s="843"/>
      <c r="E80" s="920"/>
      <c r="F80" s="873"/>
      <c r="G80" s="439">
        <v>620615</v>
      </c>
      <c r="H80" s="439">
        <v>331470</v>
      </c>
      <c r="I80" s="818"/>
      <c r="J80" s="901"/>
      <c r="K80" s="901"/>
      <c r="L80" s="814"/>
      <c r="M80" s="814"/>
      <c r="N80" s="901"/>
      <c r="O80" s="901"/>
      <c r="P80" s="814"/>
      <c r="Q80" s="814"/>
      <c r="R80" s="901"/>
      <c r="S80" s="814"/>
      <c r="T80" s="814"/>
      <c r="U80" s="901"/>
      <c r="V80" s="814"/>
      <c r="W80" s="814"/>
    </row>
    <row r="81" spans="1:23" s="438" customFormat="1" ht="15" customHeight="1">
      <c r="A81" s="916"/>
      <c r="B81" s="826"/>
      <c r="C81" s="918"/>
      <c r="D81" s="843"/>
      <c r="E81" s="920"/>
      <c r="F81" s="873"/>
      <c r="G81" s="439">
        <v>0</v>
      </c>
      <c r="H81" s="439">
        <v>0</v>
      </c>
      <c r="I81" s="411" t="s">
        <v>6</v>
      </c>
      <c r="J81" s="440">
        <f t="shared" ref="J81" si="150">K81+N81</f>
        <v>0</v>
      </c>
      <c r="K81" s="440">
        <f t="shared" ref="K81" si="151">L81+M81</f>
        <v>0</v>
      </c>
      <c r="L81" s="414">
        <v>0</v>
      </c>
      <c r="M81" s="414">
        <v>0</v>
      </c>
      <c r="N81" s="440">
        <f t="shared" ref="N81" si="152">O81+R81+U81</f>
        <v>0</v>
      </c>
      <c r="O81" s="440">
        <f t="shared" ref="O81" si="153">P81+Q81</f>
        <v>0</v>
      </c>
      <c r="P81" s="414">
        <v>0</v>
      </c>
      <c r="Q81" s="414">
        <v>0</v>
      </c>
      <c r="R81" s="440">
        <f t="shared" ref="R81" si="154">S81+T81</f>
        <v>0</v>
      </c>
      <c r="S81" s="414">
        <v>0</v>
      </c>
      <c r="T81" s="414">
        <v>0</v>
      </c>
      <c r="U81" s="440">
        <f t="shared" ref="U81" si="155">V81+W81</f>
        <v>0</v>
      </c>
      <c r="V81" s="414">
        <v>0</v>
      </c>
      <c r="W81" s="414">
        <v>0</v>
      </c>
    </row>
    <row r="82" spans="1:23" s="438" customFormat="1" ht="15" customHeight="1">
      <c r="A82" s="916"/>
      <c r="B82" s="826"/>
      <c r="C82" s="918"/>
      <c r="D82" s="843"/>
      <c r="E82" s="920"/>
      <c r="F82" s="873"/>
      <c r="G82" s="439">
        <v>0</v>
      </c>
      <c r="H82" s="439">
        <v>0</v>
      </c>
      <c r="I82" s="817" t="s">
        <v>7</v>
      </c>
      <c r="J82" s="901">
        <f t="shared" ref="J82:W82" si="156">J79+J81</f>
        <v>97160</v>
      </c>
      <c r="K82" s="901">
        <f t="shared" si="156"/>
        <v>97160</v>
      </c>
      <c r="L82" s="814">
        <f t="shared" si="156"/>
        <v>97160</v>
      </c>
      <c r="M82" s="814">
        <f t="shared" si="156"/>
        <v>0</v>
      </c>
      <c r="N82" s="901">
        <f t="shared" si="156"/>
        <v>0</v>
      </c>
      <c r="O82" s="901">
        <f t="shared" si="156"/>
        <v>0</v>
      </c>
      <c r="P82" s="814">
        <f t="shared" si="156"/>
        <v>0</v>
      </c>
      <c r="Q82" s="814">
        <f t="shared" si="156"/>
        <v>0</v>
      </c>
      <c r="R82" s="901">
        <f t="shared" si="156"/>
        <v>0</v>
      </c>
      <c r="S82" s="814">
        <f t="shared" si="156"/>
        <v>0</v>
      </c>
      <c r="T82" s="814">
        <f t="shared" si="156"/>
        <v>0</v>
      </c>
      <c r="U82" s="901">
        <f t="shared" si="156"/>
        <v>0</v>
      </c>
      <c r="V82" s="814">
        <f t="shared" si="156"/>
        <v>0</v>
      </c>
      <c r="W82" s="814">
        <f t="shared" si="156"/>
        <v>0</v>
      </c>
    </row>
    <row r="83" spans="1:23" s="438" customFormat="1" ht="15" customHeight="1">
      <c r="A83" s="916"/>
      <c r="B83" s="827"/>
      <c r="C83" s="919"/>
      <c r="D83" s="843"/>
      <c r="E83" s="920"/>
      <c r="F83" s="873"/>
      <c r="G83" s="439">
        <v>0</v>
      </c>
      <c r="H83" s="439">
        <v>0</v>
      </c>
      <c r="I83" s="818"/>
      <c r="J83" s="901"/>
      <c r="K83" s="901"/>
      <c r="L83" s="814"/>
      <c r="M83" s="814"/>
      <c r="N83" s="901"/>
      <c r="O83" s="901"/>
      <c r="P83" s="814"/>
      <c r="Q83" s="814"/>
      <c r="R83" s="901"/>
      <c r="S83" s="814"/>
      <c r="T83" s="814"/>
      <c r="U83" s="901"/>
      <c r="V83" s="814"/>
      <c r="W83" s="814"/>
    </row>
    <row r="84" spans="1:23" s="438" customFormat="1" ht="15" hidden="1" customHeight="1">
      <c r="A84" s="902">
        <v>1</v>
      </c>
      <c r="B84" s="825" t="s">
        <v>920</v>
      </c>
      <c r="C84" s="903" t="s">
        <v>921</v>
      </c>
      <c r="D84" s="819" t="s">
        <v>226</v>
      </c>
      <c r="E84" s="906" t="s">
        <v>922</v>
      </c>
      <c r="F84" s="820" t="s">
        <v>671</v>
      </c>
      <c r="G84" s="439">
        <f>G85+G86+G87+G88</f>
        <v>789965</v>
      </c>
      <c r="H84" s="439">
        <f>H85+H86+H87+H88</f>
        <v>347220</v>
      </c>
      <c r="I84" s="817" t="s">
        <v>5</v>
      </c>
      <c r="J84" s="901">
        <f t="shared" ref="J84" si="157">K84+N84</f>
        <v>348000</v>
      </c>
      <c r="K84" s="901">
        <f t="shared" ref="K84" si="158">L84+M84</f>
        <v>295799</v>
      </c>
      <c r="L84" s="814">
        <v>295799</v>
      </c>
      <c r="M84" s="814">
        <v>0</v>
      </c>
      <c r="N84" s="901">
        <f t="shared" ref="N84" si="159">O84+R84+U84</f>
        <v>52201</v>
      </c>
      <c r="O84" s="901">
        <f t="shared" ref="O84" si="160">P84+Q84</f>
        <v>0</v>
      </c>
      <c r="P84" s="814">
        <v>0</v>
      </c>
      <c r="Q84" s="814">
        <v>0</v>
      </c>
      <c r="R84" s="901">
        <f t="shared" ref="R84" si="161">S84+T84</f>
        <v>52201</v>
      </c>
      <c r="S84" s="814">
        <v>52201</v>
      </c>
      <c r="T84" s="814">
        <v>0</v>
      </c>
      <c r="U84" s="901">
        <f t="shared" ref="U84" si="162">V84+W84</f>
        <v>0</v>
      </c>
      <c r="V84" s="814">
        <v>0</v>
      </c>
      <c r="W84" s="814">
        <v>0</v>
      </c>
    </row>
    <row r="85" spans="1:23" s="438" customFormat="1" ht="15" hidden="1" customHeight="1">
      <c r="A85" s="902"/>
      <c r="B85" s="826"/>
      <c r="C85" s="904"/>
      <c r="D85" s="819"/>
      <c r="E85" s="906"/>
      <c r="F85" s="820"/>
      <c r="G85" s="439">
        <v>671357</v>
      </c>
      <c r="H85" s="439">
        <v>295025</v>
      </c>
      <c r="I85" s="818"/>
      <c r="J85" s="901"/>
      <c r="K85" s="901"/>
      <c r="L85" s="814"/>
      <c r="M85" s="814"/>
      <c r="N85" s="901"/>
      <c r="O85" s="901"/>
      <c r="P85" s="814"/>
      <c r="Q85" s="814"/>
      <c r="R85" s="901"/>
      <c r="S85" s="814"/>
      <c r="T85" s="814"/>
      <c r="U85" s="901"/>
      <c r="V85" s="814"/>
      <c r="W85" s="814"/>
    </row>
    <row r="86" spans="1:23" s="438" customFormat="1" ht="15" hidden="1" customHeight="1">
      <c r="A86" s="902"/>
      <c r="B86" s="826"/>
      <c r="C86" s="904"/>
      <c r="D86" s="819"/>
      <c r="E86" s="906"/>
      <c r="F86" s="820"/>
      <c r="G86" s="439">
        <v>0</v>
      </c>
      <c r="H86" s="439">
        <v>0</v>
      </c>
      <c r="I86" s="411" t="s">
        <v>6</v>
      </c>
      <c r="J86" s="440">
        <f t="shared" ref="J86" si="163">K86+N86</f>
        <v>0</v>
      </c>
      <c r="K86" s="440">
        <f t="shared" ref="K86" si="164">L86+M86</f>
        <v>0</v>
      </c>
      <c r="L86" s="414">
        <v>0</v>
      </c>
      <c r="M86" s="414">
        <v>0</v>
      </c>
      <c r="N86" s="440">
        <f t="shared" ref="N86" si="165">O86+R86+U86</f>
        <v>0</v>
      </c>
      <c r="O86" s="440">
        <f t="shared" ref="O86" si="166">P86+Q86</f>
        <v>0</v>
      </c>
      <c r="P86" s="414">
        <v>0</v>
      </c>
      <c r="Q86" s="414">
        <v>0</v>
      </c>
      <c r="R86" s="440">
        <f t="shared" ref="R86" si="167">S86+T86</f>
        <v>0</v>
      </c>
      <c r="S86" s="414">
        <v>0</v>
      </c>
      <c r="T86" s="414">
        <v>0</v>
      </c>
      <c r="U86" s="440">
        <f t="shared" ref="U86" si="168">V86+W86</f>
        <v>0</v>
      </c>
      <c r="V86" s="414">
        <v>0</v>
      </c>
      <c r="W86" s="414">
        <v>0</v>
      </c>
    </row>
    <row r="87" spans="1:23" s="438" customFormat="1" ht="15" hidden="1" customHeight="1">
      <c r="A87" s="902"/>
      <c r="B87" s="826"/>
      <c r="C87" s="904"/>
      <c r="D87" s="819"/>
      <c r="E87" s="906"/>
      <c r="F87" s="820"/>
      <c r="G87" s="439">
        <v>118608</v>
      </c>
      <c r="H87" s="439">
        <v>52195</v>
      </c>
      <c r="I87" s="817" t="s">
        <v>7</v>
      </c>
      <c r="J87" s="901">
        <f t="shared" ref="J87:W87" si="169">J84+J86</f>
        <v>348000</v>
      </c>
      <c r="K87" s="901">
        <f t="shared" si="169"/>
        <v>295799</v>
      </c>
      <c r="L87" s="814">
        <f t="shared" si="169"/>
        <v>295799</v>
      </c>
      <c r="M87" s="814">
        <f t="shared" si="169"/>
        <v>0</v>
      </c>
      <c r="N87" s="901">
        <f t="shared" si="169"/>
        <v>52201</v>
      </c>
      <c r="O87" s="901">
        <f t="shared" si="169"/>
        <v>0</v>
      </c>
      <c r="P87" s="814">
        <f t="shared" si="169"/>
        <v>0</v>
      </c>
      <c r="Q87" s="814">
        <f t="shared" si="169"/>
        <v>0</v>
      </c>
      <c r="R87" s="901">
        <f t="shared" si="169"/>
        <v>52201</v>
      </c>
      <c r="S87" s="814">
        <f t="shared" si="169"/>
        <v>52201</v>
      </c>
      <c r="T87" s="814">
        <f t="shared" si="169"/>
        <v>0</v>
      </c>
      <c r="U87" s="901">
        <f t="shared" si="169"/>
        <v>0</v>
      </c>
      <c r="V87" s="814">
        <f t="shared" si="169"/>
        <v>0</v>
      </c>
      <c r="W87" s="814">
        <f t="shared" si="169"/>
        <v>0</v>
      </c>
    </row>
    <row r="88" spans="1:23" s="438" customFormat="1" ht="15" hidden="1" customHeight="1">
      <c r="A88" s="902"/>
      <c r="B88" s="827"/>
      <c r="C88" s="905"/>
      <c r="D88" s="819"/>
      <c r="E88" s="906"/>
      <c r="F88" s="820"/>
      <c r="G88" s="439">
        <v>0</v>
      </c>
      <c r="H88" s="439">
        <v>0</v>
      </c>
      <c r="I88" s="818"/>
      <c r="J88" s="901"/>
      <c r="K88" s="901"/>
      <c r="L88" s="814"/>
      <c r="M88" s="814"/>
      <c r="N88" s="901"/>
      <c r="O88" s="901"/>
      <c r="P88" s="814"/>
      <c r="Q88" s="814"/>
      <c r="R88" s="901"/>
      <c r="S88" s="814"/>
      <c r="T88" s="814"/>
      <c r="U88" s="901"/>
      <c r="V88" s="814"/>
      <c r="W88" s="814"/>
    </row>
    <row r="89" spans="1:23" s="438" customFormat="1" ht="15" hidden="1" customHeight="1">
      <c r="A89" s="902">
        <v>2</v>
      </c>
      <c r="B89" s="825" t="s">
        <v>923</v>
      </c>
      <c r="C89" s="903" t="s">
        <v>924</v>
      </c>
      <c r="D89" s="819" t="s">
        <v>226</v>
      </c>
      <c r="E89" s="906" t="s">
        <v>925</v>
      </c>
      <c r="F89" s="820" t="s">
        <v>652</v>
      </c>
      <c r="G89" s="439">
        <f>G90+G91+G92+G93</f>
        <v>489975</v>
      </c>
      <c r="H89" s="439">
        <f>H90+H91+H92+H93</f>
        <v>144834</v>
      </c>
      <c r="I89" s="817" t="s">
        <v>5</v>
      </c>
      <c r="J89" s="901">
        <f t="shared" ref="J89" si="170">K89+N89</f>
        <v>345141</v>
      </c>
      <c r="K89" s="901">
        <f t="shared" ref="K89" si="171">L89+M89</f>
        <v>293370</v>
      </c>
      <c r="L89" s="814">
        <v>293370</v>
      </c>
      <c r="M89" s="814">
        <v>0</v>
      </c>
      <c r="N89" s="901">
        <f t="shared" ref="N89" si="172">O89+R89+U89</f>
        <v>51771</v>
      </c>
      <c r="O89" s="901">
        <f t="shared" ref="O89" si="173">P89+Q89</f>
        <v>0</v>
      </c>
      <c r="P89" s="814">
        <v>0</v>
      </c>
      <c r="Q89" s="814">
        <v>0</v>
      </c>
      <c r="R89" s="901">
        <f t="shared" ref="R89" si="174">S89+T89</f>
        <v>51771</v>
      </c>
      <c r="S89" s="814">
        <v>51771</v>
      </c>
      <c r="T89" s="814">
        <v>0</v>
      </c>
      <c r="U89" s="901">
        <f t="shared" ref="U89" si="175">V89+W89</f>
        <v>0</v>
      </c>
      <c r="V89" s="814">
        <v>0</v>
      </c>
      <c r="W89" s="814">
        <v>0</v>
      </c>
    </row>
    <row r="90" spans="1:23" s="438" customFormat="1" ht="15" hidden="1" customHeight="1">
      <c r="A90" s="902"/>
      <c r="B90" s="826"/>
      <c r="C90" s="904"/>
      <c r="D90" s="819"/>
      <c r="E90" s="906"/>
      <c r="F90" s="820"/>
      <c r="G90" s="439">
        <v>416478</v>
      </c>
      <c r="H90" s="439">
        <v>123108</v>
      </c>
      <c r="I90" s="818"/>
      <c r="J90" s="901"/>
      <c r="K90" s="901"/>
      <c r="L90" s="814"/>
      <c r="M90" s="814"/>
      <c r="N90" s="901"/>
      <c r="O90" s="901"/>
      <c r="P90" s="814"/>
      <c r="Q90" s="814"/>
      <c r="R90" s="901"/>
      <c r="S90" s="814"/>
      <c r="T90" s="814"/>
      <c r="U90" s="901"/>
      <c r="V90" s="814"/>
      <c r="W90" s="814"/>
    </row>
    <row r="91" spans="1:23" s="438" customFormat="1" ht="15" hidden="1" customHeight="1">
      <c r="A91" s="902"/>
      <c r="B91" s="826"/>
      <c r="C91" s="904"/>
      <c r="D91" s="819"/>
      <c r="E91" s="906"/>
      <c r="F91" s="820"/>
      <c r="G91" s="439">
        <v>0</v>
      </c>
      <c r="H91" s="439">
        <v>0</v>
      </c>
      <c r="I91" s="411" t="s">
        <v>6</v>
      </c>
      <c r="J91" s="440">
        <f t="shared" ref="J91" si="176">K91+N91</f>
        <v>0</v>
      </c>
      <c r="K91" s="440">
        <f t="shared" ref="K91" si="177">L91+M91</f>
        <v>0</v>
      </c>
      <c r="L91" s="414">
        <v>0</v>
      </c>
      <c r="M91" s="414">
        <v>0</v>
      </c>
      <c r="N91" s="440">
        <f t="shared" ref="N91" si="178">O91+R91+U91</f>
        <v>0</v>
      </c>
      <c r="O91" s="440">
        <f t="shared" ref="O91" si="179">P91+Q91</f>
        <v>0</v>
      </c>
      <c r="P91" s="414">
        <v>0</v>
      </c>
      <c r="Q91" s="414">
        <v>0</v>
      </c>
      <c r="R91" s="440">
        <f t="shared" ref="R91" si="180">S91+T91</f>
        <v>0</v>
      </c>
      <c r="S91" s="414">
        <v>0</v>
      </c>
      <c r="T91" s="414">
        <v>0</v>
      </c>
      <c r="U91" s="440">
        <f t="shared" ref="U91" si="181">V91+W91</f>
        <v>0</v>
      </c>
      <c r="V91" s="414">
        <v>0</v>
      </c>
      <c r="W91" s="414">
        <v>0</v>
      </c>
    </row>
    <row r="92" spans="1:23" s="438" customFormat="1" ht="15" hidden="1" customHeight="1">
      <c r="A92" s="902"/>
      <c r="B92" s="826"/>
      <c r="C92" s="904"/>
      <c r="D92" s="819"/>
      <c r="E92" s="906"/>
      <c r="F92" s="820"/>
      <c r="G92" s="439">
        <v>73497</v>
      </c>
      <c r="H92" s="439">
        <v>21726</v>
      </c>
      <c r="I92" s="817" t="s">
        <v>7</v>
      </c>
      <c r="J92" s="901">
        <f t="shared" ref="J92:W92" si="182">J89+J91</f>
        <v>345141</v>
      </c>
      <c r="K92" s="901">
        <f t="shared" si="182"/>
        <v>293370</v>
      </c>
      <c r="L92" s="814">
        <f t="shared" si="182"/>
        <v>293370</v>
      </c>
      <c r="M92" s="814">
        <f t="shared" si="182"/>
        <v>0</v>
      </c>
      <c r="N92" s="901">
        <f t="shared" si="182"/>
        <v>51771</v>
      </c>
      <c r="O92" s="901">
        <f t="shared" si="182"/>
        <v>0</v>
      </c>
      <c r="P92" s="814">
        <f t="shared" si="182"/>
        <v>0</v>
      </c>
      <c r="Q92" s="814">
        <f t="shared" si="182"/>
        <v>0</v>
      </c>
      <c r="R92" s="901">
        <f t="shared" si="182"/>
        <v>51771</v>
      </c>
      <c r="S92" s="814">
        <f t="shared" si="182"/>
        <v>51771</v>
      </c>
      <c r="T92" s="814">
        <f t="shared" si="182"/>
        <v>0</v>
      </c>
      <c r="U92" s="901">
        <f t="shared" si="182"/>
        <v>0</v>
      </c>
      <c r="V92" s="814">
        <f t="shared" si="182"/>
        <v>0</v>
      </c>
      <c r="W92" s="814">
        <f t="shared" si="182"/>
        <v>0</v>
      </c>
    </row>
    <row r="93" spans="1:23" s="438" customFormat="1" ht="15" hidden="1" customHeight="1">
      <c r="A93" s="902"/>
      <c r="B93" s="827"/>
      <c r="C93" s="905"/>
      <c r="D93" s="819"/>
      <c r="E93" s="906"/>
      <c r="F93" s="820"/>
      <c r="G93" s="439">
        <v>0</v>
      </c>
      <c r="H93" s="439">
        <v>0</v>
      </c>
      <c r="I93" s="818"/>
      <c r="J93" s="901"/>
      <c r="K93" s="901"/>
      <c r="L93" s="814"/>
      <c r="M93" s="814"/>
      <c r="N93" s="901"/>
      <c r="O93" s="901"/>
      <c r="P93" s="814"/>
      <c r="Q93" s="814"/>
      <c r="R93" s="901"/>
      <c r="S93" s="814"/>
      <c r="T93" s="814"/>
      <c r="U93" s="901"/>
      <c r="V93" s="814"/>
      <c r="W93" s="814"/>
    </row>
    <row r="94" spans="1:23" s="438" customFormat="1" ht="15" hidden="1" customHeight="1">
      <c r="A94" s="902">
        <v>3</v>
      </c>
      <c r="B94" s="825" t="s">
        <v>920</v>
      </c>
      <c r="C94" s="903" t="s">
        <v>926</v>
      </c>
      <c r="D94" s="819" t="s">
        <v>226</v>
      </c>
      <c r="E94" s="906" t="s">
        <v>927</v>
      </c>
      <c r="F94" s="820" t="s">
        <v>631</v>
      </c>
      <c r="G94" s="439">
        <f>G95+G96+G97+G98</f>
        <v>750698</v>
      </c>
      <c r="H94" s="439">
        <f>H95+H96+H97+H98</f>
        <v>596996</v>
      </c>
      <c r="I94" s="817" t="s">
        <v>5</v>
      </c>
      <c r="J94" s="901">
        <f t="shared" ref="J94" si="183">K94+N94</f>
        <v>117328</v>
      </c>
      <c r="K94" s="901">
        <f t="shared" ref="K94" si="184">L94+M94</f>
        <v>99729</v>
      </c>
      <c r="L94" s="814">
        <v>99729</v>
      </c>
      <c r="M94" s="814">
        <v>0</v>
      </c>
      <c r="N94" s="901">
        <f t="shared" ref="N94" si="185">O94+R94+U94</f>
        <v>17599</v>
      </c>
      <c r="O94" s="901">
        <f t="shared" ref="O94" si="186">P94+Q94</f>
        <v>0</v>
      </c>
      <c r="P94" s="814">
        <v>0</v>
      </c>
      <c r="Q94" s="814">
        <v>0</v>
      </c>
      <c r="R94" s="901">
        <f t="shared" ref="R94" si="187">S94+T94</f>
        <v>17599</v>
      </c>
      <c r="S94" s="814">
        <v>17599</v>
      </c>
      <c r="T94" s="814">
        <v>0</v>
      </c>
      <c r="U94" s="901">
        <f t="shared" ref="U94" si="188">V94+W94</f>
        <v>0</v>
      </c>
      <c r="V94" s="814">
        <v>0</v>
      </c>
      <c r="W94" s="814">
        <v>0</v>
      </c>
    </row>
    <row r="95" spans="1:23" s="438" customFormat="1" ht="15" hidden="1" customHeight="1">
      <c r="A95" s="902"/>
      <c r="B95" s="826"/>
      <c r="C95" s="904"/>
      <c r="D95" s="819"/>
      <c r="E95" s="906"/>
      <c r="F95" s="820"/>
      <c r="G95" s="439">
        <v>638093</v>
      </c>
      <c r="H95" s="439">
        <v>507446</v>
      </c>
      <c r="I95" s="818"/>
      <c r="J95" s="901"/>
      <c r="K95" s="901"/>
      <c r="L95" s="814"/>
      <c r="M95" s="814"/>
      <c r="N95" s="901"/>
      <c r="O95" s="901"/>
      <c r="P95" s="814"/>
      <c r="Q95" s="814"/>
      <c r="R95" s="901"/>
      <c r="S95" s="814"/>
      <c r="T95" s="814"/>
      <c r="U95" s="901"/>
      <c r="V95" s="814"/>
      <c r="W95" s="814"/>
    </row>
    <row r="96" spans="1:23" s="438" customFormat="1" ht="15" hidden="1" customHeight="1">
      <c r="A96" s="902"/>
      <c r="B96" s="826"/>
      <c r="C96" s="904"/>
      <c r="D96" s="819"/>
      <c r="E96" s="906"/>
      <c r="F96" s="820"/>
      <c r="G96" s="439">
        <v>0</v>
      </c>
      <c r="H96" s="439">
        <v>0</v>
      </c>
      <c r="I96" s="411" t="s">
        <v>6</v>
      </c>
      <c r="J96" s="440">
        <f t="shared" ref="J96" si="189">K96+N96</f>
        <v>0</v>
      </c>
      <c r="K96" s="440">
        <f t="shared" ref="K96" si="190">L96+M96</f>
        <v>0</v>
      </c>
      <c r="L96" s="414">
        <v>0</v>
      </c>
      <c r="M96" s="414">
        <v>0</v>
      </c>
      <c r="N96" s="440">
        <f t="shared" ref="N96" si="191">O96+R96+U96</f>
        <v>0</v>
      </c>
      <c r="O96" s="440">
        <f t="shared" ref="O96" si="192">P96+Q96</f>
        <v>0</v>
      </c>
      <c r="P96" s="414">
        <v>0</v>
      </c>
      <c r="Q96" s="414">
        <v>0</v>
      </c>
      <c r="R96" s="440">
        <f t="shared" ref="R96" si="193">S96+T96</f>
        <v>0</v>
      </c>
      <c r="S96" s="414">
        <v>0</v>
      </c>
      <c r="T96" s="414">
        <v>0</v>
      </c>
      <c r="U96" s="440">
        <f t="shared" ref="U96" si="194">V96+W96</f>
        <v>0</v>
      </c>
      <c r="V96" s="414">
        <v>0</v>
      </c>
      <c r="W96" s="414">
        <v>0</v>
      </c>
    </row>
    <row r="97" spans="1:256" s="438" customFormat="1" ht="15" hidden="1" customHeight="1">
      <c r="A97" s="902"/>
      <c r="B97" s="826"/>
      <c r="C97" s="904"/>
      <c r="D97" s="819"/>
      <c r="E97" s="906"/>
      <c r="F97" s="820"/>
      <c r="G97" s="439">
        <v>112605</v>
      </c>
      <c r="H97" s="439">
        <v>89550</v>
      </c>
      <c r="I97" s="817" t="s">
        <v>7</v>
      </c>
      <c r="J97" s="901">
        <f t="shared" ref="J97:W97" si="195">J94+J96</f>
        <v>117328</v>
      </c>
      <c r="K97" s="901">
        <f t="shared" si="195"/>
        <v>99729</v>
      </c>
      <c r="L97" s="814">
        <f>L94+L96</f>
        <v>99729</v>
      </c>
      <c r="M97" s="814">
        <f t="shared" si="195"/>
        <v>0</v>
      </c>
      <c r="N97" s="901">
        <f t="shared" si="195"/>
        <v>17599</v>
      </c>
      <c r="O97" s="901">
        <f t="shared" si="195"/>
        <v>0</v>
      </c>
      <c r="P97" s="814">
        <f t="shared" si="195"/>
        <v>0</v>
      </c>
      <c r="Q97" s="814">
        <f t="shared" si="195"/>
        <v>0</v>
      </c>
      <c r="R97" s="901">
        <f t="shared" si="195"/>
        <v>17599</v>
      </c>
      <c r="S97" s="814">
        <f t="shared" si="195"/>
        <v>17599</v>
      </c>
      <c r="T97" s="814">
        <f t="shared" si="195"/>
        <v>0</v>
      </c>
      <c r="U97" s="901">
        <f t="shared" si="195"/>
        <v>0</v>
      </c>
      <c r="V97" s="814">
        <f t="shared" si="195"/>
        <v>0</v>
      </c>
      <c r="W97" s="814">
        <f t="shared" si="195"/>
        <v>0</v>
      </c>
    </row>
    <row r="98" spans="1:256" s="438" customFormat="1" ht="15" hidden="1" customHeight="1">
      <c r="A98" s="902"/>
      <c r="B98" s="827"/>
      <c r="C98" s="905"/>
      <c r="D98" s="819"/>
      <c r="E98" s="906"/>
      <c r="F98" s="820"/>
      <c r="G98" s="439">
        <v>0</v>
      </c>
      <c r="H98" s="439">
        <v>0</v>
      </c>
      <c r="I98" s="818"/>
      <c r="J98" s="901"/>
      <c r="K98" s="901"/>
      <c r="L98" s="814"/>
      <c r="M98" s="814"/>
      <c r="N98" s="901"/>
      <c r="O98" s="901"/>
      <c r="P98" s="814"/>
      <c r="Q98" s="814"/>
      <c r="R98" s="901"/>
      <c r="S98" s="814"/>
      <c r="T98" s="814"/>
      <c r="U98" s="901"/>
      <c r="V98" s="814"/>
      <c r="W98" s="814"/>
    </row>
    <row r="99" spans="1:256" s="438" customFormat="1" ht="15" hidden="1" customHeight="1">
      <c r="A99" s="902">
        <v>4</v>
      </c>
      <c r="B99" s="825" t="s">
        <v>920</v>
      </c>
      <c r="C99" s="903" t="s">
        <v>928</v>
      </c>
      <c r="D99" s="819" t="s">
        <v>226</v>
      </c>
      <c r="E99" s="906" t="s">
        <v>927</v>
      </c>
      <c r="F99" s="820" t="s">
        <v>631</v>
      </c>
      <c r="G99" s="439">
        <f>G100+G101+G102+G103</f>
        <v>662273</v>
      </c>
      <c r="H99" s="439">
        <f>H100+H101+H102+H103</f>
        <v>422810</v>
      </c>
      <c r="I99" s="817" t="s">
        <v>5</v>
      </c>
      <c r="J99" s="901">
        <f t="shared" ref="J99" si="196">K99+N99</f>
        <v>186888</v>
      </c>
      <c r="K99" s="901">
        <f t="shared" ref="K99" si="197">L99+M99</f>
        <v>158855</v>
      </c>
      <c r="L99" s="814">
        <v>158855</v>
      </c>
      <c r="M99" s="814">
        <v>0</v>
      </c>
      <c r="N99" s="901">
        <f t="shared" ref="N99" si="198">O99+R99+U99</f>
        <v>28033</v>
      </c>
      <c r="O99" s="901">
        <f t="shared" ref="O99" si="199">P99+Q99</f>
        <v>0</v>
      </c>
      <c r="P99" s="814">
        <v>0</v>
      </c>
      <c r="Q99" s="814">
        <v>0</v>
      </c>
      <c r="R99" s="901">
        <f t="shared" ref="R99" si="200">S99+T99</f>
        <v>28033</v>
      </c>
      <c r="S99" s="814">
        <v>28033</v>
      </c>
      <c r="T99" s="814">
        <v>0</v>
      </c>
      <c r="U99" s="901">
        <f t="shared" ref="U99" si="201">V99+W99</f>
        <v>0</v>
      </c>
      <c r="V99" s="814">
        <v>0</v>
      </c>
      <c r="W99" s="814">
        <v>0</v>
      </c>
    </row>
    <row r="100" spans="1:256" s="438" customFormat="1" ht="15" hidden="1" customHeight="1">
      <c r="A100" s="902"/>
      <c r="B100" s="826"/>
      <c r="C100" s="904"/>
      <c r="D100" s="819"/>
      <c r="E100" s="906"/>
      <c r="F100" s="820"/>
      <c r="G100" s="439">
        <v>562933</v>
      </c>
      <c r="H100" s="439">
        <v>359389</v>
      </c>
      <c r="I100" s="818"/>
      <c r="J100" s="901"/>
      <c r="K100" s="901"/>
      <c r="L100" s="814"/>
      <c r="M100" s="814"/>
      <c r="N100" s="901"/>
      <c r="O100" s="901"/>
      <c r="P100" s="814"/>
      <c r="Q100" s="814"/>
      <c r="R100" s="901"/>
      <c r="S100" s="814"/>
      <c r="T100" s="814"/>
      <c r="U100" s="901"/>
      <c r="V100" s="814"/>
      <c r="W100" s="814"/>
    </row>
    <row r="101" spans="1:256" s="438" customFormat="1" ht="15" hidden="1" customHeight="1">
      <c r="A101" s="902"/>
      <c r="B101" s="826"/>
      <c r="C101" s="904"/>
      <c r="D101" s="819"/>
      <c r="E101" s="906"/>
      <c r="F101" s="820"/>
      <c r="G101" s="439">
        <v>0</v>
      </c>
      <c r="H101" s="439">
        <v>0</v>
      </c>
      <c r="I101" s="411" t="s">
        <v>6</v>
      </c>
      <c r="J101" s="440">
        <f t="shared" ref="J101" si="202">K101+N101</f>
        <v>0</v>
      </c>
      <c r="K101" s="440">
        <f t="shared" ref="K101" si="203">L101+M101</f>
        <v>0</v>
      </c>
      <c r="L101" s="414">
        <v>0</v>
      </c>
      <c r="M101" s="414">
        <v>0</v>
      </c>
      <c r="N101" s="440">
        <f t="shared" ref="N101" si="204">O101+R101+U101</f>
        <v>0</v>
      </c>
      <c r="O101" s="440">
        <f t="shared" ref="O101" si="205">P101+Q101</f>
        <v>0</v>
      </c>
      <c r="P101" s="414">
        <v>0</v>
      </c>
      <c r="Q101" s="414">
        <v>0</v>
      </c>
      <c r="R101" s="440">
        <f t="shared" ref="R101" si="206">S101+T101</f>
        <v>0</v>
      </c>
      <c r="S101" s="414">
        <v>0</v>
      </c>
      <c r="T101" s="414">
        <v>0</v>
      </c>
      <c r="U101" s="440">
        <f t="shared" ref="U101" si="207">V101+W101</f>
        <v>0</v>
      </c>
      <c r="V101" s="414">
        <v>0</v>
      </c>
      <c r="W101" s="414">
        <v>0</v>
      </c>
    </row>
    <row r="102" spans="1:256" s="438" customFormat="1" ht="15" hidden="1" customHeight="1">
      <c r="A102" s="902"/>
      <c r="B102" s="826"/>
      <c r="C102" s="904"/>
      <c r="D102" s="819"/>
      <c r="E102" s="906"/>
      <c r="F102" s="820"/>
      <c r="G102" s="439">
        <v>99340</v>
      </c>
      <c r="H102" s="439">
        <v>63421</v>
      </c>
      <c r="I102" s="817" t="s">
        <v>7</v>
      </c>
      <c r="J102" s="901">
        <f t="shared" ref="J102:W102" si="208">J99+J101</f>
        <v>186888</v>
      </c>
      <c r="K102" s="901">
        <f t="shared" si="208"/>
        <v>158855</v>
      </c>
      <c r="L102" s="814">
        <f t="shared" si="208"/>
        <v>158855</v>
      </c>
      <c r="M102" s="814">
        <f t="shared" si="208"/>
        <v>0</v>
      </c>
      <c r="N102" s="901">
        <f t="shared" si="208"/>
        <v>28033</v>
      </c>
      <c r="O102" s="901">
        <f t="shared" si="208"/>
        <v>0</v>
      </c>
      <c r="P102" s="814">
        <f t="shared" si="208"/>
        <v>0</v>
      </c>
      <c r="Q102" s="814">
        <f t="shared" si="208"/>
        <v>0</v>
      </c>
      <c r="R102" s="901">
        <f t="shared" si="208"/>
        <v>28033</v>
      </c>
      <c r="S102" s="814">
        <f t="shared" si="208"/>
        <v>28033</v>
      </c>
      <c r="T102" s="814">
        <f t="shared" si="208"/>
        <v>0</v>
      </c>
      <c r="U102" s="901">
        <f t="shared" si="208"/>
        <v>0</v>
      </c>
      <c r="V102" s="814">
        <f t="shared" si="208"/>
        <v>0</v>
      </c>
      <c r="W102" s="814">
        <f t="shared" si="208"/>
        <v>0</v>
      </c>
    </row>
    <row r="103" spans="1:256" s="438" customFormat="1" ht="15" hidden="1" customHeight="1">
      <c r="A103" s="902"/>
      <c r="B103" s="827"/>
      <c r="C103" s="905"/>
      <c r="D103" s="819"/>
      <c r="E103" s="906"/>
      <c r="F103" s="820"/>
      <c r="G103" s="439">
        <v>0</v>
      </c>
      <c r="H103" s="439">
        <v>0</v>
      </c>
      <c r="I103" s="818"/>
      <c r="J103" s="901"/>
      <c r="K103" s="901"/>
      <c r="L103" s="814"/>
      <c r="M103" s="814"/>
      <c r="N103" s="901"/>
      <c r="O103" s="901"/>
      <c r="P103" s="814"/>
      <c r="Q103" s="814"/>
      <c r="R103" s="901"/>
      <c r="S103" s="814"/>
      <c r="T103" s="814"/>
      <c r="U103" s="901"/>
      <c r="V103" s="814"/>
      <c r="W103" s="814"/>
    </row>
    <row r="104" spans="1:256" s="438" customFormat="1" ht="15" hidden="1" customHeight="1">
      <c r="A104" s="902">
        <v>5</v>
      </c>
      <c r="B104" s="825" t="s">
        <v>920</v>
      </c>
      <c r="C104" s="903" t="s">
        <v>929</v>
      </c>
      <c r="D104" s="819" t="s">
        <v>226</v>
      </c>
      <c r="E104" s="906" t="s">
        <v>927</v>
      </c>
      <c r="F104" s="820" t="s">
        <v>631</v>
      </c>
      <c r="G104" s="439">
        <f>G105+G106+G107+G108</f>
        <v>1064202</v>
      </c>
      <c r="H104" s="439">
        <f>H105+H106+H107+H108</f>
        <v>524488</v>
      </c>
      <c r="I104" s="817" t="s">
        <v>5</v>
      </c>
      <c r="J104" s="901">
        <f t="shared" ref="J104" si="209">K104+N104</f>
        <v>350601</v>
      </c>
      <c r="K104" s="901">
        <f t="shared" ref="K104" si="210">L104+M104</f>
        <v>298011</v>
      </c>
      <c r="L104" s="814">
        <v>298011</v>
      </c>
      <c r="M104" s="814">
        <v>0</v>
      </c>
      <c r="N104" s="901">
        <f t="shared" ref="N104" si="211">O104+R104+U104</f>
        <v>52590</v>
      </c>
      <c r="O104" s="901">
        <f t="shared" ref="O104" si="212">P104+Q104</f>
        <v>0</v>
      </c>
      <c r="P104" s="814">
        <v>0</v>
      </c>
      <c r="Q104" s="814">
        <v>0</v>
      </c>
      <c r="R104" s="901">
        <f t="shared" ref="R104" si="213">S104+T104</f>
        <v>52590</v>
      </c>
      <c r="S104" s="814">
        <v>52590</v>
      </c>
      <c r="T104" s="814">
        <v>0</v>
      </c>
      <c r="U104" s="901">
        <f t="shared" ref="U104" si="214">V104+W104</f>
        <v>0</v>
      </c>
      <c r="V104" s="814">
        <v>0</v>
      </c>
      <c r="W104" s="814">
        <v>0</v>
      </c>
    </row>
    <row r="105" spans="1:256" s="438" customFormat="1" ht="15" hidden="1" customHeight="1">
      <c r="A105" s="902"/>
      <c r="B105" s="826"/>
      <c r="C105" s="904"/>
      <c r="D105" s="819"/>
      <c r="E105" s="906"/>
      <c r="F105" s="820"/>
      <c r="G105" s="439">
        <v>904572</v>
      </c>
      <c r="H105" s="439">
        <v>445814</v>
      </c>
      <c r="I105" s="818"/>
      <c r="J105" s="901"/>
      <c r="K105" s="901"/>
      <c r="L105" s="814"/>
      <c r="M105" s="814"/>
      <c r="N105" s="901"/>
      <c r="O105" s="901"/>
      <c r="P105" s="814"/>
      <c r="Q105" s="814"/>
      <c r="R105" s="901"/>
      <c r="S105" s="814"/>
      <c r="T105" s="814"/>
      <c r="U105" s="901"/>
      <c r="V105" s="814"/>
      <c r="W105" s="814"/>
    </row>
    <row r="106" spans="1:256" s="438" customFormat="1" ht="15" hidden="1" customHeight="1">
      <c r="A106" s="902"/>
      <c r="B106" s="826"/>
      <c r="C106" s="904"/>
      <c r="D106" s="819"/>
      <c r="E106" s="906"/>
      <c r="F106" s="820"/>
      <c r="G106" s="439">
        <v>0</v>
      </c>
      <c r="H106" s="439">
        <v>0</v>
      </c>
      <c r="I106" s="411" t="s">
        <v>6</v>
      </c>
      <c r="J106" s="440">
        <f t="shared" ref="J106" si="215">K106+N106</f>
        <v>0</v>
      </c>
      <c r="K106" s="440">
        <f t="shared" ref="K106" si="216">L106+M106</f>
        <v>0</v>
      </c>
      <c r="L106" s="414">
        <v>0</v>
      </c>
      <c r="M106" s="414">
        <v>0</v>
      </c>
      <c r="N106" s="440">
        <f t="shared" ref="N106" si="217">O106+R106+U106</f>
        <v>0</v>
      </c>
      <c r="O106" s="440">
        <f t="shared" ref="O106" si="218">P106+Q106</f>
        <v>0</v>
      </c>
      <c r="P106" s="414">
        <v>0</v>
      </c>
      <c r="Q106" s="414">
        <v>0</v>
      </c>
      <c r="R106" s="440">
        <f t="shared" ref="R106" si="219">S106+T106</f>
        <v>0</v>
      </c>
      <c r="S106" s="414">
        <v>0</v>
      </c>
      <c r="T106" s="414">
        <v>0</v>
      </c>
      <c r="U106" s="440">
        <f t="shared" ref="U106" si="220">V106+W106</f>
        <v>0</v>
      </c>
      <c r="V106" s="414">
        <v>0</v>
      </c>
      <c r="W106" s="414">
        <v>0</v>
      </c>
    </row>
    <row r="107" spans="1:256" s="441" customFormat="1" hidden="1">
      <c r="A107" s="902"/>
      <c r="B107" s="826"/>
      <c r="C107" s="904"/>
      <c r="D107" s="819"/>
      <c r="E107" s="906"/>
      <c r="F107" s="820"/>
      <c r="G107" s="439">
        <v>159630</v>
      </c>
      <c r="H107" s="439">
        <v>78674</v>
      </c>
      <c r="I107" s="817" t="s">
        <v>7</v>
      </c>
      <c r="J107" s="901">
        <f t="shared" ref="J107:W107" si="221">J104+J106</f>
        <v>350601</v>
      </c>
      <c r="K107" s="901">
        <f t="shared" si="221"/>
        <v>298011</v>
      </c>
      <c r="L107" s="814">
        <f t="shared" si="221"/>
        <v>298011</v>
      </c>
      <c r="M107" s="814">
        <f t="shared" si="221"/>
        <v>0</v>
      </c>
      <c r="N107" s="901">
        <f t="shared" si="221"/>
        <v>52590</v>
      </c>
      <c r="O107" s="901">
        <f t="shared" si="221"/>
        <v>0</v>
      </c>
      <c r="P107" s="814">
        <f t="shared" si="221"/>
        <v>0</v>
      </c>
      <c r="Q107" s="814">
        <f t="shared" si="221"/>
        <v>0</v>
      </c>
      <c r="R107" s="901">
        <f t="shared" si="221"/>
        <v>52590</v>
      </c>
      <c r="S107" s="814">
        <f t="shared" si="221"/>
        <v>52590</v>
      </c>
      <c r="T107" s="814">
        <f t="shared" si="221"/>
        <v>0</v>
      </c>
      <c r="U107" s="901">
        <f t="shared" si="221"/>
        <v>0</v>
      </c>
      <c r="V107" s="814">
        <f t="shared" si="221"/>
        <v>0</v>
      </c>
      <c r="W107" s="814">
        <f t="shared" si="221"/>
        <v>0</v>
      </c>
      <c r="X107" s="438"/>
      <c r="Y107" s="438"/>
      <c r="Z107" s="438"/>
      <c r="AA107" s="438"/>
      <c r="AB107" s="438"/>
      <c r="AC107" s="438"/>
      <c r="AD107" s="43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8"/>
      <c r="BX107" s="438"/>
      <c r="BY107" s="438"/>
      <c r="BZ107" s="438"/>
      <c r="CA107" s="438"/>
      <c r="CB107" s="438"/>
      <c r="CC107" s="438"/>
      <c r="CD107" s="438"/>
      <c r="CE107" s="438"/>
      <c r="CF107" s="438"/>
      <c r="CG107" s="438"/>
      <c r="CH107" s="438"/>
      <c r="CI107" s="438"/>
      <c r="CJ107" s="438"/>
      <c r="CK107" s="438"/>
      <c r="CL107" s="438"/>
      <c r="CM107" s="438"/>
      <c r="CN107" s="438"/>
      <c r="CO107" s="438"/>
      <c r="CP107" s="438"/>
      <c r="CQ107" s="438"/>
      <c r="CR107" s="438"/>
      <c r="CS107" s="438"/>
      <c r="CT107" s="438"/>
      <c r="CU107" s="438"/>
      <c r="CV107" s="438"/>
      <c r="CW107" s="438"/>
      <c r="CX107" s="438"/>
      <c r="CY107" s="438"/>
      <c r="CZ107" s="438"/>
      <c r="DA107" s="438"/>
      <c r="DB107" s="438"/>
      <c r="DC107" s="438"/>
      <c r="DD107" s="438"/>
      <c r="DE107" s="438"/>
      <c r="DF107" s="438"/>
      <c r="DG107" s="438"/>
      <c r="DH107" s="438"/>
      <c r="DI107" s="438"/>
      <c r="DJ107" s="438"/>
      <c r="DK107" s="438"/>
      <c r="DL107" s="438"/>
      <c r="DM107" s="438"/>
      <c r="DN107" s="438"/>
      <c r="DO107" s="438"/>
      <c r="DP107" s="438"/>
      <c r="DQ107" s="438"/>
      <c r="DR107" s="438"/>
      <c r="DS107" s="438"/>
      <c r="DT107" s="438"/>
      <c r="DU107" s="438"/>
      <c r="DV107" s="438"/>
      <c r="DW107" s="438"/>
      <c r="DX107" s="438"/>
      <c r="DY107" s="438"/>
      <c r="DZ107" s="438"/>
      <c r="EA107" s="438"/>
      <c r="EB107" s="438"/>
      <c r="EC107" s="438"/>
      <c r="ED107" s="438"/>
      <c r="EE107" s="438"/>
      <c r="EF107" s="438"/>
      <c r="EG107" s="438"/>
      <c r="EH107" s="438"/>
      <c r="EI107" s="438"/>
      <c r="EJ107" s="438"/>
      <c r="EK107" s="438"/>
      <c r="EL107" s="438"/>
      <c r="EM107" s="438"/>
      <c r="EN107" s="438"/>
      <c r="EO107" s="438"/>
      <c r="EP107" s="438"/>
      <c r="EQ107" s="438"/>
      <c r="ER107" s="438"/>
      <c r="ES107" s="438"/>
      <c r="ET107" s="438"/>
      <c r="EU107" s="438"/>
      <c r="EV107" s="438"/>
      <c r="EW107" s="438"/>
      <c r="EX107" s="438"/>
      <c r="EY107" s="438"/>
      <c r="EZ107" s="438"/>
      <c r="FA107" s="438"/>
      <c r="FB107" s="438"/>
      <c r="FC107" s="438"/>
      <c r="FD107" s="438"/>
      <c r="FE107" s="438"/>
      <c r="FF107" s="438"/>
      <c r="FG107" s="438"/>
      <c r="FH107" s="438"/>
      <c r="FI107" s="438"/>
      <c r="FJ107" s="438"/>
      <c r="FK107" s="438"/>
      <c r="FL107" s="438"/>
      <c r="FM107" s="438"/>
      <c r="FN107" s="438"/>
      <c r="FO107" s="438"/>
      <c r="FP107" s="438"/>
      <c r="FQ107" s="438"/>
      <c r="FR107" s="438"/>
      <c r="FS107" s="438"/>
      <c r="FT107" s="438"/>
      <c r="FU107" s="438"/>
      <c r="FV107" s="438"/>
      <c r="FW107" s="438"/>
      <c r="FX107" s="438"/>
      <c r="FY107" s="438"/>
      <c r="FZ107" s="438"/>
      <c r="GA107" s="438"/>
      <c r="GB107" s="438"/>
      <c r="GC107" s="438"/>
      <c r="GD107" s="438"/>
      <c r="GE107" s="438"/>
      <c r="GF107" s="438"/>
      <c r="GG107" s="438"/>
      <c r="GH107" s="438"/>
      <c r="GI107" s="438"/>
      <c r="GJ107" s="438"/>
      <c r="GK107" s="438"/>
      <c r="GL107" s="438"/>
      <c r="GM107" s="438"/>
      <c r="GN107" s="438"/>
      <c r="GO107" s="438"/>
      <c r="GP107" s="438"/>
      <c r="GQ107" s="438"/>
      <c r="GR107" s="438"/>
      <c r="GS107" s="438"/>
      <c r="GT107" s="438"/>
      <c r="GU107" s="438"/>
      <c r="GV107" s="438"/>
      <c r="GW107" s="438"/>
      <c r="GX107" s="438"/>
      <c r="GY107" s="438"/>
      <c r="GZ107" s="438"/>
      <c r="HA107" s="438"/>
      <c r="HB107" s="438"/>
      <c r="HC107" s="438"/>
      <c r="HD107" s="438"/>
      <c r="HE107" s="438"/>
      <c r="HF107" s="438"/>
      <c r="HG107" s="438"/>
      <c r="HH107" s="438"/>
      <c r="HI107" s="438"/>
      <c r="HJ107" s="438"/>
      <c r="HK107" s="438"/>
      <c r="HL107" s="438"/>
      <c r="HM107" s="438"/>
      <c r="HN107" s="438"/>
      <c r="HO107" s="438"/>
      <c r="HP107" s="438"/>
      <c r="HQ107" s="438"/>
      <c r="HR107" s="438"/>
      <c r="HS107" s="438"/>
      <c r="HT107" s="438"/>
      <c r="HU107" s="438"/>
      <c r="HV107" s="438"/>
      <c r="HW107" s="438"/>
      <c r="HX107" s="438"/>
      <c r="HY107" s="438"/>
      <c r="HZ107" s="438"/>
      <c r="IA107" s="438"/>
      <c r="IB107" s="438"/>
      <c r="IC107" s="438"/>
      <c r="ID107" s="438"/>
      <c r="IE107" s="438"/>
      <c r="IF107" s="438"/>
      <c r="IG107" s="438"/>
      <c r="IH107" s="438"/>
      <c r="II107" s="438"/>
      <c r="IJ107" s="438"/>
      <c r="IK107" s="438"/>
      <c r="IL107" s="438"/>
      <c r="IM107" s="438"/>
      <c r="IN107" s="438"/>
      <c r="IO107" s="438"/>
      <c r="IP107" s="438"/>
      <c r="IQ107" s="438"/>
      <c r="IR107" s="438"/>
      <c r="IS107" s="438"/>
      <c r="IT107" s="438"/>
      <c r="IU107" s="438"/>
      <c r="IV107" s="438"/>
    </row>
    <row r="108" spans="1:256" s="441" customFormat="1" hidden="1">
      <c r="A108" s="902"/>
      <c r="B108" s="827"/>
      <c r="C108" s="905"/>
      <c r="D108" s="819"/>
      <c r="E108" s="906"/>
      <c r="F108" s="820"/>
      <c r="G108" s="439">
        <v>0</v>
      </c>
      <c r="H108" s="439">
        <v>0</v>
      </c>
      <c r="I108" s="818"/>
      <c r="J108" s="901"/>
      <c r="K108" s="901"/>
      <c r="L108" s="814"/>
      <c r="M108" s="814"/>
      <c r="N108" s="901"/>
      <c r="O108" s="901"/>
      <c r="P108" s="814"/>
      <c r="Q108" s="814"/>
      <c r="R108" s="901"/>
      <c r="S108" s="814"/>
      <c r="T108" s="814"/>
      <c r="U108" s="901"/>
      <c r="V108" s="814"/>
      <c r="W108" s="814"/>
      <c r="X108" s="438"/>
      <c r="Y108" s="438"/>
      <c r="Z108" s="438"/>
      <c r="AA108" s="438"/>
      <c r="AB108" s="438"/>
      <c r="AC108" s="438"/>
      <c r="AD108" s="43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438"/>
      <c r="BC108" s="438"/>
      <c r="BD108" s="438"/>
      <c r="BE108" s="438"/>
      <c r="BF108" s="438"/>
      <c r="BG108" s="438"/>
      <c r="BH108" s="438"/>
      <c r="BI108" s="438"/>
      <c r="BJ108" s="438"/>
      <c r="BK108" s="438"/>
      <c r="BL108" s="438"/>
      <c r="BM108" s="438"/>
      <c r="BN108" s="438"/>
      <c r="BO108" s="438"/>
      <c r="BP108" s="438"/>
      <c r="BQ108" s="438"/>
      <c r="BR108" s="438"/>
      <c r="BS108" s="438"/>
      <c r="BT108" s="438"/>
      <c r="BU108" s="438"/>
      <c r="BV108" s="438"/>
      <c r="BW108" s="438"/>
      <c r="BX108" s="438"/>
      <c r="BY108" s="438"/>
      <c r="BZ108" s="438"/>
      <c r="CA108" s="438"/>
      <c r="CB108" s="438"/>
      <c r="CC108" s="438"/>
      <c r="CD108" s="438"/>
      <c r="CE108" s="438"/>
      <c r="CF108" s="438"/>
      <c r="CG108" s="438"/>
      <c r="CH108" s="438"/>
      <c r="CI108" s="438"/>
      <c r="CJ108" s="438"/>
      <c r="CK108" s="438"/>
      <c r="CL108" s="438"/>
      <c r="CM108" s="438"/>
      <c r="CN108" s="438"/>
      <c r="CO108" s="438"/>
      <c r="CP108" s="438"/>
      <c r="CQ108" s="438"/>
      <c r="CR108" s="438"/>
      <c r="CS108" s="438"/>
      <c r="CT108" s="438"/>
      <c r="CU108" s="438"/>
      <c r="CV108" s="438"/>
      <c r="CW108" s="438"/>
      <c r="CX108" s="438"/>
      <c r="CY108" s="438"/>
      <c r="CZ108" s="438"/>
      <c r="DA108" s="438"/>
      <c r="DB108" s="438"/>
      <c r="DC108" s="438"/>
      <c r="DD108" s="438"/>
      <c r="DE108" s="438"/>
      <c r="DF108" s="438"/>
      <c r="DG108" s="438"/>
      <c r="DH108" s="438"/>
      <c r="DI108" s="438"/>
      <c r="DJ108" s="438"/>
      <c r="DK108" s="438"/>
      <c r="DL108" s="438"/>
      <c r="DM108" s="438"/>
      <c r="DN108" s="438"/>
      <c r="DO108" s="438"/>
      <c r="DP108" s="438"/>
      <c r="DQ108" s="438"/>
      <c r="DR108" s="438"/>
      <c r="DS108" s="438"/>
      <c r="DT108" s="438"/>
      <c r="DU108" s="438"/>
      <c r="DV108" s="438"/>
      <c r="DW108" s="438"/>
      <c r="DX108" s="438"/>
      <c r="DY108" s="438"/>
      <c r="DZ108" s="438"/>
      <c r="EA108" s="438"/>
      <c r="EB108" s="438"/>
      <c r="EC108" s="438"/>
      <c r="ED108" s="438"/>
      <c r="EE108" s="438"/>
      <c r="EF108" s="438"/>
      <c r="EG108" s="438"/>
      <c r="EH108" s="438"/>
      <c r="EI108" s="438"/>
      <c r="EJ108" s="438"/>
      <c r="EK108" s="438"/>
      <c r="EL108" s="438"/>
      <c r="EM108" s="438"/>
      <c r="EN108" s="438"/>
      <c r="EO108" s="438"/>
      <c r="EP108" s="438"/>
      <c r="EQ108" s="438"/>
      <c r="ER108" s="438"/>
      <c r="ES108" s="438"/>
      <c r="ET108" s="438"/>
      <c r="EU108" s="438"/>
      <c r="EV108" s="438"/>
      <c r="EW108" s="438"/>
      <c r="EX108" s="438"/>
      <c r="EY108" s="438"/>
      <c r="EZ108" s="438"/>
      <c r="FA108" s="438"/>
      <c r="FB108" s="438"/>
      <c r="FC108" s="438"/>
      <c r="FD108" s="438"/>
      <c r="FE108" s="438"/>
      <c r="FF108" s="438"/>
      <c r="FG108" s="438"/>
      <c r="FH108" s="438"/>
      <c r="FI108" s="438"/>
      <c r="FJ108" s="438"/>
      <c r="FK108" s="438"/>
      <c r="FL108" s="438"/>
      <c r="FM108" s="438"/>
      <c r="FN108" s="438"/>
      <c r="FO108" s="438"/>
      <c r="FP108" s="438"/>
      <c r="FQ108" s="438"/>
      <c r="FR108" s="438"/>
      <c r="FS108" s="438"/>
      <c r="FT108" s="438"/>
      <c r="FU108" s="438"/>
      <c r="FV108" s="438"/>
      <c r="FW108" s="438"/>
      <c r="FX108" s="438"/>
      <c r="FY108" s="438"/>
      <c r="FZ108" s="438"/>
      <c r="GA108" s="438"/>
      <c r="GB108" s="438"/>
      <c r="GC108" s="438"/>
      <c r="GD108" s="438"/>
      <c r="GE108" s="438"/>
      <c r="GF108" s="438"/>
      <c r="GG108" s="438"/>
      <c r="GH108" s="438"/>
      <c r="GI108" s="438"/>
      <c r="GJ108" s="438"/>
      <c r="GK108" s="438"/>
      <c r="GL108" s="438"/>
      <c r="GM108" s="438"/>
      <c r="GN108" s="438"/>
      <c r="GO108" s="438"/>
      <c r="GP108" s="438"/>
      <c r="GQ108" s="438"/>
      <c r="GR108" s="438"/>
      <c r="GS108" s="438"/>
      <c r="GT108" s="438"/>
      <c r="GU108" s="438"/>
      <c r="GV108" s="438"/>
      <c r="GW108" s="438"/>
      <c r="GX108" s="438"/>
      <c r="GY108" s="438"/>
      <c r="GZ108" s="438"/>
      <c r="HA108" s="438"/>
      <c r="HB108" s="438"/>
      <c r="HC108" s="438"/>
      <c r="HD108" s="438"/>
      <c r="HE108" s="438"/>
      <c r="HF108" s="438"/>
      <c r="HG108" s="438"/>
      <c r="HH108" s="438"/>
      <c r="HI108" s="438"/>
      <c r="HJ108" s="438"/>
      <c r="HK108" s="438"/>
      <c r="HL108" s="438"/>
      <c r="HM108" s="438"/>
      <c r="HN108" s="438"/>
      <c r="HO108" s="438"/>
      <c r="HP108" s="438"/>
      <c r="HQ108" s="438"/>
      <c r="HR108" s="438"/>
      <c r="HS108" s="438"/>
      <c r="HT108" s="438"/>
      <c r="HU108" s="438"/>
      <c r="HV108" s="438"/>
      <c r="HW108" s="438"/>
      <c r="HX108" s="438"/>
      <c r="HY108" s="438"/>
      <c r="HZ108" s="438"/>
      <c r="IA108" s="438"/>
      <c r="IB108" s="438"/>
      <c r="IC108" s="438"/>
      <c r="ID108" s="438"/>
      <c r="IE108" s="438"/>
      <c r="IF108" s="438"/>
      <c r="IG108" s="438"/>
      <c r="IH108" s="438"/>
      <c r="II108" s="438"/>
      <c r="IJ108" s="438"/>
      <c r="IK108" s="438"/>
      <c r="IL108" s="438"/>
      <c r="IM108" s="438"/>
      <c r="IN108" s="438"/>
      <c r="IO108" s="438"/>
      <c r="IP108" s="438"/>
      <c r="IQ108" s="438"/>
      <c r="IR108" s="438"/>
      <c r="IS108" s="438"/>
      <c r="IT108" s="438"/>
      <c r="IU108" s="438"/>
      <c r="IV108" s="438"/>
    </row>
    <row r="109" spans="1:256" s="441" customFormat="1" hidden="1">
      <c r="A109" s="902">
        <v>6</v>
      </c>
      <c r="B109" s="825" t="s">
        <v>923</v>
      </c>
      <c r="C109" s="903" t="s">
        <v>930</v>
      </c>
      <c r="D109" s="819" t="s">
        <v>226</v>
      </c>
      <c r="E109" s="906" t="s">
        <v>925</v>
      </c>
      <c r="F109" s="820" t="s">
        <v>652</v>
      </c>
      <c r="G109" s="439">
        <f>G110+G111+G112+G113</f>
        <v>547260</v>
      </c>
      <c r="H109" s="439">
        <f>H110+H111+H112+H113</f>
        <v>348912</v>
      </c>
      <c r="I109" s="817" t="s">
        <v>5</v>
      </c>
      <c r="J109" s="901">
        <f t="shared" ref="J109" si="222">K109+N109</f>
        <v>198348</v>
      </c>
      <c r="K109" s="901">
        <f t="shared" ref="K109" si="223">L109+M109</f>
        <v>168596</v>
      </c>
      <c r="L109" s="814">
        <v>168596</v>
      </c>
      <c r="M109" s="814">
        <v>0</v>
      </c>
      <c r="N109" s="901">
        <f t="shared" ref="N109" si="224">O109+R109+U109</f>
        <v>29752</v>
      </c>
      <c r="O109" s="901">
        <f t="shared" ref="O109" si="225">P109+Q109</f>
        <v>0</v>
      </c>
      <c r="P109" s="814">
        <v>0</v>
      </c>
      <c r="Q109" s="814">
        <v>0</v>
      </c>
      <c r="R109" s="901">
        <f t="shared" ref="R109" si="226">S109+T109</f>
        <v>29752</v>
      </c>
      <c r="S109" s="814">
        <v>29752</v>
      </c>
      <c r="T109" s="814">
        <v>0</v>
      </c>
      <c r="U109" s="901">
        <f t="shared" ref="U109" si="227">V109+W109</f>
        <v>0</v>
      </c>
      <c r="V109" s="814">
        <v>0</v>
      </c>
      <c r="W109" s="814">
        <v>0</v>
      </c>
      <c r="X109" s="438"/>
      <c r="Y109" s="438"/>
      <c r="Z109" s="438"/>
      <c r="AA109" s="438"/>
      <c r="AB109" s="438"/>
      <c r="AC109" s="438"/>
      <c r="AD109" s="438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438"/>
      <c r="BC109" s="438"/>
      <c r="BD109" s="438"/>
      <c r="BE109" s="438"/>
      <c r="BF109" s="438"/>
      <c r="BG109" s="438"/>
      <c r="BH109" s="438"/>
      <c r="BI109" s="438"/>
      <c r="BJ109" s="438"/>
      <c r="BK109" s="438"/>
      <c r="BL109" s="438"/>
      <c r="BM109" s="438"/>
      <c r="BN109" s="438"/>
      <c r="BO109" s="438"/>
      <c r="BP109" s="438"/>
      <c r="BQ109" s="438"/>
      <c r="BR109" s="438"/>
      <c r="BS109" s="438"/>
      <c r="BT109" s="438"/>
      <c r="BU109" s="438"/>
      <c r="BV109" s="438"/>
      <c r="BW109" s="438"/>
      <c r="BX109" s="438"/>
      <c r="BY109" s="438"/>
      <c r="BZ109" s="438"/>
      <c r="CA109" s="438"/>
      <c r="CB109" s="438"/>
      <c r="CC109" s="438"/>
      <c r="CD109" s="438"/>
      <c r="CE109" s="438"/>
      <c r="CF109" s="438"/>
      <c r="CG109" s="438"/>
      <c r="CH109" s="438"/>
      <c r="CI109" s="438"/>
      <c r="CJ109" s="438"/>
      <c r="CK109" s="438"/>
      <c r="CL109" s="438"/>
      <c r="CM109" s="438"/>
      <c r="CN109" s="438"/>
      <c r="CO109" s="438"/>
      <c r="CP109" s="438"/>
      <c r="CQ109" s="438"/>
      <c r="CR109" s="438"/>
      <c r="CS109" s="438"/>
      <c r="CT109" s="438"/>
      <c r="CU109" s="438"/>
      <c r="CV109" s="438"/>
      <c r="CW109" s="438"/>
      <c r="CX109" s="438"/>
      <c r="CY109" s="438"/>
      <c r="CZ109" s="438"/>
      <c r="DA109" s="438"/>
      <c r="DB109" s="438"/>
      <c r="DC109" s="438"/>
      <c r="DD109" s="438"/>
      <c r="DE109" s="438"/>
      <c r="DF109" s="438"/>
      <c r="DG109" s="438"/>
      <c r="DH109" s="438"/>
      <c r="DI109" s="438"/>
      <c r="DJ109" s="438"/>
      <c r="DK109" s="438"/>
      <c r="DL109" s="438"/>
      <c r="DM109" s="438"/>
      <c r="DN109" s="438"/>
      <c r="DO109" s="438"/>
      <c r="DP109" s="438"/>
      <c r="DQ109" s="438"/>
      <c r="DR109" s="438"/>
      <c r="DS109" s="438"/>
      <c r="DT109" s="438"/>
      <c r="DU109" s="438"/>
      <c r="DV109" s="438"/>
      <c r="DW109" s="438"/>
      <c r="DX109" s="438"/>
      <c r="DY109" s="438"/>
      <c r="DZ109" s="438"/>
      <c r="EA109" s="438"/>
      <c r="EB109" s="438"/>
      <c r="EC109" s="438"/>
      <c r="ED109" s="438"/>
      <c r="EE109" s="438"/>
      <c r="EF109" s="438"/>
      <c r="EG109" s="438"/>
      <c r="EH109" s="438"/>
      <c r="EI109" s="438"/>
      <c r="EJ109" s="438"/>
      <c r="EK109" s="438"/>
      <c r="EL109" s="438"/>
      <c r="EM109" s="438"/>
      <c r="EN109" s="438"/>
      <c r="EO109" s="438"/>
      <c r="EP109" s="438"/>
      <c r="EQ109" s="438"/>
      <c r="ER109" s="438"/>
      <c r="ES109" s="438"/>
      <c r="ET109" s="438"/>
      <c r="EU109" s="438"/>
      <c r="EV109" s="438"/>
      <c r="EW109" s="438"/>
      <c r="EX109" s="438"/>
      <c r="EY109" s="438"/>
      <c r="EZ109" s="438"/>
      <c r="FA109" s="438"/>
      <c r="FB109" s="438"/>
      <c r="FC109" s="438"/>
      <c r="FD109" s="438"/>
      <c r="FE109" s="438"/>
      <c r="FF109" s="438"/>
      <c r="FG109" s="438"/>
      <c r="FH109" s="438"/>
      <c r="FI109" s="438"/>
      <c r="FJ109" s="438"/>
      <c r="FK109" s="438"/>
      <c r="FL109" s="438"/>
      <c r="FM109" s="438"/>
      <c r="FN109" s="438"/>
      <c r="FO109" s="438"/>
      <c r="FP109" s="438"/>
      <c r="FQ109" s="438"/>
      <c r="FR109" s="438"/>
      <c r="FS109" s="438"/>
      <c r="FT109" s="438"/>
      <c r="FU109" s="438"/>
      <c r="FV109" s="438"/>
      <c r="FW109" s="438"/>
      <c r="FX109" s="438"/>
      <c r="FY109" s="438"/>
      <c r="FZ109" s="438"/>
      <c r="GA109" s="438"/>
      <c r="GB109" s="438"/>
      <c r="GC109" s="438"/>
      <c r="GD109" s="438"/>
      <c r="GE109" s="438"/>
      <c r="GF109" s="438"/>
      <c r="GG109" s="438"/>
      <c r="GH109" s="438"/>
      <c r="GI109" s="438"/>
      <c r="GJ109" s="438"/>
      <c r="GK109" s="438"/>
      <c r="GL109" s="438"/>
      <c r="GM109" s="438"/>
      <c r="GN109" s="438"/>
      <c r="GO109" s="438"/>
      <c r="GP109" s="438"/>
      <c r="GQ109" s="438"/>
      <c r="GR109" s="438"/>
      <c r="GS109" s="438"/>
      <c r="GT109" s="438"/>
      <c r="GU109" s="438"/>
      <c r="GV109" s="438"/>
      <c r="GW109" s="438"/>
      <c r="GX109" s="438"/>
      <c r="GY109" s="438"/>
      <c r="GZ109" s="438"/>
      <c r="HA109" s="438"/>
      <c r="HB109" s="438"/>
      <c r="HC109" s="438"/>
      <c r="HD109" s="438"/>
      <c r="HE109" s="438"/>
      <c r="HF109" s="438"/>
      <c r="HG109" s="438"/>
      <c r="HH109" s="438"/>
      <c r="HI109" s="438"/>
      <c r="HJ109" s="438"/>
      <c r="HK109" s="438"/>
      <c r="HL109" s="438"/>
      <c r="HM109" s="438"/>
      <c r="HN109" s="438"/>
      <c r="HO109" s="438"/>
      <c r="HP109" s="438"/>
      <c r="HQ109" s="438"/>
      <c r="HR109" s="438"/>
      <c r="HS109" s="438"/>
      <c r="HT109" s="438"/>
      <c r="HU109" s="438"/>
      <c r="HV109" s="438"/>
      <c r="HW109" s="438"/>
      <c r="HX109" s="438"/>
      <c r="HY109" s="438"/>
      <c r="HZ109" s="438"/>
      <c r="IA109" s="438"/>
      <c r="IB109" s="438"/>
      <c r="IC109" s="438"/>
      <c r="ID109" s="438"/>
      <c r="IE109" s="438"/>
      <c r="IF109" s="438"/>
      <c r="IG109" s="438"/>
      <c r="IH109" s="438"/>
      <c r="II109" s="438"/>
      <c r="IJ109" s="438"/>
      <c r="IK109" s="438"/>
      <c r="IL109" s="438"/>
      <c r="IM109" s="438"/>
      <c r="IN109" s="438"/>
      <c r="IO109" s="438"/>
      <c r="IP109" s="438"/>
      <c r="IQ109" s="438"/>
      <c r="IR109" s="438"/>
      <c r="IS109" s="438"/>
      <c r="IT109" s="438"/>
      <c r="IU109" s="438"/>
      <c r="IV109" s="438"/>
    </row>
    <row r="110" spans="1:256" s="441" customFormat="1" hidden="1">
      <c r="A110" s="902"/>
      <c r="B110" s="826"/>
      <c r="C110" s="904"/>
      <c r="D110" s="819"/>
      <c r="E110" s="906"/>
      <c r="F110" s="820"/>
      <c r="G110" s="439">
        <v>465171</v>
      </c>
      <c r="H110" s="439">
        <v>296575</v>
      </c>
      <c r="I110" s="818"/>
      <c r="J110" s="901"/>
      <c r="K110" s="901"/>
      <c r="L110" s="814"/>
      <c r="M110" s="814"/>
      <c r="N110" s="901"/>
      <c r="O110" s="901"/>
      <c r="P110" s="814"/>
      <c r="Q110" s="814"/>
      <c r="R110" s="901"/>
      <c r="S110" s="814"/>
      <c r="T110" s="814"/>
      <c r="U110" s="901"/>
      <c r="V110" s="814"/>
      <c r="W110" s="814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38"/>
      <c r="AO110" s="438"/>
      <c r="AP110" s="438"/>
      <c r="AQ110" s="438"/>
      <c r="AR110" s="438"/>
      <c r="AS110" s="438"/>
      <c r="AT110" s="438"/>
      <c r="AU110" s="438"/>
      <c r="AV110" s="438"/>
      <c r="AW110" s="438"/>
      <c r="AX110" s="438"/>
      <c r="AY110" s="438"/>
      <c r="AZ110" s="438"/>
      <c r="BA110" s="438"/>
      <c r="BB110" s="438"/>
      <c r="BC110" s="438"/>
      <c r="BD110" s="438"/>
      <c r="BE110" s="438"/>
      <c r="BF110" s="438"/>
      <c r="BG110" s="438"/>
      <c r="BH110" s="438"/>
      <c r="BI110" s="438"/>
      <c r="BJ110" s="438"/>
      <c r="BK110" s="438"/>
      <c r="BL110" s="438"/>
      <c r="BM110" s="438"/>
      <c r="BN110" s="438"/>
      <c r="BO110" s="438"/>
      <c r="BP110" s="438"/>
      <c r="BQ110" s="438"/>
      <c r="BR110" s="438"/>
      <c r="BS110" s="438"/>
      <c r="BT110" s="438"/>
      <c r="BU110" s="438"/>
      <c r="BV110" s="438"/>
      <c r="BW110" s="438"/>
      <c r="BX110" s="438"/>
      <c r="BY110" s="438"/>
      <c r="BZ110" s="438"/>
      <c r="CA110" s="438"/>
      <c r="CB110" s="438"/>
      <c r="CC110" s="438"/>
      <c r="CD110" s="438"/>
      <c r="CE110" s="438"/>
      <c r="CF110" s="438"/>
      <c r="CG110" s="438"/>
      <c r="CH110" s="438"/>
      <c r="CI110" s="438"/>
      <c r="CJ110" s="438"/>
      <c r="CK110" s="438"/>
      <c r="CL110" s="438"/>
      <c r="CM110" s="438"/>
      <c r="CN110" s="438"/>
      <c r="CO110" s="438"/>
      <c r="CP110" s="438"/>
      <c r="CQ110" s="438"/>
      <c r="CR110" s="438"/>
      <c r="CS110" s="438"/>
      <c r="CT110" s="438"/>
      <c r="CU110" s="438"/>
      <c r="CV110" s="438"/>
      <c r="CW110" s="438"/>
      <c r="CX110" s="438"/>
      <c r="CY110" s="438"/>
      <c r="CZ110" s="438"/>
      <c r="DA110" s="438"/>
      <c r="DB110" s="438"/>
      <c r="DC110" s="438"/>
      <c r="DD110" s="438"/>
      <c r="DE110" s="438"/>
      <c r="DF110" s="438"/>
      <c r="DG110" s="438"/>
      <c r="DH110" s="438"/>
      <c r="DI110" s="438"/>
      <c r="DJ110" s="438"/>
      <c r="DK110" s="438"/>
      <c r="DL110" s="438"/>
      <c r="DM110" s="438"/>
      <c r="DN110" s="438"/>
      <c r="DO110" s="438"/>
      <c r="DP110" s="438"/>
      <c r="DQ110" s="438"/>
      <c r="DR110" s="438"/>
      <c r="DS110" s="438"/>
      <c r="DT110" s="438"/>
      <c r="DU110" s="438"/>
      <c r="DV110" s="438"/>
      <c r="DW110" s="438"/>
      <c r="DX110" s="438"/>
      <c r="DY110" s="438"/>
      <c r="DZ110" s="438"/>
      <c r="EA110" s="438"/>
      <c r="EB110" s="438"/>
      <c r="EC110" s="438"/>
      <c r="ED110" s="438"/>
      <c r="EE110" s="438"/>
      <c r="EF110" s="438"/>
      <c r="EG110" s="438"/>
      <c r="EH110" s="438"/>
      <c r="EI110" s="438"/>
      <c r="EJ110" s="438"/>
      <c r="EK110" s="438"/>
      <c r="EL110" s="438"/>
      <c r="EM110" s="438"/>
      <c r="EN110" s="438"/>
      <c r="EO110" s="438"/>
      <c r="EP110" s="438"/>
      <c r="EQ110" s="438"/>
      <c r="ER110" s="438"/>
      <c r="ES110" s="438"/>
      <c r="ET110" s="438"/>
      <c r="EU110" s="438"/>
      <c r="EV110" s="438"/>
      <c r="EW110" s="438"/>
      <c r="EX110" s="438"/>
      <c r="EY110" s="438"/>
      <c r="EZ110" s="438"/>
      <c r="FA110" s="438"/>
      <c r="FB110" s="438"/>
      <c r="FC110" s="438"/>
      <c r="FD110" s="438"/>
      <c r="FE110" s="438"/>
      <c r="FF110" s="438"/>
      <c r="FG110" s="438"/>
      <c r="FH110" s="438"/>
      <c r="FI110" s="438"/>
      <c r="FJ110" s="438"/>
      <c r="FK110" s="438"/>
      <c r="FL110" s="438"/>
      <c r="FM110" s="438"/>
      <c r="FN110" s="438"/>
      <c r="FO110" s="438"/>
      <c r="FP110" s="438"/>
      <c r="FQ110" s="438"/>
      <c r="FR110" s="438"/>
      <c r="FS110" s="438"/>
      <c r="FT110" s="438"/>
      <c r="FU110" s="438"/>
      <c r="FV110" s="438"/>
      <c r="FW110" s="438"/>
      <c r="FX110" s="438"/>
      <c r="FY110" s="438"/>
      <c r="FZ110" s="438"/>
      <c r="GA110" s="438"/>
      <c r="GB110" s="438"/>
      <c r="GC110" s="438"/>
      <c r="GD110" s="438"/>
      <c r="GE110" s="438"/>
      <c r="GF110" s="438"/>
      <c r="GG110" s="438"/>
      <c r="GH110" s="438"/>
      <c r="GI110" s="438"/>
      <c r="GJ110" s="438"/>
      <c r="GK110" s="438"/>
      <c r="GL110" s="438"/>
      <c r="GM110" s="438"/>
      <c r="GN110" s="438"/>
      <c r="GO110" s="438"/>
      <c r="GP110" s="438"/>
      <c r="GQ110" s="438"/>
      <c r="GR110" s="438"/>
      <c r="GS110" s="438"/>
      <c r="GT110" s="438"/>
      <c r="GU110" s="438"/>
      <c r="GV110" s="438"/>
      <c r="GW110" s="438"/>
      <c r="GX110" s="438"/>
      <c r="GY110" s="438"/>
      <c r="GZ110" s="438"/>
      <c r="HA110" s="438"/>
      <c r="HB110" s="438"/>
      <c r="HC110" s="438"/>
      <c r="HD110" s="438"/>
      <c r="HE110" s="438"/>
      <c r="HF110" s="438"/>
      <c r="HG110" s="438"/>
      <c r="HH110" s="438"/>
      <c r="HI110" s="438"/>
      <c r="HJ110" s="438"/>
      <c r="HK110" s="438"/>
      <c r="HL110" s="438"/>
      <c r="HM110" s="438"/>
      <c r="HN110" s="438"/>
      <c r="HO110" s="438"/>
      <c r="HP110" s="438"/>
      <c r="HQ110" s="438"/>
      <c r="HR110" s="438"/>
      <c r="HS110" s="438"/>
      <c r="HT110" s="438"/>
      <c r="HU110" s="438"/>
      <c r="HV110" s="438"/>
      <c r="HW110" s="438"/>
      <c r="HX110" s="438"/>
      <c r="HY110" s="438"/>
      <c r="HZ110" s="438"/>
      <c r="IA110" s="438"/>
      <c r="IB110" s="438"/>
      <c r="IC110" s="438"/>
      <c r="ID110" s="438"/>
      <c r="IE110" s="438"/>
      <c r="IF110" s="438"/>
      <c r="IG110" s="438"/>
      <c r="IH110" s="438"/>
      <c r="II110" s="438"/>
      <c r="IJ110" s="438"/>
      <c r="IK110" s="438"/>
      <c r="IL110" s="438"/>
      <c r="IM110" s="438"/>
      <c r="IN110" s="438"/>
      <c r="IO110" s="438"/>
      <c r="IP110" s="438"/>
      <c r="IQ110" s="438"/>
      <c r="IR110" s="438"/>
      <c r="IS110" s="438"/>
      <c r="IT110" s="438"/>
      <c r="IU110" s="438"/>
      <c r="IV110" s="438"/>
    </row>
    <row r="111" spans="1:256" s="441" customFormat="1" hidden="1">
      <c r="A111" s="902"/>
      <c r="B111" s="826"/>
      <c r="C111" s="904"/>
      <c r="D111" s="819"/>
      <c r="E111" s="906"/>
      <c r="F111" s="820"/>
      <c r="G111" s="439">
        <v>0</v>
      </c>
      <c r="H111" s="439">
        <v>0</v>
      </c>
      <c r="I111" s="411" t="s">
        <v>6</v>
      </c>
      <c r="J111" s="440">
        <f t="shared" ref="J111" si="228">K111+N111</f>
        <v>0</v>
      </c>
      <c r="K111" s="440">
        <f t="shared" ref="K111" si="229">L111+M111</f>
        <v>0</v>
      </c>
      <c r="L111" s="414">
        <v>0</v>
      </c>
      <c r="M111" s="414">
        <v>0</v>
      </c>
      <c r="N111" s="440">
        <f t="shared" ref="N111" si="230">O111+R111+U111</f>
        <v>0</v>
      </c>
      <c r="O111" s="440">
        <f t="shared" ref="O111" si="231">P111+Q111</f>
        <v>0</v>
      </c>
      <c r="P111" s="414">
        <v>0</v>
      </c>
      <c r="Q111" s="414">
        <v>0</v>
      </c>
      <c r="R111" s="440">
        <f t="shared" ref="R111" si="232">S111+T111</f>
        <v>0</v>
      </c>
      <c r="S111" s="414">
        <v>0</v>
      </c>
      <c r="T111" s="414">
        <v>0</v>
      </c>
      <c r="U111" s="440">
        <f t="shared" ref="U111" si="233">V111+W111</f>
        <v>0</v>
      </c>
      <c r="V111" s="414">
        <v>0</v>
      </c>
      <c r="W111" s="414">
        <v>0</v>
      </c>
      <c r="X111" s="438"/>
      <c r="Y111" s="438"/>
      <c r="Z111" s="438"/>
      <c r="AA111" s="438"/>
      <c r="AB111" s="438"/>
      <c r="AC111" s="438"/>
      <c r="AD111" s="43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438"/>
      <c r="BY111" s="438"/>
      <c r="BZ111" s="438"/>
      <c r="CA111" s="438"/>
      <c r="CB111" s="438"/>
      <c r="CC111" s="438"/>
      <c r="CD111" s="438"/>
      <c r="CE111" s="438"/>
      <c r="CF111" s="438"/>
      <c r="CG111" s="438"/>
      <c r="CH111" s="438"/>
      <c r="CI111" s="438"/>
      <c r="CJ111" s="438"/>
      <c r="CK111" s="438"/>
      <c r="CL111" s="438"/>
      <c r="CM111" s="438"/>
      <c r="CN111" s="438"/>
      <c r="CO111" s="438"/>
      <c r="CP111" s="438"/>
      <c r="CQ111" s="438"/>
      <c r="CR111" s="438"/>
      <c r="CS111" s="438"/>
      <c r="CT111" s="438"/>
      <c r="CU111" s="438"/>
      <c r="CV111" s="438"/>
      <c r="CW111" s="438"/>
      <c r="CX111" s="438"/>
      <c r="CY111" s="438"/>
      <c r="CZ111" s="438"/>
      <c r="DA111" s="438"/>
      <c r="DB111" s="438"/>
      <c r="DC111" s="438"/>
      <c r="DD111" s="438"/>
      <c r="DE111" s="438"/>
      <c r="DF111" s="438"/>
      <c r="DG111" s="438"/>
      <c r="DH111" s="438"/>
      <c r="DI111" s="438"/>
      <c r="DJ111" s="438"/>
      <c r="DK111" s="438"/>
      <c r="DL111" s="438"/>
      <c r="DM111" s="438"/>
      <c r="DN111" s="438"/>
      <c r="DO111" s="438"/>
      <c r="DP111" s="438"/>
      <c r="DQ111" s="438"/>
      <c r="DR111" s="438"/>
      <c r="DS111" s="438"/>
      <c r="DT111" s="438"/>
      <c r="DU111" s="438"/>
      <c r="DV111" s="438"/>
      <c r="DW111" s="438"/>
      <c r="DX111" s="438"/>
      <c r="DY111" s="438"/>
      <c r="DZ111" s="438"/>
      <c r="EA111" s="438"/>
      <c r="EB111" s="438"/>
      <c r="EC111" s="438"/>
      <c r="ED111" s="438"/>
      <c r="EE111" s="438"/>
      <c r="EF111" s="438"/>
      <c r="EG111" s="438"/>
      <c r="EH111" s="438"/>
      <c r="EI111" s="438"/>
      <c r="EJ111" s="438"/>
      <c r="EK111" s="438"/>
      <c r="EL111" s="438"/>
      <c r="EM111" s="438"/>
      <c r="EN111" s="438"/>
      <c r="EO111" s="438"/>
      <c r="EP111" s="438"/>
      <c r="EQ111" s="438"/>
      <c r="ER111" s="438"/>
      <c r="ES111" s="438"/>
      <c r="ET111" s="438"/>
      <c r="EU111" s="438"/>
      <c r="EV111" s="438"/>
      <c r="EW111" s="438"/>
      <c r="EX111" s="438"/>
      <c r="EY111" s="438"/>
      <c r="EZ111" s="438"/>
      <c r="FA111" s="438"/>
      <c r="FB111" s="438"/>
      <c r="FC111" s="438"/>
      <c r="FD111" s="438"/>
      <c r="FE111" s="438"/>
      <c r="FF111" s="438"/>
      <c r="FG111" s="438"/>
      <c r="FH111" s="438"/>
      <c r="FI111" s="438"/>
      <c r="FJ111" s="438"/>
      <c r="FK111" s="438"/>
      <c r="FL111" s="438"/>
      <c r="FM111" s="438"/>
      <c r="FN111" s="438"/>
      <c r="FO111" s="438"/>
      <c r="FP111" s="438"/>
      <c r="FQ111" s="438"/>
      <c r="FR111" s="438"/>
      <c r="FS111" s="438"/>
      <c r="FT111" s="438"/>
      <c r="FU111" s="438"/>
      <c r="FV111" s="438"/>
      <c r="FW111" s="438"/>
      <c r="FX111" s="438"/>
      <c r="FY111" s="438"/>
      <c r="FZ111" s="438"/>
      <c r="GA111" s="438"/>
      <c r="GB111" s="438"/>
      <c r="GC111" s="438"/>
      <c r="GD111" s="438"/>
      <c r="GE111" s="438"/>
      <c r="GF111" s="438"/>
      <c r="GG111" s="438"/>
      <c r="GH111" s="438"/>
      <c r="GI111" s="438"/>
      <c r="GJ111" s="438"/>
      <c r="GK111" s="438"/>
      <c r="GL111" s="438"/>
      <c r="GM111" s="438"/>
      <c r="GN111" s="438"/>
      <c r="GO111" s="438"/>
      <c r="GP111" s="438"/>
      <c r="GQ111" s="438"/>
      <c r="GR111" s="438"/>
      <c r="GS111" s="438"/>
      <c r="GT111" s="438"/>
      <c r="GU111" s="438"/>
      <c r="GV111" s="438"/>
      <c r="GW111" s="438"/>
      <c r="GX111" s="438"/>
      <c r="GY111" s="438"/>
      <c r="GZ111" s="438"/>
      <c r="HA111" s="438"/>
      <c r="HB111" s="438"/>
      <c r="HC111" s="438"/>
      <c r="HD111" s="438"/>
      <c r="HE111" s="438"/>
      <c r="HF111" s="438"/>
      <c r="HG111" s="438"/>
      <c r="HH111" s="438"/>
      <c r="HI111" s="438"/>
      <c r="HJ111" s="438"/>
      <c r="HK111" s="438"/>
      <c r="HL111" s="438"/>
      <c r="HM111" s="438"/>
      <c r="HN111" s="438"/>
      <c r="HO111" s="438"/>
      <c r="HP111" s="438"/>
      <c r="HQ111" s="438"/>
      <c r="HR111" s="438"/>
      <c r="HS111" s="438"/>
      <c r="HT111" s="438"/>
      <c r="HU111" s="438"/>
      <c r="HV111" s="438"/>
      <c r="HW111" s="438"/>
      <c r="HX111" s="438"/>
      <c r="HY111" s="438"/>
      <c r="HZ111" s="438"/>
      <c r="IA111" s="438"/>
      <c r="IB111" s="438"/>
      <c r="IC111" s="438"/>
      <c r="ID111" s="438"/>
      <c r="IE111" s="438"/>
      <c r="IF111" s="438"/>
      <c r="IG111" s="438"/>
      <c r="IH111" s="438"/>
      <c r="II111" s="438"/>
      <c r="IJ111" s="438"/>
      <c r="IK111" s="438"/>
      <c r="IL111" s="438"/>
      <c r="IM111" s="438"/>
      <c r="IN111" s="438"/>
      <c r="IO111" s="438"/>
      <c r="IP111" s="438"/>
      <c r="IQ111" s="438"/>
      <c r="IR111" s="438"/>
      <c r="IS111" s="438"/>
      <c r="IT111" s="438"/>
      <c r="IU111" s="438"/>
      <c r="IV111" s="438"/>
    </row>
    <row r="112" spans="1:256" hidden="1">
      <c r="A112" s="902"/>
      <c r="B112" s="826"/>
      <c r="C112" s="904"/>
      <c r="D112" s="819"/>
      <c r="E112" s="906"/>
      <c r="F112" s="820"/>
      <c r="G112" s="439">
        <v>82089</v>
      </c>
      <c r="H112" s="439">
        <v>52337</v>
      </c>
      <c r="I112" s="817" t="s">
        <v>7</v>
      </c>
      <c r="J112" s="901">
        <f t="shared" ref="J112:W112" si="234">J109+J111</f>
        <v>198348</v>
      </c>
      <c r="K112" s="901">
        <f t="shared" si="234"/>
        <v>168596</v>
      </c>
      <c r="L112" s="814">
        <f t="shared" si="234"/>
        <v>168596</v>
      </c>
      <c r="M112" s="814">
        <f t="shared" si="234"/>
        <v>0</v>
      </c>
      <c r="N112" s="901">
        <f t="shared" si="234"/>
        <v>29752</v>
      </c>
      <c r="O112" s="901">
        <f t="shared" si="234"/>
        <v>0</v>
      </c>
      <c r="P112" s="814">
        <f t="shared" si="234"/>
        <v>0</v>
      </c>
      <c r="Q112" s="814">
        <f t="shared" si="234"/>
        <v>0</v>
      </c>
      <c r="R112" s="901">
        <f t="shared" si="234"/>
        <v>29752</v>
      </c>
      <c r="S112" s="814">
        <f t="shared" si="234"/>
        <v>29752</v>
      </c>
      <c r="T112" s="814">
        <f t="shared" si="234"/>
        <v>0</v>
      </c>
      <c r="U112" s="901">
        <f t="shared" si="234"/>
        <v>0</v>
      </c>
      <c r="V112" s="814">
        <f t="shared" si="234"/>
        <v>0</v>
      </c>
      <c r="W112" s="814">
        <f t="shared" si="234"/>
        <v>0</v>
      </c>
      <c r="X112" s="438"/>
      <c r="Y112" s="438"/>
      <c r="Z112" s="438"/>
      <c r="AA112" s="438"/>
      <c r="AB112" s="438"/>
      <c r="AC112" s="438"/>
      <c r="AD112" s="43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438"/>
      <c r="BY112" s="438"/>
      <c r="BZ112" s="438"/>
      <c r="CA112" s="438"/>
      <c r="CB112" s="438"/>
      <c r="CC112" s="438"/>
      <c r="CD112" s="438"/>
      <c r="CE112" s="438"/>
      <c r="CF112" s="438"/>
      <c r="CG112" s="438"/>
      <c r="CH112" s="438"/>
      <c r="CI112" s="438"/>
      <c r="CJ112" s="438"/>
      <c r="CK112" s="438"/>
      <c r="CL112" s="438"/>
      <c r="CM112" s="438"/>
      <c r="CN112" s="438"/>
      <c r="CO112" s="438"/>
      <c r="CP112" s="438"/>
      <c r="CQ112" s="438"/>
      <c r="CR112" s="438"/>
      <c r="CS112" s="438"/>
      <c r="CT112" s="438"/>
      <c r="CU112" s="438"/>
      <c r="CV112" s="438"/>
      <c r="CW112" s="438"/>
      <c r="CX112" s="438"/>
      <c r="CY112" s="438"/>
      <c r="CZ112" s="438"/>
      <c r="DA112" s="438"/>
      <c r="DB112" s="438"/>
      <c r="DC112" s="438"/>
      <c r="DD112" s="438"/>
      <c r="DE112" s="438"/>
      <c r="DF112" s="438"/>
      <c r="DG112" s="438"/>
      <c r="DH112" s="438"/>
      <c r="DI112" s="438"/>
      <c r="DJ112" s="438"/>
      <c r="DK112" s="438"/>
      <c r="DL112" s="438"/>
      <c r="DM112" s="438"/>
      <c r="DN112" s="438"/>
      <c r="DO112" s="438"/>
      <c r="DP112" s="438"/>
      <c r="DQ112" s="438"/>
      <c r="DR112" s="438"/>
      <c r="DS112" s="438"/>
      <c r="DT112" s="438"/>
      <c r="DU112" s="438"/>
      <c r="DV112" s="438"/>
      <c r="DW112" s="438"/>
      <c r="DX112" s="438"/>
      <c r="DY112" s="438"/>
      <c r="DZ112" s="438"/>
      <c r="EA112" s="438"/>
      <c r="EB112" s="438"/>
      <c r="EC112" s="438"/>
      <c r="ED112" s="438"/>
      <c r="EE112" s="438"/>
      <c r="EF112" s="438"/>
      <c r="EG112" s="438"/>
      <c r="EH112" s="438"/>
      <c r="EI112" s="438"/>
      <c r="EJ112" s="438"/>
      <c r="EK112" s="438"/>
      <c r="EL112" s="438"/>
      <c r="EM112" s="438"/>
      <c r="EN112" s="438"/>
      <c r="EO112" s="438"/>
      <c r="EP112" s="438"/>
      <c r="EQ112" s="438"/>
      <c r="ER112" s="438"/>
      <c r="ES112" s="438"/>
      <c r="ET112" s="438"/>
      <c r="EU112" s="438"/>
      <c r="EV112" s="438"/>
      <c r="EW112" s="438"/>
      <c r="EX112" s="438"/>
      <c r="EY112" s="438"/>
      <c r="EZ112" s="438"/>
      <c r="FA112" s="438"/>
      <c r="FB112" s="438"/>
      <c r="FC112" s="438"/>
      <c r="FD112" s="438"/>
      <c r="FE112" s="438"/>
      <c r="FF112" s="438"/>
      <c r="FG112" s="438"/>
      <c r="FH112" s="438"/>
      <c r="FI112" s="438"/>
      <c r="FJ112" s="438"/>
      <c r="FK112" s="438"/>
      <c r="FL112" s="438"/>
      <c r="FM112" s="438"/>
      <c r="FN112" s="438"/>
      <c r="FO112" s="438"/>
      <c r="FP112" s="438"/>
      <c r="FQ112" s="438"/>
      <c r="FR112" s="438"/>
      <c r="FS112" s="438"/>
      <c r="FT112" s="438"/>
      <c r="FU112" s="438"/>
      <c r="FV112" s="438"/>
      <c r="FW112" s="438"/>
      <c r="FX112" s="438"/>
      <c r="FY112" s="438"/>
      <c r="FZ112" s="438"/>
      <c r="GA112" s="438"/>
      <c r="GB112" s="438"/>
      <c r="GC112" s="438"/>
      <c r="GD112" s="438"/>
      <c r="GE112" s="438"/>
      <c r="GF112" s="438"/>
      <c r="GG112" s="438"/>
      <c r="GH112" s="438"/>
      <c r="GI112" s="438"/>
      <c r="GJ112" s="438"/>
      <c r="GK112" s="438"/>
      <c r="GL112" s="438"/>
      <c r="GM112" s="438"/>
      <c r="GN112" s="438"/>
      <c r="GO112" s="438"/>
      <c r="GP112" s="438"/>
      <c r="GQ112" s="438"/>
      <c r="GR112" s="438"/>
      <c r="GS112" s="438"/>
      <c r="GT112" s="438"/>
      <c r="GU112" s="438"/>
      <c r="GV112" s="438"/>
      <c r="GW112" s="438"/>
      <c r="GX112" s="438"/>
      <c r="GY112" s="438"/>
      <c r="GZ112" s="438"/>
      <c r="HA112" s="438"/>
      <c r="HB112" s="438"/>
      <c r="HC112" s="438"/>
      <c r="HD112" s="438"/>
      <c r="HE112" s="438"/>
      <c r="HF112" s="438"/>
      <c r="HG112" s="438"/>
      <c r="HH112" s="438"/>
      <c r="HI112" s="438"/>
      <c r="HJ112" s="438"/>
      <c r="HK112" s="438"/>
      <c r="HL112" s="438"/>
      <c r="HM112" s="438"/>
      <c r="HN112" s="438"/>
      <c r="HO112" s="438"/>
      <c r="HP112" s="438"/>
      <c r="HQ112" s="438"/>
      <c r="HR112" s="438"/>
      <c r="HS112" s="438"/>
      <c r="HT112" s="438"/>
      <c r="HU112" s="438"/>
      <c r="HV112" s="438"/>
      <c r="HW112" s="438"/>
      <c r="HX112" s="438"/>
      <c r="HY112" s="438"/>
      <c r="HZ112" s="438"/>
      <c r="IA112" s="438"/>
      <c r="IB112" s="438"/>
      <c r="IC112" s="438"/>
      <c r="ID112" s="438"/>
      <c r="IE112" s="438"/>
      <c r="IF112" s="438"/>
      <c r="IG112" s="438"/>
      <c r="IH112" s="438"/>
      <c r="II112" s="438"/>
      <c r="IJ112" s="438"/>
      <c r="IK112" s="438"/>
      <c r="IL112" s="438"/>
      <c r="IM112" s="438"/>
      <c r="IN112" s="438"/>
      <c r="IO112" s="438"/>
      <c r="IP112" s="438"/>
      <c r="IQ112" s="438"/>
      <c r="IR112" s="438"/>
      <c r="IS112" s="438"/>
      <c r="IT112" s="438"/>
      <c r="IU112" s="438"/>
      <c r="IV112" s="438"/>
    </row>
    <row r="113" spans="1:256" hidden="1">
      <c r="A113" s="902"/>
      <c r="B113" s="827"/>
      <c r="C113" s="905"/>
      <c r="D113" s="819"/>
      <c r="E113" s="906"/>
      <c r="F113" s="820"/>
      <c r="G113" s="439">
        <v>0</v>
      </c>
      <c r="H113" s="439">
        <v>0</v>
      </c>
      <c r="I113" s="818"/>
      <c r="J113" s="901"/>
      <c r="K113" s="901"/>
      <c r="L113" s="814"/>
      <c r="M113" s="814"/>
      <c r="N113" s="901"/>
      <c r="O113" s="901"/>
      <c r="P113" s="814"/>
      <c r="Q113" s="814"/>
      <c r="R113" s="901"/>
      <c r="S113" s="814"/>
      <c r="T113" s="814"/>
      <c r="U113" s="901"/>
      <c r="V113" s="814"/>
      <c r="W113" s="814"/>
      <c r="X113" s="438"/>
      <c r="Y113" s="438"/>
      <c r="Z113" s="438"/>
      <c r="AA113" s="438"/>
      <c r="AB113" s="438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8"/>
      <c r="AS113" s="438"/>
      <c r="AT113" s="438"/>
      <c r="AU113" s="438"/>
      <c r="AV113" s="438"/>
      <c r="AW113" s="438"/>
      <c r="AX113" s="438"/>
      <c r="AY113" s="438"/>
      <c r="AZ113" s="438"/>
      <c r="BA113" s="438"/>
      <c r="BB113" s="438"/>
      <c r="BC113" s="438"/>
      <c r="BD113" s="438"/>
      <c r="BE113" s="438"/>
      <c r="BF113" s="438"/>
      <c r="BG113" s="438"/>
      <c r="BH113" s="438"/>
      <c r="BI113" s="438"/>
      <c r="BJ113" s="438"/>
      <c r="BK113" s="438"/>
      <c r="BL113" s="438"/>
      <c r="BM113" s="438"/>
      <c r="BN113" s="438"/>
      <c r="BO113" s="438"/>
      <c r="BP113" s="438"/>
      <c r="BQ113" s="438"/>
      <c r="BR113" s="438"/>
      <c r="BS113" s="438"/>
      <c r="BT113" s="438"/>
      <c r="BU113" s="438"/>
      <c r="BV113" s="438"/>
      <c r="BW113" s="438"/>
      <c r="BX113" s="438"/>
      <c r="BY113" s="438"/>
      <c r="BZ113" s="438"/>
      <c r="CA113" s="438"/>
      <c r="CB113" s="438"/>
      <c r="CC113" s="438"/>
      <c r="CD113" s="438"/>
      <c r="CE113" s="438"/>
      <c r="CF113" s="438"/>
      <c r="CG113" s="438"/>
      <c r="CH113" s="438"/>
      <c r="CI113" s="438"/>
      <c r="CJ113" s="438"/>
      <c r="CK113" s="438"/>
      <c r="CL113" s="438"/>
      <c r="CM113" s="438"/>
      <c r="CN113" s="438"/>
      <c r="CO113" s="438"/>
      <c r="CP113" s="438"/>
      <c r="CQ113" s="438"/>
      <c r="CR113" s="438"/>
      <c r="CS113" s="438"/>
      <c r="CT113" s="438"/>
      <c r="CU113" s="438"/>
      <c r="CV113" s="438"/>
      <c r="CW113" s="438"/>
      <c r="CX113" s="438"/>
      <c r="CY113" s="438"/>
      <c r="CZ113" s="438"/>
      <c r="DA113" s="438"/>
      <c r="DB113" s="438"/>
      <c r="DC113" s="438"/>
      <c r="DD113" s="438"/>
      <c r="DE113" s="438"/>
      <c r="DF113" s="438"/>
      <c r="DG113" s="438"/>
      <c r="DH113" s="438"/>
      <c r="DI113" s="438"/>
      <c r="DJ113" s="438"/>
      <c r="DK113" s="438"/>
      <c r="DL113" s="438"/>
      <c r="DM113" s="438"/>
      <c r="DN113" s="438"/>
      <c r="DO113" s="438"/>
      <c r="DP113" s="438"/>
      <c r="DQ113" s="438"/>
      <c r="DR113" s="438"/>
      <c r="DS113" s="438"/>
      <c r="DT113" s="438"/>
      <c r="DU113" s="438"/>
      <c r="DV113" s="438"/>
      <c r="DW113" s="438"/>
      <c r="DX113" s="438"/>
      <c r="DY113" s="438"/>
      <c r="DZ113" s="438"/>
      <c r="EA113" s="438"/>
      <c r="EB113" s="438"/>
      <c r="EC113" s="438"/>
      <c r="ED113" s="438"/>
      <c r="EE113" s="438"/>
      <c r="EF113" s="438"/>
      <c r="EG113" s="438"/>
      <c r="EH113" s="438"/>
      <c r="EI113" s="438"/>
      <c r="EJ113" s="438"/>
      <c r="EK113" s="438"/>
      <c r="EL113" s="438"/>
      <c r="EM113" s="438"/>
      <c r="EN113" s="438"/>
      <c r="EO113" s="438"/>
      <c r="EP113" s="438"/>
      <c r="EQ113" s="438"/>
      <c r="ER113" s="438"/>
      <c r="ES113" s="438"/>
      <c r="ET113" s="438"/>
      <c r="EU113" s="438"/>
      <c r="EV113" s="438"/>
      <c r="EW113" s="438"/>
      <c r="EX113" s="438"/>
      <c r="EY113" s="438"/>
      <c r="EZ113" s="438"/>
      <c r="FA113" s="438"/>
      <c r="FB113" s="438"/>
      <c r="FC113" s="438"/>
      <c r="FD113" s="438"/>
      <c r="FE113" s="438"/>
      <c r="FF113" s="438"/>
      <c r="FG113" s="438"/>
      <c r="FH113" s="438"/>
      <c r="FI113" s="438"/>
      <c r="FJ113" s="438"/>
      <c r="FK113" s="438"/>
      <c r="FL113" s="438"/>
      <c r="FM113" s="438"/>
      <c r="FN113" s="438"/>
      <c r="FO113" s="438"/>
      <c r="FP113" s="438"/>
      <c r="FQ113" s="438"/>
      <c r="FR113" s="438"/>
      <c r="FS113" s="438"/>
      <c r="FT113" s="438"/>
      <c r="FU113" s="438"/>
      <c r="FV113" s="438"/>
      <c r="FW113" s="438"/>
      <c r="FX113" s="438"/>
      <c r="FY113" s="438"/>
      <c r="FZ113" s="438"/>
      <c r="GA113" s="438"/>
      <c r="GB113" s="438"/>
      <c r="GC113" s="438"/>
      <c r="GD113" s="438"/>
      <c r="GE113" s="438"/>
      <c r="GF113" s="438"/>
      <c r="GG113" s="438"/>
      <c r="GH113" s="438"/>
      <c r="GI113" s="438"/>
      <c r="GJ113" s="438"/>
      <c r="GK113" s="438"/>
      <c r="GL113" s="438"/>
      <c r="GM113" s="438"/>
      <c r="GN113" s="438"/>
      <c r="GO113" s="438"/>
      <c r="GP113" s="438"/>
      <c r="GQ113" s="438"/>
      <c r="GR113" s="438"/>
      <c r="GS113" s="438"/>
      <c r="GT113" s="438"/>
      <c r="GU113" s="438"/>
      <c r="GV113" s="438"/>
      <c r="GW113" s="438"/>
      <c r="GX113" s="438"/>
      <c r="GY113" s="438"/>
      <c r="GZ113" s="438"/>
      <c r="HA113" s="438"/>
      <c r="HB113" s="438"/>
      <c r="HC113" s="438"/>
      <c r="HD113" s="438"/>
      <c r="HE113" s="438"/>
      <c r="HF113" s="438"/>
      <c r="HG113" s="438"/>
      <c r="HH113" s="438"/>
      <c r="HI113" s="438"/>
      <c r="HJ113" s="438"/>
      <c r="HK113" s="438"/>
      <c r="HL113" s="438"/>
      <c r="HM113" s="438"/>
      <c r="HN113" s="438"/>
      <c r="HO113" s="438"/>
      <c r="HP113" s="438"/>
      <c r="HQ113" s="438"/>
      <c r="HR113" s="438"/>
      <c r="HS113" s="438"/>
      <c r="HT113" s="438"/>
      <c r="HU113" s="438"/>
      <c r="HV113" s="438"/>
      <c r="HW113" s="438"/>
      <c r="HX113" s="438"/>
      <c r="HY113" s="438"/>
      <c r="HZ113" s="438"/>
      <c r="IA113" s="438"/>
      <c r="IB113" s="438"/>
      <c r="IC113" s="438"/>
      <c r="ID113" s="438"/>
      <c r="IE113" s="438"/>
      <c r="IF113" s="438"/>
      <c r="IG113" s="438"/>
      <c r="IH113" s="438"/>
      <c r="II113" s="438"/>
      <c r="IJ113" s="438"/>
      <c r="IK113" s="438"/>
      <c r="IL113" s="438"/>
      <c r="IM113" s="438"/>
      <c r="IN113" s="438"/>
      <c r="IO113" s="438"/>
      <c r="IP113" s="438"/>
      <c r="IQ113" s="438"/>
      <c r="IR113" s="438"/>
      <c r="IS113" s="438"/>
      <c r="IT113" s="438"/>
      <c r="IU113" s="438"/>
      <c r="IV113" s="438"/>
    </row>
    <row r="114" spans="1:256">
      <c r="A114" s="907" t="s">
        <v>601</v>
      </c>
      <c r="B114" s="908"/>
      <c r="C114" s="908"/>
      <c r="D114" s="908"/>
      <c r="E114" s="908"/>
      <c r="F114" s="909"/>
      <c r="G114" s="443">
        <f>G19+G24+G29+G34+G39+G44+G49+G54+G59+G64+G69+G74+G79+G84+G89+G94+G99+G104+G109</f>
        <v>153568627</v>
      </c>
      <c r="H114" s="443">
        <f>H19+H24+H29+H34+H39+H44+H49+H54+H59+H64+H69+H74+H79+H84+H89+H94+H99+H104+H109</f>
        <v>87380483</v>
      </c>
      <c r="I114" s="811" t="s">
        <v>5</v>
      </c>
      <c r="J114" s="900">
        <f>J19+J24+J29+J34+J39+J44+J49+J54+J59+J64+J69+J74+J79+J84+J89+J94+J99+J104+J109</f>
        <v>50096574</v>
      </c>
      <c r="K114" s="900">
        <f t="shared" ref="K114:W114" si="235">K19+K24+K29+K34+K39+K44+K49+K54+K59+K64+K69+K74+K79+K84+K89+K94+K99+K104+K109</f>
        <v>29959482</v>
      </c>
      <c r="L114" s="900">
        <f t="shared" si="235"/>
        <v>20999303</v>
      </c>
      <c r="M114" s="900">
        <f t="shared" si="235"/>
        <v>8960179</v>
      </c>
      <c r="N114" s="900">
        <f t="shared" si="235"/>
        <v>20137092</v>
      </c>
      <c r="O114" s="900">
        <f t="shared" si="235"/>
        <v>8318393</v>
      </c>
      <c r="P114" s="900">
        <f t="shared" si="235"/>
        <v>8318393</v>
      </c>
      <c r="Q114" s="900">
        <f t="shared" si="235"/>
        <v>0</v>
      </c>
      <c r="R114" s="900">
        <f t="shared" si="235"/>
        <v>11818699</v>
      </c>
      <c r="S114" s="900">
        <f t="shared" si="235"/>
        <v>1428497</v>
      </c>
      <c r="T114" s="900">
        <f t="shared" si="235"/>
        <v>10390202</v>
      </c>
      <c r="U114" s="900">
        <f t="shared" si="235"/>
        <v>0</v>
      </c>
      <c r="V114" s="900">
        <f t="shared" si="235"/>
        <v>0</v>
      </c>
      <c r="W114" s="900">
        <f t="shared" si="235"/>
        <v>0</v>
      </c>
      <c r="X114" s="441"/>
      <c r="Y114" s="441"/>
      <c r="Z114" s="441"/>
      <c r="AA114" s="441"/>
      <c r="AB114" s="441"/>
      <c r="AC114" s="441"/>
      <c r="AD114" s="441"/>
      <c r="AE114" s="441"/>
      <c r="AF114" s="441"/>
      <c r="AG114" s="441"/>
      <c r="AH114" s="441"/>
      <c r="AI114" s="441"/>
      <c r="AJ114" s="441"/>
      <c r="AK114" s="441"/>
      <c r="AL114" s="441"/>
      <c r="AM114" s="441"/>
      <c r="AN114" s="441"/>
      <c r="AO114" s="441"/>
      <c r="AP114" s="441"/>
      <c r="AQ114" s="441"/>
      <c r="AR114" s="441"/>
      <c r="AS114" s="441"/>
      <c r="AT114" s="441"/>
      <c r="AU114" s="441"/>
      <c r="AV114" s="441"/>
      <c r="AW114" s="441"/>
      <c r="AX114" s="441"/>
      <c r="AY114" s="441"/>
      <c r="AZ114" s="441"/>
      <c r="BA114" s="441"/>
      <c r="BB114" s="441"/>
      <c r="BC114" s="441"/>
      <c r="BD114" s="441"/>
      <c r="BE114" s="441"/>
      <c r="BF114" s="441"/>
      <c r="BG114" s="441"/>
      <c r="BH114" s="441"/>
      <c r="BI114" s="441"/>
      <c r="BJ114" s="441"/>
      <c r="BK114" s="441"/>
      <c r="BL114" s="441"/>
      <c r="BM114" s="441"/>
      <c r="BN114" s="441"/>
      <c r="BO114" s="441"/>
      <c r="BP114" s="441"/>
      <c r="BQ114" s="441"/>
      <c r="BR114" s="441"/>
      <c r="BS114" s="441"/>
      <c r="BT114" s="441"/>
      <c r="BU114" s="441"/>
      <c r="BV114" s="441"/>
      <c r="BW114" s="441"/>
      <c r="BX114" s="441"/>
      <c r="BY114" s="441"/>
      <c r="BZ114" s="441"/>
      <c r="CA114" s="441"/>
      <c r="CB114" s="441"/>
      <c r="CC114" s="441"/>
      <c r="CD114" s="441"/>
      <c r="CE114" s="441"/>
      <c r="CF114" s="441"/>
      <c r="CG114" s="441"/>
      <c r="CH114" s="441"/>
      <c r="CI114" s="441"/>
      <c r="CJ114" s="441"/>
      <c r="CK114" s="441"/>
      <c r="CL114" s="441"/>
      <c r="CM114" s="441"/>
      <c r="CN114" s="441"/>
      <c r="CO114" s="441"/>
      <c r="CP114" s="441"/>
      <c r="CQ114" s="441"/>
      <c r="CR114" s="441"/>
      <c r="CS114" s="441"/>
      <c r="CT114" s="441"/>
      <c r="CU114" s="441"/>
      <c r="CV114" s="441"/>
      <c r="CW114" s="441"/>
      <c r="CX114" s="441"/>
      <c r="CY114" s="441"/>
      <c r="CZ114" s="441"/>
      <c r="DA114" s="441"/>
      <c r="DB114" s="441"/>
      <c r="DC114" s="441"/>
      <c r="DD114" s="441"/>
      <c r="DE114" s="441"/>
      <c r="DF114" s="441"/>
      <c r="DG114" s="441"/>
      <c r="DH114" s="441"/>
      <c r="DI114" s="441"/>
      <c r="DJ114" s="441"/>
      <c r="DK114" s="441"/>
      <c r="DL114" s="441"/>
      <c r="DM114" s="441"/>
      <c r="DN114" s="441"/>
      <c r="DO114" s="441"/>
      <c r="DP114" s="441"/>
      <c r="DQ114" s="441"/>
      <c r="DR114" s="441"/>
      <c r="DS114" s="441"/>
      <c r="DT114" s="441"/>
      <c r="DU114" s="441"/>
      <c r="DV114" s="441"/>
      <c r="DW114" s="441"/>
      <c r="DX114" s="441"/>
      <c r="DY114" s="441"/>
      <c r="DZ114" s="441"/>
      <c r="EA114" s="441"/>
      <c r="EB114" s="441"/>
      <c r="EC114" s="441"/>
      <c r="ED114" s="441"/>
      <c r="EE114" s="441"/>
      <c r="EF114" s="441"/>
      <c r="EG114" s="441"/>
      <c r="EH114" s="441"/>
      <c r="EI114" s="441"/>
      <c r="EJ114" s="441"/>
      <c r="EK114" s="441"/>
      <c r="EL114" s="441"/>
      <c r="EM114" s="441"/>
      <c r="EN114" s="441"/>
      <c r="EO114" s="441"/>
      <c r="EP114" s="441"/>
      <c r="EQ114" s="441"/>
      <c r="ER114" s="441"/>
      <c r="ES114" s="441"/>
      <c r="ET114" s="441"/>
      <c r="EU114" s="441"/>
      <c r="EV114" s="441"/>
      <c r="EW114" s="441"/>
      <c r="EX114" s="441"/>
      <c r="EY114" s="441"/>
      <c r="EZ114" s="441"/>
      <c r="FA114" s="441"/>
      <c r="FB114" s="441"/>
      <c r="FC114" s="441"/>
      <c r="FD114" s="441"/>
      <c r="FE114" s="441"/>
      <c r="FF114" s="441"/>
      <c r="FG114" s="441"/>
      <c r="FH114" s="441"/>
      <c r="FI114" s="441"/>
      <c r="FJ114" s="441"/>
      <c r="FK114" s="441"/>
      <c r="FL114" s="441"/>
      <c r="FM114" s="441"/>
      <c r="FN114" s="441"/>
      <c r="FO114" s="441"/>
      <c r="FP114" s="441"/>
      <c r="FQ114" s="441"/>
      <c r="FR114" s="441"/>
      <c r="FS114" s="441"/>
      <c r="FT114" s="441"/>
      <c r="FU114" s="441"/>
      <c r="FV114" s="441"/>
      <c r="FW114" s="441"/>
      <c r="FX114" s="441"/>
      <c r="FY114" s="441"/>
      <c r="FZ114" s="441"/>
      <c r="GA114" s="441"/>
      <c r="GB114" s="441"/>
      <c r="GC114" s="441"/>
      <c r="GD114" s="441"/>
      <c r="GE114" s="441"/>
      <c r="GF114" s="441"/>
      <c r="GG114" s="441"/>
      <c r="GH114" s="441"/>
      <c r="GI114" s="441"/>
      <c r="GJ114" s="441"/>
      <c r="GK114" s="441"/>
      <c r="GL114" s="441"/>
      <c r="GM114" s="441"/>
      <c r="GN114" s="441"/>
      <c r="GO114" s="441"/>
      <c r="GP114" s="441"/>
      <c r="GQ114" s="441"/>
      <c r="GR114" s="441"/>
      <c r="GS114" s="441"/>
      <c r="GT114" s="441"/>
      <c r="GU114" s="441"/>
      <c r="GV114" s="441"/>
      <c r="GW114" s="441"/>
      <c r="GX114" s="441"/>
      <c r="GY114" s="441"/>
      <c r="GZ114" s="441"/>
      <c r="HA114" s="441"/>
      <c r="HB114" s="441"/>
      <c r="HC114" s="441"/>
      <c r="HD114" s="441"/>
      <c r="HE114" s="441"/>
      <c r="HF114" s="441"/>
      <c r="HG114" s="441"/>
      <c r="HH114" s="441"/>
      <c r="HI114" s="441"/>
      <c r="HJ114" s="441"/>
      <c r="HK114" s="441"/>
      <c r="HL114" s="441"/>
      <c r="HM114" s="441"/>
      <c r="HN114" s="441"/>
      <c r="HO114" s="441"/>
      <c r="HP114" s="441"/>
      <c r="HQ114" s="441"/>
      <c r="HR114" s="441"/>
      <c r="HS114" s="441"/>
      <c r="HT114" s="441"/>
      <c r="HU114" s="441"/>
      <c r="HV114" s="441"/>
      <c r="HW114" s="441"/>
      <c r="HX114" s="441"/>
      <c r="HY114" s="441"/>
      <c r="HZ114" s="441"/>
      <c r="IA114" s="441"/>
      <c r="IB114" s="441"/>
      <c r="IC114" s="441"/>
      <c r="ID114" s="441"/>
      <c r="IE114" s="441"/>
      <c r="IF114" s="441"/>
      <c r="IG114" s="441"/>
      <c r="IH114" s="441"/>
      <c r="II114" s="441"/>
      <c r="IJ114" s="441"/>
      <c r="IK114" s="441"/>
      <c r="IL114" s="441"/>
      <c r="IM114" s="441"/>
      <c r="IN114" s="441"/>
      <c r="IO114" s="441"/>
      <c r="IP114" s="441"/>
      <c r="IQ114" s="441"/>
      <c r="IR114" s="441"/>
      <c r="IS114" s="441"/>
      <c r="IT114" s="441"/>
      <c r="IU114" s="441"/>
      <c r="IV114" s="441"/>
    </row>
    <row r="115" spans="1:256">
      <c r="A115" s="910"/>
      <c r="B115" s="911"/>
      <c r="C115" s="911"/>
      <c r="D115" s="911"/>
      <c r="E115" s="911"/>
      <c r="F115" s="912"/>
      <c r="G115" s="443">
        <f t="shared" ref="G115:H118" si="236">G20+G25+G30+G35+G40+G45+G50+G55+G60+G65+G70+G75+G80+G85+G90+G95+G100+G105+G110</f>
        <v>100417356</v>
      </c>
      <c r="H115" s="443">
        <f>H20+H25+H30+H35+H40+H45+H50+H55+H60+H65+H70+H75+H80+H85+H90+H95+H100+H105+H110</f>
        <v>60299077</v>
      </c>
      <c r="I115" s="812"/>
      <c r="J115" s="900"/>
      <c r="K115" s="900"/>
      <c r="L115" s="900"/>
      <c r="M115" s="900"/>
      <c r="N115" s="900"/>
      <c r="O115" s="900"/>
      <c r="P115" s="900"/>
      <c r="Q115" s="900"/>
      <c r="R115" s="900"/>
      <c r="S115" s="900"/>
      <c r="T115" s="900"/>
      <c r="U115" s="900"/>
      <c r="V115" s="900"/>
      <c r="W115" s="900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1"/>
      <c r="AI115" s="441"/>
      <c r="AJ115" s="441"/>
      <c r="AK115" s="441"/>
      <c r="AL115" s="441"/>
      <c r="AM115" s="441"/>
      <c r="AN115" s="441"/>
      <c r="AO115" s="441"/>
      <c r="AP115" s="441"/>
      <c r="AQ115" s="441"/>
      <c r="AR115" s="441"/>
      <c r="AS115" s="441"/>
      <c r="AT115" s="441"/>
      <c r="AU115" s="441"/>
      <c r="AV115" s="441"/>
      <c r="AW115" s="441"/>
      <c r="AX115" s="441"/>
      <c r="AY115" s="441"/>
      <c r="AZ115" s="441"/>
      <c r="BA115" s="441"/>
      <c r="BB115" s="441"/>
      <c r="BC115" s="441"/>
      <c r="BD115" s="441"/>
      <c r="BE115" s="441"/>
      <c r="BF115" s="441"/>
      <c r="BG115" s="441"/>
      <c r="BH115" s="441"/>
      <c r="BI115" s="441"/>
      <c r="BJ115" s="441"/>
      <c r="BK115" s="441"/>
      <c r="BL115" s="441"/>
      <c r="BM115" s="441"/>
      <c r="BN115" s="441"/>
      <c r="BO115" s="441"/>
      <c r="BP115" s="441"/>
      <c r="BQ115" s="441"/>
      <c r="BR115" s="441"/>
      <c r="BS115" s="441"/>
      <c r="BT115" s="441"/>
      <c r="BU115" s="441"/>
      <c r="BV115" s="441"/>
      <c r="BW115" s="441"/>
      <c r="BX115" s="441"/>
      <c r="BY115" s="441"/>
      <c r="BZ115" s="441"/>
      <c r="CA115" s="441"/>
      <c r="CB115" s="441"/>
      <c r="CC115" s="441"/>
      <c r="CD115" s="441"/>
      <c r="CE115" s="441"/>
      <c r="CF115" s="441"/>
      <c r="CG115" s="441"/>
      <c r="CH115" s="441"/>
      <c r="CI115" s="441"/>
      <c r="CJ115" s="441"/>
      <c r="CK115" s="441"/>
      <c r="CL115" s="441"/>
      <c r="CM115" s="441"/>
      <c r="CN115" s="441"/>
      <c r="CO115" s="441"/>
      <c r="CP115" s="441"/>
      <c r="CQ115" s="441"/>
      <c r="CR115" s="441"/>
      <c r="CS115" s="441"/>
      <c r="CT115" s="441"/>
      <c r="CU115" s="441"/>
      <c r="CV115" s="441"/>
      <c r="CW115" s="441"/>
      <c r="CX115" s="441"/>
      <c r="CY115" s="441"/>
      <c r="CZ115" s="441"/>
      <c r="DA115" s="441"/>
      <c r="DB115" s="441"/>
      <c r="DC115" s="441"/>
      <c r="DD115" s="441"/>
      <c r="DE115" s="441"/>
      <c r="DF115" s="441"/>
      <c r="DG115" s="441"/>
      <c r="DH115" s="441"/>
      <c r="DI115" s="441"/>
      <c r="DJ115" s="441"/>
      <c r="DK115" s="441"/>
      <c r="DL115" s="441"/>
      <c r="DM115" s="441"/>
      <c r="DN115" s="441"/>
      <c r="DO115" s="441"/>
      <c r="DP115" s="441"/>
      <c r="DQ115" s="441"/>
      <c r="DR115" s="441"/>
      <c r="DS115" s="441"/>
      <c r="DT115" s="441"/>
      <c r="DU115" s="441"/>
      <c r="DV115" s="441"/>
      <c r="DW115" s="441"/>
      <c r="DX115" s="441"/>
      <c r="DY115" s="441"/>
      <c r="DZ115" s="441"/>
      <c r="EA115" s="441"/>
      <c r="EB115" s="441"/>
      <c r="EC115" s="441"/>
      <c r="ED115" s="441"/>
      <c r="EE115" s="441"/>
      <c r="EF115" s="441"/>
      <c r="EG115" s="441"/>
      <c r="EH115" s="441"/>
      <c r="EI115" s="441"/>
      <c r="EJ115" s="441"/>
      <c r="EK115" s="441"/>
      <c r="EL115" s="441"/>
      <c r="EM115" s="441"/>
      <c r="EN115" s="441"/>
      <c r="EO115" s="441"/>
      <c r="EP115" s="441"/>
      <c r="EQ115" s="441"/>
      <c r="ER115" s="441"/>
      <c r="ES115" s="441"/>
      <c r="ET115" s="441"/>
      <c r="EU115" s="441"/>
      <c r="EV115" s="441"/>
      <c r="EW115" s="441"/>
      <c r="EX115" s="441"/>
      <c r="EY115" s="441"/>
      <c r="EZ115" s="441"/>
      <c r="FA115" s="441"/>
      <c r="FB115" s="441"/>
      <c r="FC115" s="441"/>
      <c r="FD115" s="441"/>
      <c r="FE115" s="441"/>
      <c r="FF115" s="441"/>
      <c r="FG115" s="441"/>
      <c r="FH115" s="441"/>
      <c r="FI115" s="441"/>
      <c r="FJ115" s="441"/>
      <c r="FK115" s="441"/>
      <c r="FL115" s="441"/>
      <c r="FM115" s="441"/>
      <c r="FN115" s="441"/>
      <c r="FO115" s="441"/>
      <c r="FP115" s="441"/>
      <c r="FQ115" s="441"/>
      <c r="FR115" s="441"/>
      <c r="FS115" s="441"/>
      <c r="FT115" s="441"/>
      <c r="FU115" s="441"/>
      <c r="FV115" s="441"/>
      <c r="FW115" s="441"/>
      <c r="FX115" s="441"/>
      <c r="FY115" s="441"/>
      <c r="FZ115" s="441"/>
      <c r="GA115" s="441"/>
      <c r="GB115" s="441"/>
      <c r="GC115" s="441"/>
      <c r="GD115" s="441"/>
      <c r="GE115" s="441"/>
      <c r="GF115" s="441"/>
      <c r="GG115" s="441"/>
      <c r="GH115" s="441"/>
      <c r="GI115" s="441"/>
      <c r="GJ115" s="441"/>
      <c r="GK115" s="441"/>
      <c r="GL115" s="441"/>
      <c r="GM115" s="441"/>
      <c r="GN115" s="441"/>
      <c r="GO115" s="441"/>
      <c r="GP115" s="441"/>
      <c r="GQ115" s="441"/>
      <c r="GR115" s="441"/>
      <c r="GS115" s="441"/>
      <c r="GT115" s="441"/>
      <c r="GU115" s="441"/>
      <c r="GV115" s="441"/>
      <c r="GW115" s="441"/>
      <c r="GX115" s="441"/>
      <c r="GY115" s="441"/>
      <c r="GZ115" s="441"/>
      <c r="HA115" s="441"/>
      <c r="HB115" s="441"/>
      <c r="HC115" s="441"/>
      <c r="HD115" s="441"/>
      <c r="HE115" s="441"/>
      <c r="HF115" s="441"/>
      <c r="HG115" s="441"/>
      <c r="HH115" s="441"/>
      <c r="HI115" s="441"/>
      <c r="HJ115" s="441"/>
      <c r="HK115" s="441"/>
      <c r="HL115" s="441"/>
      <c r="HM115" s="441"/>
      <c r="HN115" s="441"/>
      <c r="HO115" s="441"/>
      <c r="HP115" s="441"/>
      <c r="HQ115" s="441"/>
      <c r="HR115" s="441"/>
      <c r="HS115" s="441"/>
      <c r="HT115" s="441"/>
      <c r="HU115" s="441"/>
      <c r="HV115" s="441"/>
      <c r="HW115" s="441"/>
      <c r="HX115" s="441"/>
      <c r="HY115" s="441"/>
      <c r="HZ115" s="441"/>
      <c r="IA115" s="441"/>
      <c r="IB115" s="441"/>
      <c r="IC115" s="441"/>
      <c r="ID115" s="441"/>
      <c r="IE115" s="441"/>
      <c r="IF115" s="441"/>
      <c r="IG115" s="441"/>
      <c r="IH115" s="441"/>
      <c r="II115" s="441"/>
      <c r="IJ115" s="441"/>
      <c r="IK115" s="441"/>
      <c r="IL115" s="441"/>
      <c r="IM115" s="441"/>
      <c r="IN115" s="441"/>
      <c r="IO115" s="441"/>
      <c r="IP115" s="441"/>
      <c r="IQ115" s="441"/>
      <c r="IR115" s="441"/>
      <c r="IS115" s="441"/>
      <c r="IT115" s="441"/>
      <c r="IU115" s="441"/>
      <c r="IV115" s="441"/>
    </row>
    <row r="116" spans="1:256">
      <c r="A116" s="910"/>
      <c r="B116" s="911"/>
      <c r="C116" s="911"/>
      <c r="D116" s="911"/>
      <c r="E116" s="911"/>
      <c r="F116" s="912"/>
      <c r="G116" s="443">
        <f t="shared" si="236"/>
        <v>32506418</v>
      </c>
      <c r="H116" s="443">
        <f t="shared" si="236"/>
        <v>18852913</v>
      </c>
      <c r="I116" s="418" t="s">
        <v>6</v>
      </c>
      <c r="J116" s="444">
        <f>J21+J26+J31+J36+J41+J46+J51+J56+J61+J66+J71+J76+J81+J86+J91+J96+J101+J106+J111</f>
        <v>114018</v>
      </c>
      <c r="K116" s="444">
        <f t="shared" ref="K116:W116" si="237">K21+K26+K31+K36+K41+K46+K51+K56+K61+K66+K71+K76+K81+K86+K91+K96+K101+K106+K111</f>
        <v>102109</v>
      </c>
      <c r="L116" s="444">
        <f t="shared" si="237"/>
        <v>102109</v>
      </c>
      <c r="M116" s="444">
        <f t="shared" si="237"/>
        <v>0</v>
      </c>
      <c r="N116" s="444">
        <f t="shared" si="237"/>
        <v>11909</v>
      </c>
      <c r="O116" s="444">
        <f t="shared" si="237"/>
        <v>11909</v>
      </c>
      <c r="P116" s="444">
        <f t="shared" si="237"/>
        <v>11909</v>
      </c>
      <c r="Q116" s="444">
        <f t="shared" si="237"/>
        <v>0</v>
      </c>
      <c r="R116" s="444">
        <f t="shared" si="237"/>
        <v>0</v>
      </c>
      <c r="S116" s="444">
        <f t="shared" si="237"/>
        <v>0</v>
      </c>
      <c r="T116" s="444">
        <f t="shared" si="237"/>
        <v>0</v>
      </c>
      <c r="U116" s="444">
        <f t="shared" si="237"/>
        <v>0</v>
      </c>
      <c r="V116" s="444">
        <f t="shared" si="237"/>
        <v>0</v>
      </c>
      <c r="W116" s="444">
        <f t="shared" si="237"/>
        <v>0</v>
      </c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  <c r="AM116" s="44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441"/>
      <c r="AY116" s="441"/>
      <c r="AZ116" s="441"/>
      <c r="BA116" s="441"/>
      <c r="BB116" s="441"/>
      <c r="BC116" s="441"/>
      <c r="BD116" s="441"/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1"/>
      <c r="BU116" s="441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1"/>
      <c r="CI116" s="441"/>
      <c r="CJ116" s="441"/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1"/>
      <c r="CU116" s="441"/>
      <c r="CV116" s="441"/>
      <c r="CW116" s="441"/>
      <c r="CX116" s="441"/>
      <c r="CY116" s="441"/>
      <c r="CZ116" s="441"/>
      <c r="DA116" s="441"/>
      <c r="DB116" s="441"/>
      <c r="DC116" s="441"/>
      <c r="DD116" s="441"/>
      <c r="DE116" s="441"/>
      <c r="DF116" s="441"/>
      <c r="DG116" s="441"/>
      <c r="DH116" s="441"/>
      <c r="DI116" s="441"/>
      <c r="DJ116" s="441"/>
      <c r="DK116" s="441"/>
      <c r="DL116" s="441"/>
      <c r="DM116" s="441"/>
      <c r="DN116" s="441"/>
      <c r="DO116" s="441"/>
      <c r="DP116" s="441"/>
      <c r="DQ116" s="441"/>
      <c r="DR116" s="441"/>
      <c r="DS116" s="441"/>
      <c r="DT116" s="441"/>
      <c r="DU116" s="441"/>
      <c r="DV116" s="441"/>
      <c r="DW116" s="441"/>
      <c r="DX116" s="441"/>
      <c r="DY116" s="441"/>
      <c r="DZ116" s="441"/>
      <c r="EA116" s="441"/>
      <c r="EB116" s="441"/>
      <c r="EC116" s="441"/>
      <c r="ED116" s="441"/>
      <c r="EE116" s="441"/>
      <c r="EF116" s="441"/>
      <c r="EG116" s="441"/>
      <c r="EH116" s="441"/>
      <c r="EI116" s="441"/>
      <c r="EJ116" s="441"/>
      <c r="EK116" s="441"/>
      <c r="EL116" s="441"/>
      <c r="EM116" s="441"/>
      <c r="EN116" s="441"/>
      <c r="EO116" s="441"/>
      <c r="EP116" s="441"/>
      <c r="EQ116" s="441"/>
      <c r="ER116" s="441"/>
      <c r="ES116" s="441"/>
      <c r="ET116" s="441"/>
      <c r="EU116" s="441"/>
      <c r="EV116" s="441"/>
      <c r="EW116" s="441"/>
      <c r="EX116" s="441"/>
      <c r="EY116" s="441"/>
      <c r="EZ116" s="441"/>
      <c r="FA116" s="441"/>
      <c r="FB116" s="441"/>
      <c r="FC116" s="441"/>
      <c r="FD116" s="441"/>
      <c r="FE116" s="441"/>
      <c r="FF116" s="441"/>
      <c r="FG116" s="441"/>
      <c r="FH116" s="441"/>
      <c r="FI116" s="441"/>
      <c r="FJ116" s="441"/>
      <c r="FK116" s="441"/>
      <c r="FL116" s="441"/>
      <c r="FM116" s="441"/>
      <c r="FN116" s="441"/>
      <c r="FO116" s="441"/>
      <c r="FP116" s="441"/>
      <c r="FQ116" s="441"/>
      <c r="FR116" s="441"/>
      <c r="FS116" s="441"/>
      <c r="FT116" s="441"/>
      <c r="FU116" s="441"/>
      <c r="FV116" s="441"/>
      <c r="FW116" s="441"/>
      <c r="FX116" s="441"/>
      <c r="FY116" s="441"/>
      <c r="FZ116" s="441"/>
      <c r="GA116" s="441"/>
      <c r="GB116" s="441"/>
      <c r="GC116" s="441"/>
      <c r="GD116" s="441"/>
      <c r="GE116" s="441"/>
      <c r="GF116" s="441"/>
      <c r="GG116" s="441"/>
      <c r="GH116" s="441"/>
      <c r="GI116" s="441"/>
      <c r="GJ116" s="441"/>
      <c r="GK116" s="441"/>
      <c r="GL116" s="441"/>
      <c r="GM116" s="441"/>
      <c r="GN116" s="441"/>
      <c r="GO116" s="441"/>
      <c r="GP116" s="441"/>
      <c r="GQ116" s="441"/>
      <c r="GR116" s="441"/>
      <c r="GS116" s="441"/>
      <c r="GT116" s="441"/>
      <c r="GU116" s="441"/>
      <c r="GV116" s="441"/>
      <c r="GW116" s="441"/>
      <c r="GX116" s="441"/>
      <c r="GY116" s="441"/>
      <c r="GZ116" s="441"/>
      <c r="HA116" s="441"/>
      <c r="HB116" s="441"/>
      <c r="HC116" s="441"/>
      <c r="HD116" s="441"/>
      <c r="HE116" s="441"/>
      <c r="HF116" s="441"/>
      <c r="HG116" s="441"/>
      <c r="HH116" s="441"/>
      <c r="HI116" s="441"/>
      <c r="HJ116" s="441"/>
      <c r="HK116" s="441"/>
      <c r="HL116" s="441"/>
      <c r="HM116" s="441"/>
      <c r="HN116" s="441"/>
      <c r="HO116" s="441"/>
      <c r="HP116" s="441"/>
      <c r="HQ116" s="441"/>
      <c r="HR116" s="441"/>
      <c r="HS116" s="441"/>
      <c r="HT116" s="441"/>
      <c r="HU116" s="441"/>
      <c r="HV116" s="441"/>
      <c r="HW116" s="441"/>
      <c r="HX116" s="441"/>
      <c r="HY116" s="441"/>
      <c r="HZ116" s="441"/>
      <c r="IA116" s="441"/>
      <c r="IB116" s="441"/>
      <c r="IC116" s="441"/>
      <c r="ID116" s="441"/>
      <c r="IE116" s="441"/>
      <c r="IF116" s="441"/>
      <c r="IG116" s="441"/>
      <c r="IH116" s="441"/>
      <c r="II116" s="441"/>
      <c r="IJ116" s="441"/>
      <c r="IK116" s="441"/>
      <c r="IL116" s="441"/>
      <c r="IM116" s="441"/>
      <c r="IN116" s="441"/>
      <c r="IO116" s="441"/>
      <c r="IP116" s="441"/>
      <c r="IQ116" s="441"/>
      <c r="IR116" s="441"/>
      <c r="IS116" s="441"/>
      <c r="IT116" s="441"/>
      <c r="IU116" s="441"/>
      <c r="IV116" s="441"/>
    </row>
    <row r="117" spans="1:256">
      <c r="A117" s="910"/>
      <c r="B117" s="911"/>
      <c r="C117" s="911"/>
      <c r="D117" s="911"/>
      <c r="E117" s="911"/>
      <c r="F117" s="912"/>
      <c r="G117" s="443">
        <f t="shared" si="236"/>
        <v>20644853</v>
      </c>
      <c r="H117" s="443">
        <f t="shared" si="236"/>
        <v>8228493</v>
      </c>
      <c r="I117" s="811" t="s">
        <v>7</v>
      </c>
      <c r="J117" s="900">
        <f>J114+J116</f>
        <v>50210592</v>
      </c>
      <c r="K117" s="900">
        <f t="shared" ref="K117:W117" si="238">K114+K116</f>
        <v>30061591</v>
      </c>
      <c r="L117" s="900">
        <f t="shared" si="238"/>
        <v>21101412</v>
      </c>
      <c r="M117" s="900">
        <f t="shared" si="238"/>
        <v>8960179</v>
      </c>
      <c r="N117" s="900">
        <f t="shared" si="238"/>
        <v>20149001</v>
      </c>
      <c r="O117" s="900">
        <f t="shared" si="238"/>
        <v>8330302</v>
      </c>
      <c r="P117" s="900">
        <f t="shared" si="238"/>
        <v>8330302</v>
      </c>
      <c r="Q117" s="900">
        <f t="shared" si="238"/>
        <v>0</v>
      </c>
      <c r="R117" s="900">
        <f t="shared" si="238"/>
        <v>11818699</v>
      </c>
      <c r="S117" s="900">
        <f t="shared" si="238"/>
        <v>1428497</v>
      </c>
      <c r="T117" s="900">
        <f t="shared" si="238"/>
        <v>10390202</v>
      </c>
      <c r="U117" s="900">
        <f t="shared" si="238"/>
        <v>0</v>
      </c>
      <c r="V117" s="900">
        <f t="shared" si="238"/>
        <v>0</v>
      </c>
      <c r="W117" s="900">
        <f t="shared" si="238"/>
        <v>0</v>
      </c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/>
      <c r="AV117" s="441"/>
      <c r="AW117" s="441"/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/>
      <c r="CC117" s="441"/>
      <c r="CD117" s="441"/>
      <c r="CE117" s="441"/>
      <c r="CF117" s="441"/>
      <c r="CG117" s="441"/>
      <c r="CH117" s="441"/>
      <c r="CI117" s="441"/>
      <c r="CJ117" s="441"/>
      <c r="CK117" s="441"/>
      <c r="CL117" s="441"/>
      <c r="CM117" s="441"/>
      <c r="CN117" s="441"/>
      <c r="CO117" s="441"/>
      <c r="CP117" s="441"/>
      <c r="CQ117" s="441"/>
      <c r="CR117" s="441"/>
      <c r="CS117" s="441"/>
      <c r="CT117" s="441"/>
      <c r="CU117" s="441"/>
      <c r="CV117" s="441"/>
      <c r="CW117" s="441"/>
      <c r="CX117" s="441"/>
      <c r="CY117" s="441"/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1"/>
      <c r="DK117" s="441"/>
      <c r="DL117" s="441"/>
      <c r="DM117" s="441"/>
      <c r="DN117" s="441"/>
      <c r="DO117" s="441"/>
      <c r="DP117" s="441"/>
      <c r="DQ117" s="441"/>
      <c r="DR117" s="441"/>
      <c r="DS117" s="441"/>
      <c r="DT117" s="441"/>
      <c r="DU117" s="441"/>
      <c r="DV117" s="441"/>
      <c r="DW117" s="441"/>
      <c r="DX117" s="441"/>
      <c r="DY117" s="441"/>
      <c r="DZ117" s="441"/>
      <c r="EA117" s="441"/>
      <c r="EB117" s="441"/>
      <c r="EC117" s="441"/>
      <c r="ED117" s="441"/>
      <c r="EE117" s="441"/>
      <c r="EF117" s="441"/>
      <c r="EG117" s="441"/>
      <c r="EH117" s="441"/>
      <c r="EI117" s="441"/>
      <c r="EJ117" s="441"/>
      <c r="EK117" s="441"/>
      <c r="EL117" s="441"/>
      <c r="EM117" s="441"/>
      <c r="EN117" s="441"/>
      <c r="EO117" s="441"/>
      <c r="EP117" s="441"/>
      <c r="EQ117" s="441"/>
      <c r="ER117" s="441"/>
      <c r="ES117" s="441"/>
      <c r="ET117" s="441"/>
      <c r="EU117" s="441"/>
      <c r="EV117" s="441"/>
      <c r="EW117" s="441"/>
      <c r="EX117" s="441"/>
      <c r="EY117" s="441"/>
      <c r="EZ117" s="441"/>
      <c r="FA117" s="441"/>
      <c r="FB117" s="441"/>
      <c r="FC117" s="441"/>
      <c r="FD117" s="441"/>
      <c r="FE117" s="441"/>
      <c r="FF117" s="441"/>
      <c r="FG117" s="441"/>
      <c r="FH117" s="441"/>
      <c r="FI117" s="441"/>
      <c r="FJ117" s="441"/>
      <c r="FK117" s="441"/>
      <c r="FL117" s="441"/>
      <c r="FM117" s="441"/>
      <c r="FN117" s="441"/>
      <c r="FO117" s="441"/>
      <c r="FP117" s="441"/>
      <c r="FQ117" s="441"/>
      <c r="FR117" s="441"/>
      <c r="FS117" s="441"/>
      <c r="FT117" s="441"/>
      <c r="FU117" s="441"/>
      <c r="FV117" s="441"/>
      <c r="FW117" s="441"/>
      <c r="FX117" s="441"/>
      <c r="FY117" s="441"/>
      <c r="FZ117" s="441"/>
      <c r="GA117" s="441"/>
      <c r="GB117" s="441"/>
      <c r="GC117" s="441"/>
      <c r="GD117" s="441"/>
      <c r="GE117" s="441"/>
      <c r="GF117" s="441"/>
      <c r="GG117" s="441"/>
      <c r="GH117" s="441"/>
      <c r="GI117" s="441"/>
      <c r="GJ117" s="441"/>
      <c r="GK117" s="441"/>
      <c r="GL117" s="441"/>
      <c r="GM117" s="441"/>
      <c r="GN117" s="441"/>
      <c r="GO117" s="441"/>
      <c r="GP117" s="441"/>
      <c r="GQ117" s="441"/>
      <c r="GR117" s="441"/>
      <c r="GS117" s="441"/>
      <c r="GT117" s="441"/>
      <c r="GU117" s="441"/>
      <c r="GV117" s="441"/>
      <c r="GW117" s="441"/>
      <c r="GX117" s="441"/>
      <c r="GY117" s="441"/>
      <c r="GZ117" s="441"/>
      <c r="HA117" s="441"/>
      <c r="HB117" s="441"/>
      <c r="HC117" s="441"/>
      <c r="HD117" s="441"/>
      <c r="HE117" s="441"/>
      <c r="HF117" s="441"/>
      <c r="HG117" s="441"/>
      <c r="HH117" s="441"/>
      <c r="HI117" s="441"/>
      <c r="HJ117" s="441"/>
      <c r="HK117" s="441"/>
      <c r="HL117" s="441"/>
      <c r="HM117" s="441"/>
      <c r="HN117" s="441"/>
      <c r="HO117" s="441"/>
      <c r="HP117" s="441"/>
      <c r="HQ117" s="441"/>
      <c r="HR117" s="441"/>
      <c r="HS117" s="441"/>
      <c r="HT117" s="441"/>
      <c r="HU117" s="441"/>
      <c r="HV117" s="441"/>
      <c r="HW117" s="441"/>
      <c r="HX117" s="441"/>
      <c r="HY117" s="441"/>
      <c r="HZ117" s="441"/>
      <c r="IA117" s="441"/>
      <c r="IB117" s="441"/>
      <c r="IC117" s="441"/>
      <c r="ID117" s="441"/>
      <c r="IE117" s="441"/>
      <c r="IF117" s="441"/>
      <c r="IG117" s="441"/>
      <c r="IH117" s="441"/>
      <c r="II117" s="441"/>
      <c r="IJ117" s="441"/>
      <c r="IK117" s="441"/>
      <c r="IL117" s="441"/>
      <c r="IM117" s="441"/>
      <c r="IN117" s="441"/>
      <c r="IO117" s="441"/>
      <c r="IP117" s="441"/>
      <c r="IQ117" s="441"/>
      <c r="IR117" s="441"/>
      <c r="IS117" s="441"/>
      <c r="IT117" s="441"/>
      <c r="IU117" s="441"/>
      <c r="IV117" s="441"/>
    </row>
    <row r="118" spans="1:256">
      <c r="A118" s="913"/>
      <c r="B118" s="914"/>
      <c r="C118" s="914"/>
      <c r="D118" s="914"/>
      <c r="E118" s="914"/>
      <c r="F118" s="915"/>
      <c r="G118" s="443">
        <f t="shared" si="236"/>
        <v>0</v>
      </c>
      <c r="H118" s="443">
        <f t="shared" si="236"/>
        <v>0</v>
      </c>
      <c r="I118" s="812"/>
      <c r="J118" s="900"/>
      <c r="K118" s="900"/>
      <c r="L118" s="900"/>
      <c r="M118" s="900"/>
      <c r="N118" s="900"/>
      <c r="O118" s="900"/>
      <c r="P118" s="900"/>
      <c r="Q118" s="900"/>
      <c r="R118" s="900"/>
      <c r="S118" s="900"/>
      <c r="T118" s="900"/>
      <c r="U118" s="900"/>
      <c r="V118" s="900"/>
      <c r="W118" s="900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/>
      <c r="AV118" s="441"/>
      <c r="AW118" s="441"/>
      <c r="AX118" s="441"/>
      <c r="AY118" s="441"/>
      <c r="AZ118" s="441"/>
      <c r="BA118" s="441"/>
      <c r="BB118" s="441"/>
      <c r="BC118" s="441"/>
      <c r="BD118" s="441"/>
      <c r="BE118" s="441"/>
      <c r="BF118" s="441"/>
      <c r="BG118" s="441"/>
      <c r="BH118" s="441"/>
      <c r="BI118" s="441"/>
      <c r="BJ118" s="441"/>
      <c r="BK118" s="441"/>
      <c r="BL118" s="441"/>
      <c r="BM118" s="441"/>
      <c r="BN118" s="441"/>
      <c r="BO118" s="441"/>
      <c r="BP118" s="441"/>
      <c r="BQ118" s="441"/>
      <c r="BR118" s="441"/>
      <c r="BS118" s="441"/>
      <c r="BT118" s="441"/>
      <c r="BU118" s="441"/>
      <c r="BV118" s="441"/>
      <c r="BW118" s="441"/>
      <c r="BX118" s="441"/>
      <c r="BY118" s="441"/>
      <c r="BZ118" s="441"/>
      <c r="CA118" s="441"/>
      <c r="CB118" s="441"/>
      <c r="CC118" s="441"/>
      <c r="CD118" s="441"/>
      <c r="CE118" s="441"/>
      <c r="CF118" s="441"/>
      <c r="CG118" s="441"/>
      <c r="CH118" s="441"/>
      <c r="CI118" s="441"/>
      <c r="CJ118" s="441"/>
      <c r="CK118" s="441"/>
      <c r="CL118" s="441"/>
      <c r="CM118" s="441"/>
      <c r="CN118" s="441"/>
      <c r="CO118" s="441"/>
      <c r="CP118" s="441"/>
      <c r="CQ118" s="441"/>
      <c r="CR118" s="441"/>
      <c r="CS118" s="441"/>
      <c r="CT118" s="441"/>
      <c r="CU118" s="441"/>
      <c r="CV118" s="441"/>
      <c r="CW118" s="441"/>
      <c r="CX118" s="441"/>
      <c r="CY118" s="441"/>
      <c r="CZ118" s="441"/>
      <c r="DA118" s="441"/>
      <c r="DB118" s="441"/>
      <c r="DC118" s="441"/>
      <c r="DD118" s="441"/>
      <c r="DE118" s="441"/>
      <c r="DF118" s="441"/>
      <c r="DG118" s="441"/>
      <c r="DH118" s="441"/>
      <c r="DI118" s="441"/>
      <c r="DJ118" s="441"/>
      <c r="DK118" s="441"/>
      <c r="DL118" s="441"/>
      <c r="DM118" s="441"/>
      <c r="DN118" s="441"/>
      <c r="DO118" s="441"/>
      <c r="DP118" s="441"/>
      <c r="DQ118" s="441"/>
      <c r="DR118" s="441"/>
      <c r="DS118" s="441"/>
      <c r="DT118" s="441"/>
      <c r="DU118" s="441"/>
      <c r="DV118" s="441"/>
      <c r="DW118" s="441"/>
      <c r="DX118" s="441"/>
      <c r="DY118" s="441"/>
      <c r="DZ118" s="441"/>
      <c r="EA118" s="441"/>
      <c r="EB118" s="441"/>
      <c r="EC118" s="441"/>
      <c r="ED118" s="441"/>
      <c r="EE118" s="441"/>
      <c r="EF118" s="441"/>
      <c r="EG118" s="441"/>
      <c r="EH118" s="441"/>
      <c r="EI118" s="441"/>
      <c r="EJ118" s="441"/>
      <c r="EK118" s="441"/>
      <c r="EL118" s="441"/>
      <c r="EM118" s="441"/>
      <c r="EN118" s="441"/>
      <c r="EO118" s="441"/>
      <c r="EP118" s="441"/>
      <c r="EQ118" s="441"/>
      <c r="ER118" s="441"/>
      <c r="ES118" s="441"/>
      <c r="ET118" s="441"/>
      <c r="EU118" s="441"/>
      <c r="EV118" s="441"/>
      <c r="EW118" s="441"/>
      <c r="EX118" s="441"/>
      <c r="EY118" s="441"/>
      <c r="EZ118" s="441"/>
      <c r="FA118" s="441"/>
      <c r="FB118" s="441"/>
      <c r="FC118" s="441"/>
      <c r="FD118" s="441"/>
      <c r="FE118" s="441"/>
      <c r="FF118" s="441"/>
      <c r="FG118" s="441"/>
      <c r="FH118" s="441"/>
      <c r="FI118" s="441"/>
      <c r="FJ118" s="441"/>
      <c r="FK118" s="441"/>
      <c r="FL118" s="441"/>
      <c r="FM118" s="441"/>
      <c r="FN118" s="441"/>
      <c r="FO118" s="441"/>
      <c r="FP118" s="441"/>
      <c r="FQ118" s="441"/>
      <c r="FR118" s="441"/>
      <c r="FS118" s="441"/>
      <c r="FT118" s="441"/>
      <c r="FU118" s="441"/>
      <c r="FV118" s="441"/>
      <c r="FW118" s="441"/>
      <c r="FX118" s="441"/>
      <c r="FY118" s="441"/>
      <c r="FZ118" s="441"/>
      <c r="GA118" s="441"/>
      <c r="GB118" s="441"/>
      <c r="GC118" s="441"/>
      <c r="GD118" s="441"/>
      <c r="GE118" s="441"/>
      <c r="GF118" s="441"/>
      <c r="GG118" s="441"/>
      <c r="GH118" s="441"/>
      <c r="GI118" s="441"/>
      <c r="GJ118" s="441"/>
      <c r="GK118" s="441"/>
      <c r="GL118" s="441"/>
      <c r="GM118" s="441"/>
      <c r="GN118" s="441"/>
      <c r="GO118" s="441"/>
      <c r="GP118" s="441"/>
      <c r="GQ118" s="441"/>
      <c r="GR118" s="441"/>
      <c r="GS118" s="441"/>
      <c r="GT118" s="441"/>
      <c r="GU118" s="441"/>
      <c r="GV118" s="441"/>
      <c r="GW118" s="441"/>
      <c r="GX118" s="441"/>
      <c r="GY118" s="441"/>
      <c r="GZ118" s="441"/>
      <c r="HA118" s="441"/>
      <c r="HB118" s="441"/>
      <c r="HC118" s="441"/>
      <c r="HD118" s="441"/>
      <c r="HE118" s="441"/>
      <c r="HF118" s="441"/>
      <c r="HG118" s="441"/>
      <c r="HH118" s="441"/>
      <c r="HI118" s="441"/>
      <c r="HJ118" s="441"/>
      <c r="HK118" s="441"/>
      <c r="HL118" s="441"/>
      <c r="HM118" s="441"/>
      <c r="HN118" s="441"/>
      <c r="HO118" s="441"/>
      <c r="HP118" s="441"/>
      <c r="HQ118" s="441"/>
      <c r="HR118" s="441"/>
      <c r="HS118" s="441"/>
      <c r="HT118" s="441"/>
      <c r="HU118" s="441"/>
      <c r="HV118" s="441"/>
      <c r="HW118" s="441"/>
      <c r="HX118" s="441"/>
      <c r="HY118" s="441"/>
      <c r="HZ118" s="441"/>
      <c r="IA118" s="441"/>
      <c r="IB118" s="441"/>
      <c r="IC118" s="441"/>
      <c r="ID118" s="441"/>
      <c r="IE118" s="441"/>
      <c r="IF118" s="441"/>
      <c r="IG118" s="441"/>
      <c r="IH118" s="441"/>
      <c r="II118" s="441"/>
      <c r="IJ118" s="441"/>
      <c r="IK118" s="441"/>
      <c r="IL118" s="441"/>
      <c r="IM118" s="441"/>
      <c r="IN118" s="441"/>
      <c r="IO118" s="441"/>
      <c r="IP118" s="441"/>
      <c r="IQ118" s="441"/>
      <c r="IR118" s="441"/>
      <c r="IS118" s="441"/>
      <c r="IT118" s="441"/>
      <c r="IU118" s="441"/>
      <c r="IV118" s="441"/>
    </row>
    <row r="119" spans="1:256">
      <c r="A119" s="445" t="s">
        <v>3</v>
      </c>
    </row>
    <row r="120" spans="1:256">
      <c r="A120" s="446" t="s">
        <v>5</v>
      </c>
      <c r="B120" s="447" t="s">
        <v>874</v>
      </c>
    </row>
    <row r="121" spans="1:256">
      <c r="A121" s="446" t="s">
        <v>6</v>
      </c>
      <c r="B121" s="447" t="s">
        <v>875</v>
      </c>
    </row>
    <row r="122" spans="1:256">
      <c r="A122" s="446" t="s">
        <v>7</v>
      </c>
      <c r="B122" s="447" t="s">
        <v>876</v>
      </c>
    </row>
  </sheetData>
  <sheetProtection password="C25B" sheet="1" objects="1" scenarios="1"/>
  <mergeCells count="751">
    <mergeCell ref="T1:V1"/>
    <mergeCell ref="T2:V2"/>
    <mergeCell ref="T3:V3"/>
    <mergeCell ref="A6:W6"/>
    <mergeCell ref="A9:A14"/>
    <mergeCell ref="B9:B14"/>
    <mergeCell ref="C9:C14"/>
    <mergeCell ref="D9:D14"/>
    <mergeCell ref="E9:E14"/>
    <mergeCell ref="F9:F14"/>
    <mergeCell ref="G9:G10"/>
    <mergeCell ref="H9:H10"/>
    <mergeCell ref="I9:I14"/>
    <mergeCell ref="J9:W10"/>
    <mergeCell ref="J11:J14"/>
    <mergeCell ref="K11:M12"/>
    <mergeCell ref="N11:N14"/>
    <mergeCell ref="O11:W11"/>
    <mergeCell ref="O12:Q12"/>
    <mergeCell ref="R12:T12"/>
    <mergeCell ref="U13:U14"/>
    <mergeCell ref="V13:V14"/>
    <mergeCell ref="W13:W14"/>
    <mergeCell ref="A16:W16"/>
    <mergeCell ref="A17:W17"/>
    <mergeCell ref="A18:W18"/>
    <mergeCell ref="U12:W12"/>
    <mergeCell ref="K13:K14"/>
    <mergeCell ref="L13:L14"/>
    <mergeCell ref="M13:M14"/>
    <mergeCell ref="O13:O14"/>
    <mergeCell ref="P13:P14"/>
    <mergeCell ref="Q13:Q14"/>
    <mergeCell ref="R13:R14"/>
    <mergeCell ref="S13:S14"/>
    <mergeCell ref="T13:T14"/>
    <mergeCell ref="V19:V20"/>
    <mergeCell ref="W19:W20"/>
    <mergeCell ref="I22:I23"/>
    <mergeCell ref="J22:J23"/>
    <mergeCell ref="K22:K23"/>
    <mergeCell ref="L22:L23"/>
    <mergeCell ref="M22:M23"/>
    <mergeCell ref="N22:N23"/>
    <mergeCell ref="O22:O23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V22:V23"/>
    <mergeCell ref="W22:W23"/>
    <mergeCell ref="A24:A28"/>
    <mergeCell ref="B24:B28"/>
    <mergeCell ref="C24:C28"/>
    <mergeCell ref="D24:D28"/>
    <mergeCell ref="E24:E28"/>
    <mergeCell ref="F24:F28"/>
    <mergeCell ref="I24:I25"/>
    <mergeCell ref="J24:J25"/>
    <mergeCell ref="P22:P23"/>
    <mergeCell ref="Q22:Q23"/>
    <mergeCell ref="R22:R23"/>
    <mergeCell ref="S22:S23"/>
    <mergeCell ref="T22:T23"/>
    <mergeCell ref="U22:U23"/>
    <mergeCell ref="A19:A23"/>
    <mergeCell ref="B19:B23"/>
    <mergeCell ref="C19:C23"/>
    <mergeCell ref="D19:D23"/>
    <mergeCell ref="E19:E23"/>
    <mergeCell ref="F19:F23"/>
    <mergeCell ref="U19:U20"/>
    <mergeCell ref="W27:W28"/>
    <mergeCell ref="W24:W25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C29:C33"/>
    <mergeCell ref="D29:D33"/>
    <mergeCell ref="E29:E33"/>
    <mergeCell ref="F29:F33"/>
    <mergeCell ref="R27:R28"/>
    <mergeCell ref="S27:S28"/>
    <mergeCell ref="T27:T28"/>
    <mergeCell ref="U27:U28"/>
    <mergeCell ref="V27:V28"/>
    <mergeCell ref="U29:U30"/>
    <mergeCell ref="V29:V30"/>
    <mergeCell ref="W29:W30"/>
    <mergeCell ref="I32:I33"/>
    <mergeCell ref="J32:J33"/>
    <mergeCell ref="K32:K33"/>
    <mergeCell ref="L32:L33"/>
    <mergeCell ref="M32:M33"/>
    <mergeCell ref="N32:N33"/>
    <mergeCell ref="O32:O33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K34:K35"/>
    <mergeCell ref="L34:L35"/>
    <mergeCell ref="M34:M35"/>
    <mergeCell ref="N34:N35"/>
    <mergeCell ref="O34:O35"/>
    <mergeCell ref="P34:P35"/>
    <mergeCell ref="V32:V33"/>
    <mergeCell ref="W32:W33"/>
    <mergeCell ref="A34:A38"/>
    <mergeCell ref="B34:B38"/>
    <mergeCell ref="C34:C38"/>
    <mergeCell ref="D34:D38"/>
    <mergeCell ref="E34:E38"/>
    <mergeCell ref="F34:F38"/>
    <mergeCell ref="I34:I35"/>
    <mergeCell ref="J34:J35"/>
    <mergeCell ref="P32:P33"/>
    <mergeCell ref="Q32:Q33"/>
    <mergeCell ref="R32:R33"/>
    <mergeCell ref="S32:S33"/>
    <mergeCell ref="T32:T33"/>
    <mergeCell ref="U32:U33"/>
    <mergeCell ref="A29:A33"/>
    <mergeCell ref="B29:B33"/>
    <mergeCell ref="E39:E43"/>
    <mergeCell ref="F39:F43"/>
    <mergeCell ref="R37:R38"/>
    <mergeCell ref="S37:S38"/>
    <mergeCell ref="T37:T38"/>
    <mergeCell ref="U37:U38"/>
    <mergeCell ref="V37:V38"/>
    <mergeCell ref="W37:W38"/>
    <mergeCell ref="W34:W35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Q34:Q35"/>
    <mergeCell ref="R34:R35"/>
    <mergeCell ref="S34:S35"/>
    <mergeCell ref="T34:T35"/>
    <mergeCell ref="U34:U35"/>
    <mergeCell ref="V34:V35"/>
    <mergeCell ref="U39:U40"/>
    <mergeCell ref="V39:V40"/>
    <mergeCell ref="W39:W40"/>
    <mergeCell ref="I42:I43"/>
    <mergeCell ref="J42:J43"/>
    <mergeCell ref="K42:K43"/>
    <mergeCell ref="L42:L43"/>
    <mergeCell ref="M42:M43"/>
    <mergeCell ref="N42:N43"/>
    <mergeCell ref="O42:O43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M44:M45"/>
    <mergeCell ref="N44:N45"/>
    <mergeCell ref="O44:O45"/>
    <mergeCell ref="P44:P45"/>
    <mergeCell ref="V42:V43"/>
    <mergeCell ref="W42:W43"/>
    <mergeCell ref="A44:A48"/>
    <mergeCell ref="B44:B48"/>
    <mergeCell ref="C44:C48"/>
    <mergeCell ref="D44:D48"/>
    <mergeCell ref="E44:E48"/>
    <mergeCell ref="F44:F48"/>
    <mergeCell ref="I44:I45"/>
    <mergeCell ref="J44:J45"/>
    <mergeCell ref="P42:P43"/>
    <mergeCell ref="Q42:Q43"/>
    <mergeCell ref="R42:R43"/>
    <mergeCell ref="S42:S43"/>
    <mergeCell ref="T42:T43"/>
    <mergeCell ref="U42:U43"/>
    <mergeCell ref="A39:A43"/>
    <mergeCell ref="B39:B43"/>
    <mergeCell ref="C39:C43"/>
    <mergeCell ref="D39:D43"/>
    <mergeCell ref="R47:R48"/>
    <mergeCell ref="S47:S48"/>
    <mergeCell ref="T47:T48"/>
    <mergeCell ref="U47:U48"/>
    <mergeCell ref="V47:V48"/>
    <mergeCell ref="W47:W48"/>
    <mergeCell ref="W44:W45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Q44:Q45"/>
    <mergeCell ref="R44:R45"/>
    <mergeCell ref="S44:S45"/>
    <mergeCell ref="T44:T45"/>
    <mergeCell ref="U44:U45"/>
    <mergeCell ref="V44:V45"/>
    <mergeCell ref="K44:K45"/>
    <mergeCell ref="L44:L45"/>
    <mergeCell ref="V49:V50"/>
    <mergeCell ref="W49:W50"/>
    <mergeCell ref="I52:I53"/>
    <mergeCell ref="J52:J53"/>
    <mergeCell ref="K52:K53"/>
    <mergeCell ref="L52:L53"/>
    <mergeCell ref="M52:M53"/>
    <mergeCell ref="N52:N53"/>
    <mergeCell ref="O52:O53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L49:L50"/>
    <mergeCell ref="M49:M50"/>
    <mergeCell ref="N49:N50"/>
    <mergeCell ref="V52:V53"/>
    <mergeCell ref="W52:W53"/>
    <mergeCell ref="A54:A58"/>
    <mergeCell ref="B54:B58"/>
    <mergeCell ref="C54:C58"/>
    <mergeCell ref="D54:D58"/>
    <mergeCell ref="E54:E58"/>
    <mergeCell ref="F54:F58"/>
    <mergeCell ref="I54:I55"/>
    <mergeCell ref="J54:J55"/>
    <mergeCell ref="P52:P53"/>
    <mergeCell ref="Q52:Q53"/>
    <mergeCell ref="R52:R53"/>
    <mergeCell ref="S52:S53"/>
    <mergeCell ref="T52:T53"/>
    <mergeCell ref="U52:U53"/>
    <mergeCell ref="A49:A53"/>
    <mergeCell ref="B49:B53"/>
    <mergeCell ref="C49:C53"/>
    <mergeCell ref="D49:D53"/>
    <mergeCell ref="E49:E53"/>
    <mergeCell ref="F49:F53"/>
    <mergeCell ref="U49:U50"/>
    <mergeCell ref="W57:W58"/>
    <mergeCell ref="W54:W55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C59:C63"/>
    <mergeCell ref="D59:D63"/>
    <mergeCell ref="E59:E63"/>
    <mergeCell ref="F59:F63"/>
    <mergeCell ref="R57:R58"/>
    <mergeCell ref="S57:S58"/>
    <mergeCell ref="T57:T58"/>
    <mergeCell ref="U57:U58"/>
    <mergeCell ref="V57:V58"/>
    <mergeCell ref="U59:U60"/>
    <mergeCell ref="V59:V60"/>
    <mergeCell ref="W59:W60"/>
    <mergeCell ref="I62:I63"/>
    <mergeCell ref="J62:J63"/>
    <mergeCell ref="K62:K63"/>
    <mergeCell ref="L62:L63"/>
    <mergeCell ref="M62:M63"/>
    <mergeCell ref="N62:N63"/>
    <mergeCell ref="O62:O63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K64:K65"/>
    <mergeCell ref="L64:L65"/>
    <mergeCell ref="M64:M65"/>
    <mergeCell ref="N64:N65"/>
    <mergeCell ref="O64:O65"/>
    <mergeCell ref="P64:P65"/>
    <mergeCell ref="V62:V63"/>
    <mergeCell ref="W62:W63"/>
    <mergeCell ref="A64:A68"/>
    <mergeCell ref="B64:B68"/>
    <mergeCell ref="C64:C68"/>
    <mergeCell ref="D64:D68"/>
    <mergeCell ref="E64:E68"/>
    <mergeCell ref="F64:F68"/>
    <mergeCell ref="I64:I65"/>
    <mergeCell ref="J64:J65"/>
    <mergeCell ref="P62:P63"/>
    <mergeCell ref="Q62:Q63"/>
    <mergeCell ref="R62:R63"/>
    <mergeCell ref="S62:S63"/>
    <mergeCell ref="T62:T63"/>
    <mergeCell ref="U62:U63"/>
    <mergeCell ref="A59:A63"/>
    <mergeCell ref="B59:B63"/>
    <mergeCell ref="E69:E73"/>
    <mergeCell ref="F69:F73"/>
    <mergeCell ref="R67:R68"/>
    <mergeCell ref="S67:S68"/>
    <mergeCell ref="T67:T68"/>
    <mergeCell ref="U67:U68"/>
    <mergeCell ref="V67:V68"/>
    <mergeCell ref="W67:W68"/>
    <mergeCell ref="W64:W65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Q64:Q65"/>
    <mergeCell ref="R64:R65"/>
    <mergeCell ref="S64:S65"/>
    <mergeCell ref="T64:T65"/>
    <mergeCell ref="U64:U65"/>
    <mergeCell ref="V64:V65"/>
    <mergeCell ref="U69:U70"/>
    <mergeCell ref="V69:V70"/>
    <mergeCell ref="W69:W70"/>
    <mergeCell ref="I72:I73"/>
    <mergeCell ref="J72:J73"/>
    <mergeCell ref="K72:K73"/>
    <mergeCell ref="L72:L73"/>
    <mergeCell ref="M72:M73"/>
    <mergeCell ref="N72:N73"/>
    <mergeCell ref="O72:O73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M74:M75"/>
    <mergeCell ref="N74:N75"/>
    <mergeCell ref="O74:O75"/>
    <mergeCell ref="P74:P75"/>
    <mergeCell ref="V72:V73"/>
    <mergeCell ref="W72:W73"/>
    <mergeCell ref="A74:A78"/>
    <mergeCell ref="B74:B78"/>
    <mergeCell ref="C74:C78"/>
    <mergeCell ref="D74:D78"/>
    <mergeCell ref="E74:E78"/>
    <mergeCell ref="F74:F78"/>
    <mergeCell ref="I74:I75"/>
    <mergeCell ref="J74:J75"/>
    <mergeCell ref="P72:P73"/>
    <mergeCell ref="Q72:Q73"/>
    <mergeCell ref="R72:R73"/>
    <mergeCell ref="S72:S73"/>
    <mergeCell ref="T72:T73"/>
    <mergeCell ref="U72:U73"/>
    <mergeCell ref="A69:A73"/>
    <mergeCell ref="B69:B73"/>
    <mergeCell ref="C69:C73"/>
    <mergeCell ref="D69:D73"/>
    <mergeCell ref="R77:R78"/>
    <mergeCell ref="S77:S78"/>
    <mergeCell ref="T77:T78"/>
    <mergeCell ref="U77:U78"/>
    <mergeCell ref="V77:V78"/>
    <mergeCell ref="W77:W78"/>
    <mergeCell ref="W74:W75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Q74:Q75"/>
    <mergeCell ref="R74:R75"/>
    <mergeCell ref="S74:S75"/>
    <mergeCell ref="T74:T75"/>
    <mergeCell ref="U74:U75"/>
    <mergeCell ref="V74:V75"/>
    <mergeCell ref="K74:K75"/>
    <mergeCell ref="L74:L75"/>
    <mergeCell ref="V79:V80"/>
    <mergeCell ref="W79:W80"/>
    <mergeCell ref="I82:I83"/>
    <mergeCell ref="J82:J83"/>
    <mergeCell ref="K82:K83"/>
    <mergeCell ref="L82:L83"/>
    <mergeCell ref="M82:M83"/>
    <mergeCell ref="N82:N83"/>
    <mergeCell ref="O82:O83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V82:V83"/>
    <mergeCell ref="W82:W83"/>
    <mergeCell ref="A84:A88"/>
    <mergeCell ref="B84:B88"/>
    <mergeCell ref="C84:C88"/>
    <mergeCell ref="D84:D88"/>
    <mergeCell ref="E84:E88"/>
    <mergeCell ref="F84:F88"/>
    <mergeCell ref="I84:I85"/>
    <mergeCell ref="J84:J85"/>
    <mergeCell ref="P82:P83"/>
    <mergeCell ref="Q82:Q83"/>
    <mergeCell ref="R82:R83"/>
    <mergeCell ref="S82:S83"/>
    <mergeCell ref="T82:T83"/>
    <mergeCell ref="U82:U83"/>
    <mergeCell ref="A79:A83"/>
    <mergeCell ref="B79:B83"/>
    <mergeCell ref="C79:C83"/>
    <mergeCell ref="D79:D83"/>
    <mergeCell ref="E79:E83"/>
    <mergeCell ref="F79:F83"/>
    <mergeCell ref="U79:U80"/>
    <mergeCell ref="W87:W88"/>
    <mergeCell ref="W84:W85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C89:C93"/>
    <mergeCell ref="D89:D93"/>
    <mergeCell ref="E89:E93"/>
    <mergeCell ref="F89:F93"/>
    <mergeCell ref="R87:R88"/>
    <mergeCell ref="S87:S88"/>
    <mergeCell ref="T87:T88"/>
    <mergeCell ref="U87:U88"/>
    <mergeCell ref="V87:V88"/>
    <mergeCell ref="U89:U90"/>
    <mergeCell ref="V89:V90"/>
    <mergeCell ref="W89:W90"/>
    <mergeCell ref="I92:I93"/>
    <mergeCell ref="J92:J93"/>
    <mergeCell ref="K92:K93"/>
    <mergeCell ref="L92:L93"/>
    <mergeCell ref="M92:M93"/>
    <mergeCell ref="N92:N93"/>
    <mergeCell ref="O92:O93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K94:K95"/>
    <mergeCell ref="L94:L95"/>
    <mergeCell ref="M94:M95"/>
    <mergeCell ref="N94:N95"/>
    <mergeCell ref="O94:O95"/>
    <mergeCell ref="P94:P95"/>
    <mergeCell ref="V92:V93"/>
    <mergeCell ref="W92:W93"/>
    <mergeCell ref="A94:A98"/>
    <mergeCell ref="B94:B98"/>
    <mergeCell ref="C94:C98"/>
    <mergeCell ref="D94:D98"/>
    <mergeCell ref="E94:E98"/>
    <mergeCell ref="F94:F98"/>
    <mergeCell ref="I94:I95"/>
    <mergeCell ref="J94:J95"/>
    <mergeCell ref="P92:P93"/>
    <mergeCell ref="Q92:Q93"/>
    <mergeCell ref="R92:R93"/>
    <mergeCell ref="S92:S93"/>
    <mergeCell ref="T92:T93"/>
    <mergeCell ref="U92:U93"/>
    <mergeCell ref="A89:A93"/>
    <mergeCell ref="B89:B93"/>
    <mergeCell ref="E99:E103"/>
    <mergeCell ref="F99:F103"/>
    <mergeCell ref="R97:R98"/>
    <mergeCell ref="S97:S98"/>
    <mergeCell ref="T97:T98"/>
    <mergeCell ref="U97:U98"/>
    <mergeCell ref="V97:V98"/>
    <mergeCell ref="W97:W98"/>
    <mergeCell ref="W94:W95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Q94:Q95"/>
    <mergeCell ref="R94:R95"/>
    <mergeCell ref="S94:S95"/>
    <mergeCell ref="T94:T95"/>
    <mergeCell ref="U94:U95"/>
    <mergeCell ref="V94:V95"/>
    <mergeCell ref="U99:U100"/>
    <mergeCell ref="V99:V100"/>
    <mergeCell ref="W99:W100"/>
    <mergeCell ref="I102:I103"/>
    <mergeCell ref="J102:J103"/>
    <mergeCell ref="K102:K103"/>
    <mergeCell ref="L102:L103"/>
    <mergeCell ref="M102:M103"/>
    <mergeCell ref="N102:N103"/>
    <mergeCell ref="O102:O103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M104:M105"/>
    <mergeCell ref="N104:N105"/>
    <mergeCell ref="O104:O105"/>
    <mergeCell ref="P104:P105"/>
    <mergeCell ref="V102:V103"/>
    <mergeCell ref="W102:W103"/>
    <mergeCell ref="A104:A108"/>
    <mergeCell ref="B104:B108"/>
    <mergeCell ref="C104:C108"/>
    <mergeCell ref="D104:D108"/>
    <mergeCell ref="E104:E108"/>
    <mergeCell ref="F104:F108"/>
    <mergeCell ref="I104:I105"/>
    <mergeCell ref="J104:J105"/>
    <mergeCell ref="P102:P103"/>
    <mergeCell ref="Q102:Q103"/>
    <mergeCell ref="R102:R103"/>
    <mergeCell ref="S102:S103"/>
    <mergeCell ref="T102:T103"/>
    <mergeCell ref="U102:U103"/>
    <mergeCell ref="A99:A103"/>
    <mergeCell ref="B99:B103"/>
    <mergeCell ref="C99:C103"/>
    <mergeCell ref="D99:D103"/>
    <mergeCell ref="R107:R108"/>
    <mergeCell ref="S107:S108"/>
    <mergeCell ref="T107:T108"/>
    <mergeCell ref="U107:U108"/>
    <mergeCell ref="V107:V108"/>
    <mergeCell ref="W107:W108"/>
    <mergeCell ref="W104:W105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V109:V110"/>
    <mergeCell ref="W109:W110"/>
    <mergeCell ref="I112:I113"/>
    <mergeCell ref="J112:J113"/>
    <mergeCell ref="K112:K113"/>
    <mergeCell ref="L112:L113"/>
    <mergeCell ref="M112:M113"/>
    <mergeCell ref="N112:N113"/>
    <mergeCell ref="O112:O113"/>
    <mergeCell ref="O109:O110"/>
    <mergeCell ref="P109:P110"/>
    <mergeCell ref="Q109:Q110"/>
    <mergeCell ref="R109:R110"/>
    <mergeCell ref="S109:S110"/>
    <mergeCell ref="T109:T110"/>
    <mergeCell ref="I109:I110"/>
    <mergeCell ref="J109:J110"/>
    <mergeCell ref="K109:K110"/>
    <mergeCell ref="L109:L110"/>
    <mergeCell ref="M109:M110"/>
    <mergeCell ref="N109:N110"/>
    <mergeCell ref="V112:V113"/>
    <mergeCell ref="W112:W113"/>
    <mergeCell ref="A114:F118"/>
    <mergeCell ref="I114:I115"/>
    <mergeCell ref="J114:J115"/>
    <mergeCell ref="K114:K115"/>
    <mergeCell ref="L114:L115"/>
    <mergeCell ref="M114:M115"/>
    <mergeCell ref="N114:N115"/>
    <mergeCell ref="O114:O115"/>
    <mergeCell ref="P112:P113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P114:P115"/>
    <mergeCell ref="Q112:Q113"/>
    <mergeCell ref="R112:R113"/>
    <mergeCell ref="S112:S113"/>
    <mergeCell ref="T112:T113"/>
    <mergeCell ref="U112:U113"/>
    <mergeCell ref="A109:A113"/>
    <mergeCell ref="B109:B113"/>
    <mergeCell ref="C109:C113"/>
    <mergeCell ref="D109:D113"/>
    <mergeCell ref="E109:E113"/>
    <mergeCell ref="F109:F113"/>
    <mergeCell ref="U109:U110"/>
    <mergeCell ref="W117:W118"/>
    <mergeCell ref="Q117:Q118"/>
    <mergeCell ref="R117:R118"/>
    <mergeCell ref="S117:S118"/>
    <mergeCell ref="T117:T118"/>
    <mergeCell ref="U117:U118"/>
    <mergeCell ref="V117:V118"/>
    <mergeCell ref="V114:V115"/>
    <mergeCell ref="W114:W115"/>
    <mergeCell ref="Q114:Q115"/>
    <mergeCell ref="R114:R115"/>
    <mergeCell ref="S114:S115"/>
    <mergeCell ref="T114:T115"/>
    <mergeCell ref="U114:U115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93"/>
  <sheetViews>
    <sheetView view="pageBreakPreview" zoomScaleNormal="100" zoomScaleSheetLayoutView="100" workbookViewId="0">
      <selection activeCell="F294" sqref="F294"/>
    </sheetView>
  </sheetViews>
  <sheetFormatPr defaultRowHeight="12.75"/>
  <cols>
    <col min="1" max="1" width="4.125" style="71" customWidth="1"/>
    <col min="2" max="2" width="6.25" style="72" customWidth="1"/>
    <col min="3" max="3" width="8.375" style="72" customWidth="1"/>
    <col min="4" max="4" width="38.5" style="72" customWidth="1"/>
    <col min="5" max="5" width="10.25" style="72" customWidth="1"/>
    <col min="6" max="6" width="2.25" style="72" customWidth="1"/>
    <col min="7" max="7" width="11.875" style="72" customWidth="1"/>
    <col min="8" max="8" width="11.75" style="72" customWidth="1"/>
    <col min="9" max="9" width="12.125" style="72" customWidth="1"/>
    <col min="10" max="10" width="12.875" style="72" customWidth="1"/>
    <col min="11" max="11" width="12" style="72" customWidth="1"/>
    <col min="12" max="12" width="30.25" style="72" customWidth="1"/>
    <col min="13" max="16384" width="9" style="72"/>
  </cols>
  <sheetData>
    <row r="1" spans="1:16" ht="13.15" customHeight="1">
      <c r="K1" s="4" t="s">
        <v>932</v>
      </c>
      <c r="L1" s="3"/>
    </row>
    <row r="2" spans="1:16" s="77" customFormat="1" ht="13.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4" t="s">
        <v>933</v>
      </c>
      <c r="L2" s="4"/>
    </row>
    <row r="3" spans="1:16" s="77" customFormat="1" ht="13.1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4" t="s">
        <v>375</v>
      </c>
      <c r="L3" s="4"/>
    </row>
    <row r="4" spans="1:16" s="77" customFormat="1" ht="2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6" s="74" customFormat="1" ht="30" customHeight="1">
      <c r="A5" s="953" t="s">
        <v>337</v>
      </c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73"/>
      <c r="N5" s="73"/>
      <c r="O5" s="73"/>
      <c r="P5" s="73"/>
    </row>
    <row r="6" spans="1:16" ht="11.25" customHeight="1">
      <c r="G6" s="78"/>
      <c r="L6" s="79" t="s">
        <v>0</v>
      </c>
    </row>
    <row r="7" spans="1:16" s="80" customFormat="1" ht="12.75" customHeight="1">
      <c r="A7" s="986" t="s">
        <v>209</v>
      </c>
      <c r="B7" s="986" t="s">
        <v>1</v>
      </c>
      <c r="C7" s="986" t="s">
        <v>2</v>
      </c>
      <c r="D7" s="986" t="s">
        <v>213</v>
      </c>
      <c r="E7" s="986" t="s">
        <v>214</v>
      </c>
      <c r="F7" s="983" t="s">
        <v>3</v>
      </c>
      <c r="G7" s="986" t="s">
        <v>215</v>
      </c>
      <c r="H7" s="986" t="s">
        <v>216</v>
      </c>
      <c r="I7" s="987" t="s">
        <v>217</v>
      </c>
      <c r="J7" s="987"/>
      <c r="K7" s="987"/>
      <c r="L7" s="986" t="s">
        <v>218</v>
      </c>
    </row>
    <row r="8" spans="1:16" s="80" customFormat="1" ht="12.75" customHeight="1">
      <c r="A8" s="986"/>
      <c r="B8" s="986"/>
      <c r="C8" s="986"/>
      <c r="D8" s="986"/>
      <c r="E8" s="986"/>
      <c r="F8" s="984"/>
      <c r="G8" s="986"/>
      <c r="H8" s="986"/>
      <c r="I8" s="986" t="s">
        <v>219</v>
      </c>
      <c r="J8" s="988" t="s">
        <v>220</v>
      </c>
      <c r="K8" s="988"/>
      <c r="L8" s="986"/>
    </row>
    <row r="9" spans="1:16" s="80" customFormat="1" ht="12.75" customHeight="1">
      <c r="A9" s="986"/>
      <c r="B9" s="986"/>
      <c r="C9" s="986"/>
      <c r="D9" s="986"/>
      <c r="E9" s="986"/>
      <c r="F9" s="984"/>
      <c r="G9" s="986"/>
      <c r="H9" s="986"/>
      <c r="I9" s="986"/>
      <c r="J9" s="986" t="s">
        <v>221</v>
      </c>
      <c r="K9" s="986" t="s">
        <v>222</v>
      </c>
      <c r="L9" s="986"/>
    </row>
    <row r="10" spans="1:16" s="81" customFormat="1" ht="15" customHeight="1">
      <c r="A10" s="986"/>
      <c r="B10" s="986"/>
      <c r="C10" s="986"/>
      <c r="D10" s="986"/>
      <c r="E10" s="986"/>
      <c r="F10" s="985"/>
      <c r="G10" s="986"/>
      <c r="H10" s="986"/>
      <c r="I10" s="986"/>
      <c r="J10" s="986"/>
      <c r="K10" s="986"/>
      <c r="L10" s="986"/>
    </row>
    <row r="11" spans="1:16" s="83" customFormat="1" ht="11.25" customHeight="1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/>
      <c r="G11" s="82">
        <v>6</v>
      </c>
      <c r="H11" s="82">
        <v>7</v>
      </c>
      <c r="I11" s="82">
        <v>8</v>
      </c>
      <c r="J11" s="82">
        <v>9</v>
      </c>
      <c r="K11" s="82">
        <v>10</v>
      </c>
      <c r="L11" s="82">
        <v>11</v>
      </c>
    </row>
    <row r="12" spans="1:16" ht="6.95" customHeight="1">
      <c r="A12" s="84"/>
      <c r="B12" s="85"/>
      <c r="C12" s="85"/>
      <c r="D12" s="85"/>
      <c r="E12" s="85"/>
      <c r="F12" s="84"/>
      <c r="G12" s="85"/>
      <c r="H12" s="85"/>
      <c r="I12" s="85"/>
      <c r="J12" s="85"/>
      <c r="K12" s="84"/>
      <c r="L12" s="85"/>
    </row>
    <row r="13" spans="1:16" s="88" customFormat="1" ht="15.6" customHeight="1">
      <c r="A13" s="966"/>
      <c r="B13" s="966"/>
      <c r="C13" s="966"/>
      <c r="D13" s="989" t="s">
        <v>4</v>
      </c>
      <c r="E13" s="966" t="s">
        <v>210</v>
      </c>
      <c r="F13" s="86" t="s">
        <v>5</v>
      </c>
      <c r="G13" s="966" t="s">
        <v>210</v>
      </c>
      <c r="H13" s="966" t="s">
        <v>210</v>
      </c>
      <c r="I13" s="87">
        <f t="shared" ref="I13:K14" si="0">I215+I369+I375+I381</f>
        <v>632852761</v>
      </c>
      <c r="J13" s="87">
        <f t="shared" si="0"/>
        <v>200683621</v>
      </c>
      <c r="K13" s="87">
        <f t="shared" si="0"/>
        <v>432169140</v>
      </c>
      <c r="L13" s="966" t="s">
        <v>210</v>
      </c>
    </row>
    <row r="14" spans="1:16" s="88" customFormat="1" ht="15.6" customHeight="1">
      <c r="A14" s="967"/>
      <c r="B14" s="967"/>
      <c r="C14" s="967"/>
      <c r="D14" s="990"/>
      <c r="E14" s="967"/>
      <c r="F14" s="86" t="s">
        <v>6</v>
      </c>
      <c r="G14" s="967"/>
      <c r="H14" s="967"/>
      <c r="I14" s="87">
        <f t="shared" si="0"/>
        <v>28407989</v>
      </c>
      <c r="J14" s="87">
        <f t="shared" si="0"/>
        <v>23267201</v>
      </c>
      <c r="K14" s="87">
        <f t="shared" si="0"/>
        <v>5140788</v>
      </c>
      <c r="L14" s="967"/>
    </row>
    <row r="15" spans="1:16" s="88" customFormat="1" ht="15.6" customHeight="1">
      <c r="A15" s="968"/>
      <c r="B15" s="968"/>
      <c r="C15" s="968"/>
      <c r="D15" s="991"/>
      <c r="E15" s="968"/>
      <c r="F15" s="86" t="s">
        <v>7</v>
      </c>
      <c r="G15" s="968"/>
      <c r="H15" s="968"/>
      <c r="I15" s="87">
        <f>I13+I14</f>
        <v>661260750</v>
      </c>
      <c r="J15" s="87">
        <f>J13+J14</f>
        <v>223950822</v>
      </c>
      <c r="K15" s="87">
        <f>K13+K14</f>
        <v>437309928</v>
      </c>
      <c r="L15" s="968"/>
    </row>
    <row r="16" spans="1:16" ht="6.95" customHeight="1">
      <c r="A16" s="84"/>
      <c r="B16" s="85"/>
      <c r="C16" s="85"/>
      <c r="D16" s="89"/>
      <c r="E16" s="90"/>
      <c r="F16" s="91"/>
      <c r="G16" s="85"/>
      <c r="H16" s="85"/>
      <c r="I16" s="85"/>
      <c r="J16" s="85"/>
      <c r="K16" s="84"/>
      <c r="L16" s="85"/>
    </row>
    <row r="17" spans="1:12" s="93" customFormat="1" ht="18" customHeight="1">
      <c r="A17" s="92" t="s">
        <v>223</v>
      </c>
      <c r="B17" s="976" t="s">
        <v>224</v>
      </c>
      <c r="C17" s="976"/>
      <c r="D17" s="976"/>
      <c r="E17" s="976"/>
      <c r="F17" s="976"/>
      <c r="G17" s="976"/>
      <c r="H17" s="976"/>
      <c r="I17" s="976"/>
      <c r="J17" s="976"/>
      <c r="K17" s="976"/>
      <c r="L17" s="976"/>
    </row>
    <row r="18" spans="1:12" ht="6.95" customHeight="1">
      <c r="A18" s="84"/>
      <c r="B18" s="94"/>
      <c r="C18" s="94"/>
      <c r="D18" s="85"/>
      <c r="E18" s="85"/>
      <c r="F18" s="84"/>
      <c r="G18" s="85"/>
      <c r="H18" s="85"/>
      <c r="I18" s="85"/>
      <c r="J18" s="85"/>
      <c r="K18" s="84"/>
      <c r="L18" s="85"/>
    </row>
    <row r="19" spans="1:12" s="97" customFormat="1" hidden="1">
      <c r="A19" s="926"/>
      <c r="B19" s="929" t="s">
        <v>8</v>
      </c>
      <c r="C19" s="929"/>
      <c r="D19" s="944" t="s">
        <v>9</v>
      </c>
      <c r="E19" s="926" t="s">
        <v>210</v>
      </c>
      <c r="F19" s="95" t="s">
        <v>5</v>
      </c>
      <c r="G19" s="96">
        <f>G22</f>
        <v>7483839</v>
      </c>
      <c r="H19" s="977" t="s">
        <v>210</v>
      </c>
      <c r="I19" s="96">
        <f t="shared" ref="I19:K20" si="1">I22</f>
        <v>7483839</v>
      </c>
      <c r="J19" s="96">
        <f t="shared" si="1"/>
        <v>7483839</v>
      </c>
      <c r="K19" s="96">
        <f t="shared" si="1"/>
        <v>0</v>
      </c>
      <c r="L19" s="926" t="s">
        <v>210</v>
      </c>
    </row>
    <row r="20" spans="1:12" s="97" customFormat="1" hidden="1">
      <c r="A20" s="927"/>
      <c r="B20" s="930"/>
      <c r="C20" s="930"/>
      <c r="D20" s="945"/>
      <c r="E20" s="927"/>
      <c r="F20" s="95" t="s">
        <v>6</v>
      </c>
      <c r="G20" s="96">
        <f>G23</f>
        <v>0</v>
      </c>
      <c r="H20" s="978"/>
      <c r="I20" s="96">
        <f t="shared" si="1"/>
        <v>0</v>
      </c>
      <c r="J20" s="96">
        <f t="shared" si="1"/>
        <v>0</v>
      </c>
      <c r="K20" s="96">
        <f t="shared" si="1"/>
        <v>0</v>
      </c>
      <c r="L20" s="927"/>
    </row>
    <row r="21" spans="1:12" s="97" customFormat="1" hidden="1">
      <c r="A21" s="928"/>
      <c r="B21" s="931"/>
      <c r="C21" s="931"/>
      <c r="D21" s="946"/>
      <c r="E21" s="928"/>
      <c r="F21" s="95" t="s">
        <v>7</v>
      </c>
      <c r="G21" s="96">
        <f>G19+G20</f>
        <v>7483839</v>
      </c>
      <c r="H21" s="979"/>
      <c r="I21" s="96">
        <f>I19+I20</f>
        <v>7483839</v>
      </c>
      <c r="J21" s="96">
        <f>J19+J20</f>
        <v>7483839</v>
      </c>
      <c r="K21" s="96">
        <f>K19+K20</f>
        <v>0</v>
      </c>
      <c r="L21" s="928"/>
    </row>
    <row r="22" spans="1:12" s="75" customFormat="1" ht="20.45" hidden="1" customHeight="1">
      <c r="A22" s="935">
        <v>1</v>
      </c>
      <c r="B22" s="938"/>
      <c r="C22" s="938" t="s">
        <v>10</v>
      </c>
      <c r="D22" s="941" t="s">
        <v>225</v>
      </c>
      <c r="E22" s="935">
        <v>2021</v>
      </c>
      <c r="F22" s="98" t="s">
        <v>5</v>
      </c>
      <c r="G22" s="99">
        <v>7483839</v>
      </c>
      <c r="H22" s="954" t="s">
        <v>210</v>
      </c>
      <c r="I22" s="99">
        <f>J22+K22</f>
        <v>7483839</v>
      </c>
      <c r="J22" s="99">
        <v>7483839</v>
      </c>
      <c r="K22" s="99">
        <v>0</v>
      </c>
      <c r="L22" s="941" t="s">
        <v>226</v>
      </c>
    </row>
    <row r="23" spans="1:12" s="75" customFormat="1" ht="20.45" hidden="1" customHeight="1">
      <c r="A23" s="936"/>
      <c r="B23" s="939"/>
      <c r="C23" s="939"/>
      <c r="D23" s="942"/>
      <c r="E23" s="936"/>
      <c r="F23" s="98" t="s">
        <v>6</v>
      </c>
      <c r="G23" s="99"/>
      <c r="H23" s="955"/>
      <c r="I23" s="99">
        <f>J23+K23</f>
        <v>0</v>
      </c>
      <c r="J23" s="99"/>
      <c r="K23" s="99"/>
      <c r="L23" s="942"/>
    </row>
    <row r="24" spans="1:12" s="75" customFormat="1" ht="20.45" hidden="1" customHeight="1">
      <c r="A24" s="937"/>
      <c r="B24" s="940"/>
      <c r="C24" s="940"/>
      <c r="D24" s="943"/>
      <c r="E24" s="937"/>
      <c r="F24" s="98" t="s">
        <v>7</v>
      </c>
      <c r="G24" s="99">
        <f>G22+G23</f>
        <v>7483839</v>
      </c>
      <c r="H24" s="956"/>
      <c r="I24" s="99">
        <f>I22+I23</f>
        <v>7483839</v>
      </c>
      <c r="J24" s="99">
        <f>J22+J23</f>
        <v>7483839</v>
      </c>
      <c r="K24" s="99">
        <f>K22+K23</f>
        <v>0</v>
      </c>
      <c r="L24" s="943"/>
    </row>
    <row r="25" spans="1:12" s="97" customFormat="1" ht="12.6" customHeight="1">
      <c r="A25" s="926"/>
      <c r="B25" s="929" t="s">
        <v>11</v>
      </c>
      <c r="C25" s="929"/>
      <c r="D25" s="944" t="s">
        <v>12</v>
      </c>
      <c r="E25" s="926" t="s">
        <v>210</v>
      </c>
      <c r="F25" s="95" t="s">
        <v>5</v>
      </c>
      <c r="G25" s="96">
        <f>G31+G34+G37+G40+G43+G46+G49+G28+G52+G55</f>
        <v>50681882</v>
      </c>
      <c r="H25" s="977" t="s">
        <v>210</v>
      </c>
      <c r="I25" s="96">
        <f t="shared" ref="I25:K26" si="2">I31+I34+I37+I40+I43+I46+I49+I28+I52+I55</f>
        <v>50681882</v>
      </c>
      <c r="J25" s="96">
        <f t="shared" si="2"/>
        <v>49670000</v>
      </c>
      <c r="K25" s="96">
        <f t="shared" si="2"/>
        <v>1011882</v>
      </c>
      <c r="L25" s="926" t="s">
        <v>210</v>
      </c>
    </row>
    <row r="26" spans="1:12" s="97" customFormat="1" ht="12.6" customHeight="1">
      <c r="A26" s="927"/>
      <c r="B26" s="930"/>
      <c r="C26" s="930"/>
      <c r="D26" s="945"/>
      <c r="E26" s="927"/>
      <c r="F26" s="95" t="s">
        <v>6</v>
      </c>
      <c r="G26" s="96">
        <f>G32+G35+G38+G41+G44+G47+G50+G29+G53+G56</f>
        <v>-5198867</v>
      </c>
      <c r="H26" s="978"/>
      <c r="I26" s="96">
        <f t="shared" si="2"/>
        <v>-5198867</v>
      </c>
      <c r="J26" s="96">
        <f t="shared" si="2"/>
        <v>-5198867</v>
      </c>
      <c r="K26" s="96">
        <f t="shared" si="2"/>
        <v>0</v>
      </c>
      <c r="L26" s="927"/>
    </row>
    <row r="27" spans="1:12" s="97" customFormat="1" ht="12.6" customHeight="1">
      <c r="A27" s="928"/>
      <c r="B27" s="931"/>
      <c r="C27" s="931"/>
      <c r="D27" s="946"/>
      <c r="E27" s="928"/>
      <c r="F27" s="95" t="s">
        <v>7</v>
      </c>
      <c r="G27" s="96">
        <f>G25+G26</f>
        <v>45483015</v>
      </c>
      <c r="H27" s="979"/>
      <c r="I27" s="96">
        <f>I25+I26</f>
        <v>45483015</v>
      </c>
      <c r="J27" s="96">
        <f>J25+J26</f>
        <v>44471133</v>
      </c>
      <c r="K27" s="96">
        <f>K25+K26</f>
        <v>1011882</v>
      </c>
      <c r="L27" s="928"/>
    </row>
    <row r="28" spans="1:12" s="75" customFormat="1" ht="12.6" customHeight="1">
      <c r="A28" s="935">
        <v>1</v>
      </c>
      <c r="B28" s="938"/>
      <c r="C28" s="938" t="s">
        <v>98</v>
      </c>
      <c r="D28" s="941" t="s">
        <v>371</v>
      </c>
      <c r="E28" s="935">
        <v>2021</v>
      </c>
      <c r="F28" s="98" t="s">
        <v>5</v>
      </c>
      <c r="G28" s="99">
        <v>11070000</v>
      </c>
      <c r="H28" s="954" t="s">
        <v>210</v>
      </c>
      <c r="I28" s="99">
        <f>J28+K28</f>
        <v>11070000</v>
      </c>
      <c r="J28" s="99">
        <v>11070000</v>
      </c>
      <c r="K28" s="99">
        <v>0</v>
      </c>
      <c r="L28" s="941" t="s">
        <v>226</v>
      </c>
    </row>
    <row r="29" spans="1:12" s="75" customFormat="1" ht="12.6" customHeight="1">
      <c r="A29" s="936"/>
      <c r="B29" s="939"/>
      <c r="C29" s="939"/>
      <c r="D29" s="942"/>
      <c r="E29" s="936"/>
      <c r="F29" s="98" t="s">
        <v>6</v>
      </c>
      <c r="G29" s="99">
        <v>-11070000</v>
      </c>
      <c r="H29" s="955"/>
      <c r="I29" s="99">
        <f>J29+K29</f>
        <v>-11070000</v>
      </c>
      <c r="J29" s="99">
        <v>-11070000</v>
      </c>
      <c r="K29" s="99"/>
      <c r="L29" s="942"/>
    </row>
    <row r="30" spans="1:12" s="75" customFormat="1" ht="12.6" customHeight="1">
      <c r="A30" s="937"/>
      <c r="B30" s="940"/>
      <c r="C30" s="940"/>
      <c r="D30" s="943"/>
      <c r="E30" s="937"/>
      <c r="F30" s="98" t="s">
        <v>7</v>
      </c>
      <c r="G30" s="99">
        <f>G28+G29</f>
        <v>0</v>
      </c>
      <c r="H30" s="956"/>
      <c r="I30" s="99">
        <f>I28+I29</f>
        <v>0</v>
      </c>
      <c r="J30" s="99">
        <f>J28+J29</f>
        <v>0</v>
      </c>
      <c r="K30" s="99">
        <f>K28+K29</f>
        <v>0</v>
      </c>
      <c r="L30" s="943"/>
    </row>
    <row r="31" spans="1:12" s="75" customFormat="1" ht="12.6" customHeight="1">
      <c r="A31" s="935">
        <v>2</v>
      </c>
      <c r="B31" s="938"/>
      <c r="C31" s="938" t="s">
        <v>13</v>
      </c>
      <c r="D31" s="941" t="s">
        <v>227</v>
      </c>
      <c r="E31" s="935">
        <v>2021</v>
      </c>
      <c r="F31" s="98" t="s">
        <v>5</v>
      </c>
      <c r="G31" s="99">
        <v>11000000</v>
      </c>
      <c r="H31" s="954" t="s">
        <v>210</v>
      </c>
      <c r="I31" s="99">
        <f t="shared" ref="I31:I50" si="3">J31+K31</f>
        <v>11000000</v>
      </c>
      <c r="J31" s="99">
        <v>11000000</v>
      </c>
      <c r="K31" s="99">
        <v>0</v>
      </c>
      <c r="L31" s="941" t="s">
        <v>228</v>
      </c>
    </row>
    <row r="32" spans="1:12" s="75" customFormat="1" ht="12.6" customHeight="1">
      <c r="A32" s="936"/>
      <c r="B32" s="939"/>
      <c r="C32" s="939"/>
      <c r="D32" s="942"/>
      <c r="E32" s="936"/>
      <c r="F32" s="98" t="s">
        <v>6</v>
      </c>
      <c r="G32" s="99">
        <v>70000</v>
      </c>
      <c r="H32" s="955"/>
      <c r="I32" s="99">
        <f t="shared" si="3"/>
        <v>70000</v>
      </c>
      <c r="J32" s="99">
        <v>70000</v>
      </c>
      <c r="K32" s="99"/>
      <c r="L32" s="942"/>
    </row>
    <row r="33" spans="1:12" s="75" customFormat="1" ht="12.6" customHeight="1">
      <c r="A33" s="937"/>
      <c r="B33" s="940"/>
      <c r="C33" s="940"/>
      <c r="D33" s="943"/>
      <c r="E33" s="937"/>
      <c r="F33" s="98" t="s">
        <v>7</v>
      </c>
      <c r="G33" s="99">
        <f>G31+G32</f>
        <v>11070000</v>
      </c>
      <c r="H33" s="956"/>
      <c r="I33" s="99">
        <f>I31+I32</f>
        <v>11070000</v>
      </c>
      <c r="J33" s="99">
        <f>J31+J32</f>
        <v>11070000</v>
      </c>
      <c r="K33" s="99">
        <f>K31+K32</f>
        <v>0</v>
      </c>
      <c r="L33" s="943"/>
    </row>
    <row r="34" spans="1:12" s="75" customFormat="1" hidden="1">
      <c r="A34" s="935">
        <v>2</v>
      </c>
      <c r="B34" s="938"/>
      <c r="C34" s="938" t="s">
        <v>13</v>
      </c>
      <c r="D34" s="941" t="s">
        <v>229</v>
      </c>
      <c r="E34" s="935">
        <v>2021</v>
      </c>
      <c r="F34" s="98" t="s">
        <v>5</v>
      </c>
      <c r="G34" s="99">
        <v>4500000</v>
      </c>
      <c r="H34" s="954" t="s">
        <v>210</v>
      </c>
      <c r="I34" s="99">
        <f t="shared" si="3"/>
        <v>4500000</v>
      </c>
      <c r="J34" s="99">
        <v>4500000</v>
      </c>
      <c r="K34" s="99">
        <v>0</v>
      </c>
      <c r="L34" s="941" t="s">
        <v>228</v>
      </c>
    </row>
    <row r="35" spans="1:12" s="75" customFormat="1" hidden="1">
      <c r="A35" s="936"/>
      <c r="B35" s="939"/>
      <c r="C35" s="939"/>
      <c r="D35" s="942"/>
      <c r="E35" s="936"/>
      <c r="F35" s="98" t="s">
        <v>6</v>
      </c>
      <c r="G35" s="99"/>
      <c r="H35" s="955"/>
      <c r="I35" s="99">
        <f t="shared" si="3"/>
        <v>0</v>
      </c>
      <c r="J35" s="99"/>
      <c r="K35" s="99"/>
      <c r="L35" s="942"/>
    </row>
    <row r="36" spans="1:12" s="75" customFormat="1" hidden="1">
      <c r="A36" s="937"/>
      <c r="B36" s="940"/>
      <c r="C36" s="940"/>
      <c r="D36" s="943"/>
      <c r="E36" s="937"/>
      <c r="F36" s="98" t="s">
        <v>7</v>
      </c>
      <c r="G36" s="99">
        <f>G34+G35</f>
        <v>4500000</v>
      </c>
      <c r="H36" s="956"/>
      <c r="I36" s="99">
        <f>I34+I35</f>
        <v>4500000</v>
      </c>
      <c r="J36" s="99">
        <f>J34+J35</f>
        <v>4500000</v>
      </c>
      <c r="K36" s="99">
        <f>K34+K35</f>
        <v>0</v>
      </c>
      <c r="L36" s="943"/>
    </row>
    <row r="37" spans="1:12" s="75" customFormat="1" hidden="1">
      <c r="A37" s="935">
        <v>1</v>
      </c>
      <c r="B37" s="938"/>
      <c r="C37" s="938" t="s">
        <v>13</v>
      </c>
      <c r="D37" s="941" t="s">
        <v>230</v>
      </c>
      <c r="E37" s="935">
        <v>2021</v>
      </c>
      <c r="F37" s="98" t="s">
        <v>5</v>
      </c>
      <c r="G37" s="99">
        <v>2511882</v>
      </c>
      <c r="H37" s="954" t="s">
        <v>210</v>
      </c>
      <c r="I37" s="99">
        <f t="shared" si="3"/>
        <v>2511882</v>
      </c>
      <c r="J37" s="99">
        <v>1500000</v>
      </c>
      <c r="K37" s="99">
        <v>1011882</v>
      </c>
      <c r="L37" s="941" t="s">
        <v>228</v>
      </c>
    </row>
    <row r="38" spans="1:12" s="75" customFormat="1" hidden="1">
      <c r="A38" s="936"/>
      <c r="B38" s="939"/>
      <c r="C38" s="939"/>
      <c r="D38" s="942"/>
      <c r="E38" s="936"/>
      <c r="F38" s="98" t="s">
        <v>6</v>
      </c>
      <c r="G38" s="99"/>
      <c r="H38" s="955"/>
      <c r="I38" s="99">
        <f t="shared" si="3"/>
        <v>0</v>
      </c>
      <c r="J38" s="99"/>
      <c r="K38" s="99"/>
      <c r="L38" s="942"/>
    </row>
    <row r="39" spans="1:12" s="75" customFormat="1" hidden="1">
      <c r="A39" s="937"/>
      <c r="B39" s="940"/>
      <c r="C39" s="940"/>
      <c r="D39" s="943"/>
      <c r="E39" s="937"/>
      <c r="F39" s="98" t="s">
        <v>7</v>
      </c>
      <c r="G39" s="99">
        <f>G37+G38</f>
        <v>2511882</v>
      </c>
      <c r="H39" s="956"/>
      <c r="I39" s="99">
        <f>I37+I38</f>
        <v>2511882</v>
      </c>
      <c r="J39" s="99">
        <f>J37+J38</f>
        <v>1500000</v>
      </c>
      <c r="K39" s="99">
        <f>K37+K38</f>
        <v>1011882</v>
      </c>
      <c r="L39" s="943"/>
    </row>
    <row r="40" spans="1:12" s="75" customFormat="1">
      <c r="A40" s="935">
        <v>3</v>
      </c>
      <c r="B40" s="938"/>
      <c r="C40" s="938" t="s">
        <v>13</v>
      </c>
      <c r="D40" s="941" t="s">
        <v>231</v>
      </c>
      <c r="E40" s="935">
        <v>2021</v>
      </c>
      <c r="F40" s="98" t="s">
        <v>5</v>
      </c>
      <c r="G40" s="99">
        <v>10000000</v>
      </c>
      <c r="H40" s="954" t="s">
        <v>210</v>
      </c>
      <c r="I40" s="99">
        <f t="shared" si="3"/>
        <v>10000000</v>
      </c>
      <c r="J40" s="99">
        <v>10000000</v>
      </c>
      <c r="K40" s="99">
        <v>0</v>
      </c>
      <c r="L40" s="941" t="s">
        <v>228</v>
      </c>
    </row>
    <row r="41" spans="1:12" s="75" customFormat="1">
      <c r="A41" s="936"/>
      <c r="B41" s="939"/>
      <c r="C41" s="939"/>
      <c r="D41" s="942"/>
      <c r="E41" s="936"/>
      <c r="F41" s="98" t="s">
        <v>6</v>
      </c>
      <c r="G41" s="99">
        <v>2250000</v>
      </c>
      <c r="H41" s="955"/>
      <c r="I41" s="99">
        <f t="shared" si="3"/>
        <v>2250000</v>
      </c>
      <c r="J41" s="99">
        <v>2250000</v>
      </c>
      <c r="K41" s="99"/>
      <c r="L41" s="942"/>
    </row>
    <row r="42" spans="1:12" s="75" customFormat="1">
      <c r="A42" s="937"/>
      <c r="B42" s="940"/>
      <c r="C42" s="940"/>
      <c r="D42" s="943"/>
      <c r="E42" s="937"/>
      <c r="F42" s="98" t="s">
        <v>7</v>
      </c>
      <c r="G42" s="99">
        <f>G40+G41</f>
        <v>12250000</v>
      </c>
      <c r="H42" s="956"/>
      <c r="I42" s="99">
        <f>I40+I41</f>
        <v>12250000</v>
      </c>
      <c r="J42" s="99">
        <f>J40+J41</f>
        <v>12250000</v>
      </c>
      <c r="K42" s="99">
        <f>K40+K41</f>
        <v>0</v>
      </c>
      <c r="L42" s="943"/>
    </row>
    <row r="43" spans="1:12" s="75" customFormat="1">
      <c r="A43" s="935">
        <v>4</v>
      </c>
      <c r="B43" s="938"/>
      <c r="C43" s="938" t="s">
        <v>13</v>
      </c>
      <c r="D43" s="941" t="s">
        <v>232</v>
      </c>
      <c r="E43" s="935">
        <v>2021</v>
      </c>
      <c r="F43" s="98" t="s">
        <v>5</v>
      </c>
      <c r="G43" s="99">
        <v>10000000</v>
      </c>
      <c r="H43" s="954" t="s">
        <v>210</v>
      </c>
      <c r="I43" s="99">
        <f>J43+K43</f>
        <v>10000000</v>
      </c>
      <c r="J43" s="99">
        <v>10000000</v>
      </c>
      <c r="K43" s="99">
        <v>0</v>
      </c>
      <c r="L43" s="941" t="s">
        <v>228</v>
      </c>
    </row>
    <row r="44" spans="1:12" s="75" customFormat="1">
      <c r="A44" s="936"/>
      <c r="B44" s="939"/>
      <c r="C44" s="939"/>
      <c r="D44" s="942"/>
      <c r="E44" s="936"/>
      <c r="F44" s="98" t="s">
        <v>6</v>
      </c>
      <c r="G44" s="99">
        <v>2250000</v>
      </c>
      <c r="H44" s="955"/>
      <c r="I44" s="99">
        <f>J44+K44</f>
        <v>2250000</v>
      </c>
      <c r="J44" s="99">
        <v>2250000</v>
      </c>
      <c r="K44" s="99"/>
      <c r="L44" s="942"/>
    </row>
    <row r="45" spans="1:12" s="75" customFormat="1">
      <c r="A45" s="937"/>
      <c r="B45" s="940"/>
      <c r="C45" s="940"/>
      <c r="D45" s="943"/>
      <c r="E45" s="937"/>
      <c r="F45" s="98" t="s">
        <v>7</v>
      </c>
      <c r="G45" s="99">
        <f>G43+G44</f>
        <v>12250000</v>
      </c>
      <c r="H45" s="956"/>
      <c r="I45" s="99">
        <f>I43+I44</f>
        <v>12250000</v>
      </c>
      <c r="J45" s="99">
        <f>J43+J44</f>
        <v>12250000</v>
      </c>
      <c r="K45" s="99">
        <f>K43+K44</f>
        <v>0</v>
      </c>
      <c r="L45" s="943"/>
    </row>
    <row r="46" spans="1:12" s="75" customFormat="1" hidden="1">
      <c r="A46" s="935">
        <v>3</v>
      </c>
      <c r="B46" s="938"/>
      <c r="C46" s="938" t="s">
        <v>13</v>
      </c>
      <c r="D46" s="941" t="s">
        <v>233</v>
      </c>
      <c r="E46" s="935">
        <v>2021</v>
      </c>
      <c r="F46" s="98" t="s">
        <v>5</v>
      </c>
      <c r="G46" s="99">
        <v>0</v>
      </c>
      <c r="H46" s="954" t="s">
        <v>210</v>
      </c>
      <c r="I46" s="99">
        <f t="shared" si="3"/>
        <v>0</v>
      </c>
      <c r="J46" s="99">
        <v>0</v>
      </c>
      <c r="K46" s="99">
        <v>0</v>
      </c>
      <c r="L46" s="941" t="s">
        <v>228</v>
      </c>
    </row>
    <row r="47" spans="1:12" s="75" customFormat="1" hidden="1">
      <c r="A47" s="936"/>
      <c r="B47" s="939"/>
      <c r="C47" s="939"/>
      <c r="D47" s="942"/>
      <c r="E47" s="936"/>
      <c r="F47" s="98" t="s">
        <v>6</v>
      </c>
      <c r="G47" s="99"/>
      <c r="H47" s="955"/>
      <c r="I47" s="99">
        <f t="shared" si="3"/>
        <v>0</v>
      </c>
      <c r="J47" s="99"/>
      <c r="K47" s="99"/>
      <c r="L47" s="942"/>
    </row>
    <row r="48" spans="1:12" s="75" customFormat="1" hidden="1">
      <c r="A48" s="937"/>
      <c r="B48" s="940"/>
      <c r="C48" s="940"/>
      <c r="D48" s="943"/>
      <c r="E48" s="937"/>
      <c r="F48" s="98" t="s">
        <v>7</v>
      </c>
      <c r="G48" s="99">
        <f>G46+G47</f>
        <v>0</v>
      </c>
      <c r="H48" s="956"/>
      <c r="I48" s="99">
        <f>I46+I47</f>
        <v>0</v>
      </c>
      <c r="J48" s="99">
        <f>J46+J47</f>
        <v>0</v>
      </c>
      <c r="K48" s="99">
        <f>K46+K47</f>
        <v>0</v>
      </c>
      <c r="L48" s="943"/>
    </row>
    <row r="49" spans="1:12" s="75" customFormat="1" ht="12.6" customHeight="1">
      <c r="A49" s="935">
        <v>5</v>
      </c>
      <c r="B49" s="938"/>
      <c r="C49" s="938" t="s">
        <v>13</v>
      </c>
      <c r="D49" s="941" t="s">
        <v>234</v>
      </c>
      <c r="E49" s="935">
        <v>2021</v>
      </c>
      <c r="F49" s="98" t="s">
        <v>5</v>
      </c>
      <c r="G49" s="99">
        <v>1600000</v>
      </c>
      <c r="H49" s="954" t="s">
        <v>210</v>
      </c>
      <c r="I49" s="99">
        <f t="shared" si="3"/>
        <v>1600000</v>
      </c>
      <c r="J49" s="99">
        <v>1600000</v>
      </c>
      <c r="K49" s="99">
        <v>0</v>
      </c>
      <c r="L49" s="941" t="s">
        <v>228</v>
      </c>
    </row>
    <row r="50" spans="1:12" s="75" customFormat="1" ht="12.6" customHeight="1">
      <c r="A50" s="936"/>
      <c r="B50" s="939"/>
      <c r="C50" s="939"/>
      <c r="D50" s="942"/>
      <c r="E50" s="936"/>
      <c r="F50" s="98" t="s">
        <v>6</v>
      </c>
      <c r="G50" s="99">
        <v>-400000</v>
      </c>
      <c r="H50" s="955"/>
      <c r="I50" s="99">
        <f t="shared" si="3"/>
        <v>-400000</v>
      </c>
      <c r="J50" s="99">
        <v>-400000</v>
      </c>
      <c r="K50" s="99"/>
      <c r="L50" s="942"/>
    </row>
    <row r="51" spans="1:12" s="75" customFormat="1" ht="12.6" customHeight="1">
      <c r="A51" s="937"/>
      <c r="B51" s="940"/>
      <c r="C51" s="940"/>
      <c r="D51" s="943"/>
      <c r="E51" s="937"/>
      <c r="F51" s="98" t="s">
        <v>7</v>
      </c>
      <c r="G51" s="99">
        <f>G49+G50</f>
        <v>1200000</v>
      </c>
      <c r="H51" s="956"/>
      <c r="I51" s="99">
        <f>I49+I50</f>
        <v>1200000</v>
      </c>
      <c r="J51" s="99">
        <f>J49+J50</f>
        <v>1200000</v>
      </c>
      <c r="K51" s="99">
        <f>K49+K50</f>
        <v>0</v>
      </c>
      <c r="L51" s="943"/>
    </row>
    <row r="52" spans="1:12" s="75" customFormat="1" ht="17.100000000000001" customHeight="1">
      <c r="A52" s="935">
        <v>6</v>
      </c>
      <c r="B52" s="938"/>
      <c r="C52" s="938" t="s">
        <v>13</v>
      </c>
      <c r="D52" s="941" t="s">
        <v>379</v>
      </c>
      <c r="E52" s="935">
        <v>2021</v>
      </c>
      <c r="F52" s="98" t="s">
        <v>5</v>
      </c>
      <c r="G52" s="99">
        <v>0</v>
      </c>
      <c r="H52" s="954" t="s">
        <v>210</v>
      </c>
      <c r="I52" s="99">
        <f>J52+K52</f>
        <v>0</v>
      </c>
      <c r="J52" s="99">
        <v>0</v>
      </c>
      <c r="K52" s="99">
        <v>0</v>
      </c>
      <c r="L52" s="941" t="s">
        <v>228</v>
      </c>
    </row>
    <row r="53" spans="1:12" s="75" customFormat="1" ht="17.100000000000001" customHeight="1">
      <c r="A53" s="936"/>
      <c r="B53" s="939"/>
      <c r="C53" s="939"/>
      <c r="D53" s="942"/>
      <c r="E53" s="936"/>
      <c r="F53" s="98" t="s">
        <v>6</v>
      </c>
      <c r="G53" s="99">
        <v>191133</v>
      </c>
      <c r="H53" s="955"/>
      <c r="I53" s="99">
        <f>J53+K53</f>
        <v>191133</v>
      </c>
      <c r="J53" s="99">
        <v>191133</v>
      </c>
      <c r="K53" s="99"/>
      <c r="L53" s="942"/>
    </row>
    <row r="54" spans="1:12" s="75" customFormat="1" ht="17.100000000000001" customHeight="1">
      <c r="A54" s="937"/>
      <c r="B54" s="940"/>
      <c r="C54" s="940"/>
      <c r="D54" s="943"/>
      <c r="E54" s="937"/>
      <c r="F54" s="98" t="s">
        <v>7</v>
      </c>
      <c r="G54" s="99">
        <f>G52+G53</f>
        <v>191133</v>
      </c>
      <c r="H54" s="956"/>
      <c r="I54" s="99">
        <f>I52+I53</f>
        <v>191133</v>
      </c>
      <c r="J54" s="99">
        <f>J52+J53</f>
        <v>191133</v>
      </c>
      <c r="K54" s="99">
        <f>K52+K53</f>
        <v>0</v>
      </c>
      <c r="L54" s="943"/>
    </row>
    <row r="55" spans="1:12" s="75" customFormat="1" ht="12.6" customHeight="1">
      <c r="A55" s="935">
        <v>7</v>
      </c>
      <c r="B55" s="938"/>
      <c r="C55" s="938" t="s">
        <v>13</v>
      </c>
      <c r="D55" s="941" t="s">
        <v>386</v>
      </c>
      <c r="E55" s="935">
        <v>2021</v>
      </c>
      <c r="F55" s="98" t="s">
        <v>5</v>
      </c>
      <c r="G55" s="99">
        <v>0</v>
      </c>
      <c r="H55" s="954" t="s">
        <v>210</v>
      </c>
      <c r="I55" s="99">
        <f>J55+K55</f>
        <v>0</v>
      </c>
      <c r="J55" s="99">
        <v>0</v>
      </c>
      <c r="K55" s="99">
        <v>0</v>
      </c>
      <c r="L55" s="941" t="s">
        <v>228</v>
      </c>
    </row>
    <row r="56" spans="1:12" s="75" customFormat="1" ht="12.6" customHeight="1">
      <c r="A56" s="936"/>
      <c r="B56" s="939"/>
      <c r="C56" s="939"/>
      <c r="D56" s="942"/>
      <c r="E56" s="936"/>
      <c r="F56" s="98" t="s">
        <v>6</v>
      </c>
      <c r="G56" s="99">
        <v>1510000</v>
      </c>
      <c r="H56" s="955"/>
      <c r="I56" s="99">
        <f>J56+K56</f>
        <v>1510000</v>
      </c>
      <c r="J56" s="99">
        <v>1510000</v>
      </c>
      <c r="K56" s="99"/>
      <c r="L56" s="942"/>
    </row>
    <row r="57" spans="1:12" s="75" customFormat="1" ht="12.6" customHeight="1">
      <c r="A57" s="937"/>
      <c r="B57" s="940"/>
      <c r="C57" s="940"/>
      <c r="D57" s="943"/>
      <c r="E57" s="937"/>
      <c r="F57" s="98" t="s">
        <v>7</v>
      </c>
      <c r="G57" s="99">
        <f>G55+G56</f>
        <v>1510000</v>
      </c>
      <c r="H57" s="956"/>
      <c r="I57" s="99">
        <f>I55+I56</f>
        <v>1510000</v>
      </c>
      <c r="J57" s="99">
        <f>J55+J56</f>
        <v>1510000</v>
      </c>
      <c r="K57" s="99">
        <f>K55+K56</f>
        <v>0</v>
      </c>
      <c r="L57" s="943"/>
    </row>
    <row r="58" spans="1:12" s="97" customFormat="1" ht="12.6" customHeight="1">
      <c r="A58" s="926"/>
      <c r="B58" s="929" t="s">
        <v>14</v>
      </c>
      <c r="C58" s="929"/>
      <c r="D58" s="944" t="s">
        <v>15</v>
      </c>
      <c r="E58" s="926" t="s">
        <v>210</v>
      </c>
      <c r="F58" s="95" t="s">
        <v>5</v>
      </c>
      <c r="G58" s="96">
        <f>G61+G64</f>
        <v>22755</v>
      </c>
      <c r="H58" s="977" t="s">
        <v>210</v>
      </c>
      <c r="I58" s="96">
        <f t="shared" ref="I58:K59" si="4">I61+I64</f>
        <v>22755</v>
      </c>
      <c r="J58" s="96">
        <f t="shared" si="4"/>
        <v>22755</v>
      </c>
      <c r="K58" s="96">
        <f t="shared" si="4"/>
        <v>0</v>
      </c>
      <c r="L58" s="926" t="s">
        <v>210</v>
      </c>
    </row>
    <row r="59" spans="1:12" s="97" customFormat="1" ht="12.6" customHeight="1">
      <c r="A59" s="927"/>
      <c r="B59" s="930"/>
      <c r="C59" s="930"/>
      <c r="D59" s="945"/>
      <c r="E59" s="927"/>
      <c r="F59" s="95" t="s">
        <v>6</v>
      </c>
      <c r="G59" s="96">
        <f>G62+G65</f>
        <v>50000</v>
      </c>
      <c r="H59" s="978"/>
      <c r="I59" s="96">
        <f t="shared" si="4"/>
        <v>50000</v>
      </c>
      <c r="J59" s="96">
        <f t="shared" si="4"/>
        <v>50000</v>
      </c>
      <c r="K59" s="96">
        <f t="shared" si="4"/>
        <v>0</v>
      </c>
      <c r="L59" s="927"/>
    </row>
    <row r="60" spans="1:12" s="97" customFormat="1" ht="12.6" customHeight="1">
      <c r="A60" s="928"/>
      <c r="B60" s="931"/>
      <c r="C60" s="931"/>
      <c r="D60" s="946"/>
      <c r="E60" s="928"/>
      <c r="F60" s="95" t="s">
        <v>7</v>
      </c>
      <c r="G60" s="96">
        <f>G58+G59</f>
        <v>72755</v>
      </c>
      <c r="H60" s="979"/>
      <c r="I60" s="96">
        <f>I58+I59</f>
        <v>72755</v>
      </c>
      <c r="J60" s="96">
        <f>J58+J59</f>
        <v>72755</v>
      </c>
      <c r="K60" s="96">
        <f>K58+K59</f>
        <v>0</v>
      </c>
      <c r="L60" s="928"/>
    </row>
    <row r="61" spans="1:12" s="75" customFormat="1" hidden="1">
      <c r="A61" s="935">
        <v>5</v>
      </c>
      <c r="B61" s="938"/>
      <c r="C61" s="938" t="s">
        <v>16</v>
      </c>
      <c r="D61" s="941" t="s">
        <v>345</v>
      </c>
      <c r="E61" s="935">
        <v>2021</v>
      </c>
      <c r="F61" s="98" t="s">
        <v>5</v>
      </c>
      <c r="G61" s="99">
        <v>22755</v>
      </c>
      <c r="H61" s="954" t="s">
        <v>210</v>
      </c>
      <c r="I61" s="99">
        <f>J61+K61</f>
        <v>22755</v>
      </c>
      <c r="J61" s="99">
        <v>22755</v>
      </c>
      <c r="K61" s="99">
        <v>0</v>
      </c>
      <c r="L61" s="941" t="s">
        <v>226</v>
      </c>
    </row>
    <row r="62" spans="1:12" s="75" customFormat="1" hidden="1">
      <c r="A62" s="936"/>
      <c r="B62" s="939"/>
      <c r="C62" s="939"/>
      <c r="D62" s="942"/>
      <c r="E62" s="936"/>
      <c r="F62" s="98" t="s">
        <v>6</v>
      </c>
      <c r="G62" s="99"/>
      <c r="H62" s="955"/>
      <c r="I62" s="99">
        <f>J62+K62</f>
        <v>0</v>
      </c>
      <c r="J62" s="99"/>
      <c r="K62" s="99"/>
      <c r="L62" s="942"/>
    </row>
    <row r="63" spans="1:12" s="75" customFormat="1" hidden="1">
      <c r="A63" s="937"/>
      <c r="B63" s="940"/>
      <c r="C63" s="940"/>
      <c r="D63" s="943"/>
      <c r="E63" s="937"/>
      <c r="F63" s="98" t="s">
        <v>7</v>
      </c>
      <c r="G63" s="99">
        <f>G61+G62</f>
        <v>22755</v>
      </c>
      <c r="H63" s="956"/>
      <c r="I63" s="99">
        <f>I61+I62</f>
        <v>22755</v>
      </c>
      <c r="J63" s="99">
        <f>J61+J62</f>
        <v>22755</v>
      </c>
      <c r="K63" s="99">
        <f>K61+K62</f>
        <v>0</v>
      </c>
      <c r="L63" s="943"/>
    </row>
    <row r="64" spans="1:12" s="75" customFormat="1">
      <c r="A64" s="935">
        <v>8</v>
      </c>
      <c r="B64" s="938"/>
      <c r="C64" s="938" t="s">
        <v>16</v>
      </c>
      <c r="D64" s="941" t="s">
        <v>389</v>
      </c>
      <c r="E64" s="935">
        <v>2021</v>
      </c>
      <c r="F64" s="98" t="s">
        <v>5</v>
      </c>
      <c r="G64" s="99">
        <v>0</v>
      </c>
      <c r="H64" s="954" t="s">
        <v>210</v>
      </c>
      <c r="I64" s="99">
        <f>J64+K64</f>
        <v>0</v>
      </c>
      <c r="J64" s="99">
        <v>0</v>
      </c>
      <c r="K64" s="99">
        <v>0</v>
      </c>
      <c r="L64" s="941" t="s">
        <v>226</v>
      </c>
    </row>
    <row r="65" spans="1:12" s="75" customFormat="1">
      <c r="A65" s="936"/>
      <c r="B65" s="939"/>
      <c r="C65" s="939"/>
      <c r="D65" s="942"/>
      <c r="E65" s="936"/>
      <c r="F65" s="98" t="s">
        <v>6</v>
      </c>
      <c r="G65" s="99">
        <v>50000</v>
      </c>
      <c r="H65" s="955"/>
      <c r="I65" s="99">
        <f>J65+K65</f>
        <v>50000</v>
      </c>
      <c r="J65" s="99">
        <v>50000</v>
      </c>
      <c r="K65" s="99"/>
      <c r="L65" s="942"/>
    </row>
    <row r="66" spans="1:12" s="75" customFormat="1">
      <c r="A66" s="937"/>
      <c r="B66" s="940"/>
      <c r="C66" s="940"/>
      <c r="D66" s="943"/>
      <c r="E66" s="937"/>
      <c r="F66" s="101" t="s">
        <v>7</v>
      </c>
      <c r="G66" s="99">
        <f>G64+G65</f>
        <v>50000</v>
      </c>
      <c r="H66" s="956"/>
      <c r="I66" s="99">
        <f>I64+I65</f>
        <v>50000</v>
      </c>
      <c r="J66" s="99">
        <f>J64+J65</f>
        <v>50000</v>
      </c>
      <c r="K66" s="99">
        <f>K64+K65</f>
        <v>0</v>
      </c>
      <c r="L66" s="943"/>
    </row>
    <row r="67" spans="1:12" s="97" customFormat="1" hidden="1">
      <c r="A67" s="926"/>
      <c r="B67" s="929" t="s">
        <v>17</v>
      </c>
      <c r="C67" s="929"/>
      <c r="D67" s="944" t="s">
        <v>18</v>
      </c>
      <c r="E67" s="926" t="s">
        <v>210</v>
      </c>
      <c r="F67" s="95" t="s">
        <v>5</v>
      </c>
      <c r="G67" s="96">
        <f>G70</f>
        <v>12500</v>
      </c>
      <c r="H67" s="977" t="s">
        <v>210</v>
      </c>
      <c r="I67" s="96">
        <f t="shared" ref="I67:K68" si="5">I70</f>
        <v>12500</v>
      </c>
      <c r="J67" s="96">
        <f t="shared" si="5"/>
        <v>12500</v>
      </c>
      <c r="K67" s="96">
        <f t="shared" si="5"/>
        <v>0</v>
      </c>
      <c r="L67" s="926" t="s">
        <v>210</v>
      </c>
    </row>
    <row r="68" spans="1:12" s="97" customFormat="1" hidden="1">
      <c r="A68" s="927"/>
      <c r="B68" s="930"/>
      <c r="C68" s="930"/>
      <c r="D68" s="945"/>
      <c r="E68" s="927"/>
      <c r="F68" s="95" t="s">
        <v>6</v>
      </c>
      <c r="G68" s="96">
        <f>G71</f>
        <v>0</v>
      </c>
      <c r="H68" s="978"/>
      <c r="I68" s="96">
        <f t="shared" si="5"/>
        <v>0</v>
      </c>
      <c r="J68" s="96">
        <f t="shared" si="5"/>
        <v>0</v>
      </c>
      <c r="K68" s="96">
        <f t="shared" si="5"/>
        <v>0</v>
      </c>
      <c r="L68" s="927"/>
    </row>
    <row r="69" spans="1:12" s="97" customFormat="1" hidden="1">
      <c r="A69" s="928"/>
      <c r="B69" s="931"/>
      <c r="C69" s="931"/>
      <c r="D69" s="946"/>
      <c r="E69" s="928"/>
      <c r="F69" s="95" t="s">
        <v>7</v>
      </c>
      <c r="G69" s="96">
        <f>G67+G68</f>
        <v>12500</v>
      </c>
      <c r="H69" s="979"/>
      <c r="I69" s="96">
        <f>I67+I68</f>
        <v>12500</v>
      </c>
      <c r="J69" s="96">
        <f>J67+J68</f>
        <v>12500</v>
      </c>
      <c r="K69" s="96">
        <f>K67+K68</f>
        <v>0</v>
      </c>
      <c r="L69" s="928"/>
    </row>
    <row r="70" spans="1:12" s="75" customFormat="1" hidden="1">
      <c r="A70" s="935">
        <v>9</v>
      </c>
      <c r="B70" s="938"/>
      <c r="C70" s="938" t="s">
        <v>36</v>
      </c>
      <c r="D70" s="941" t="s">
        <v>235</v>
      </c>
      <c r="E70" s="935">
        <v>2021</v>
      </c>
      <c r="F70" s="98" t="s">
        <v>5</v>
      </c>
      <c r="G70" s="99">
        <v>12500</v>
      </c>
      <c r="H70" s="954" t="s">
        <v>210</v>
      </c>
      <c r="I70" s="99">
        <f>J70+K70</f>
        <v>12500</v>
      </c>
      <c r="J70" s="99">
        <v>12500</v>
      </c>
      <c r="K70" s="99">
        <v>0</v>
      </c>
      <c r="L70" s="941" t="s">
        <v>226</v>
      </c>
    </row>
    <row r="71" spans="1:12" s="75" customFormat="1" hidden="1">
      <c r="A71" s="936"/>
      <c r="B71" s="939"/>
      <c r="C71" s="939"/>
      <c r="D71" s="942"/>
      <c r="E71" s="936"/>
      <c r="F71" s="98" t="s">
        <v>6</v>
      </c>
      <c r="G71" s="99"/>
      <c r="H71" s="955"/>
      <c r="I71" s="99">
        <f>J71+K71</f>
        <v>0</v>
      </c>
      <c r="J71" s="99"/>
      <c r="K71" s="99"/>
      <c r="L71" s="942"/>
    </row>
    <row r="72" spans="1:12" s="75" customFormat="1" hidden="1">
      <c r="A72" s="937"/>
      <c r="B72" s="940"/>
      <c r="C72" s="940"/>
      <c r="D72" s="943"/>
      <c r="E72" s="937"/>
      <c r="F72" s="98" t="s">
        <v>7</v>
      </c>
      <c r="G72" s="99">
        <f>G70+G71</f>
        <v>12500</v>
      </c>
      <c r="H72" s="956"/>
      <c r="I72" s="99">
        <f>I70+I71</f>
        <v>12500</v>
      </c>
      <c r="J72" s="99">
        <f>J70+J71</f>
        <v>12500</v>
      </c>
      <c r="K72" s="99">
        <f>K70+K71</f>
        <v>0</v>
      </c>
      <c r="L72" s="943"/>
    </row>
    <row r="73" spans="1:12" s="97" customFormat="1" ht="12.6" customHeight="1">
      <c r="A73" s="926"/>
      <c r="B73" s="929" t="s">
        <v>20</v>
      </c>
      <c r="C73" s="929"/>
      <c r="D73" s="944" t="s">
        <v>21</v>
      </c>
      <c r="E73" s="926" t="s">
        <v>210</v>
      </c>
      <c r="F73" s="121" t="s">
        <v>5</v>
      </c>
      <c r="G73" s="96">
        <f>G76+G79+G82</f>
        <v>693050</v>
      </c>
      <c r="H73" s="977" t="str">
        <f>H76</f>
        <v>x</v>
      </c>
      <c r="I73" s="96">
        <f t="shared" ref="I73:K74" si="6">I76+I79+I82</f>
        <v>693050</v>
      </c>
      <c r="J73" s="96">
        <f t="shared" si="6"/>
        <v>693050</v>
      </c>
      <c r="K73" s="96">
        <f t="shared" si="6"/>
        <v>0</v>
      </c>
      <c r="L73" s="926" t="s">
        <v>210</v>
      </c>
    </row>
    <row r="74" spans="1:12" s="97" customFormat="1" ht="12.6" customHeight="1">
      <c r="A74" s="927"/>
      <c r="B74" s="930"/>
      <c r="C74" s="930"/>
      <c r="D74" s="945"/>
      <c r="E74" s="927"/>
      <c r="F74" s="121" t="s">
        <v>6</v>
      </c>
      <c r="G74" s="96">
        <f>G77+G80+G83</f>
        <v>200000</v>
      </c>
      <c r="H74" s="978"/>
      <c r="I74" s="96">
        <f t="shared" si="6"/>
        <v>200000</v>
      </c>
      <c r="J74" s="96">
        <f t="shared" si="6"/>
        <v>200000</v>
      </c>
      <c r="K74" s="96">
        <f t="shared" si="6"/>
        <v>0</v>
      </c>
      <c r="L74" s="927"/>
    </row>
    <row r="75" spans="1:12" s="97" customFormat="1" ht="12.6" customHeight="1">
      <c r="A75" s="928"/>
      <c r="B75" s="931"/>
      <c r="C75" s="931"/>
      <c r="D75" s="946"/>
      <c r="E75" s="928"/>
      <c r="F75" s="124" t="s">
        <v>7</v>
      </c>
      <c r="G75" s="96">
        <f>G73+G74</f>
        <v>893050</v>
      </c>
      <c r="H75" s="979"/>
      <c r="I75" s="96">
        <f>I73+I74</f>
        <v>893050</v>
      </c>
      <c r="J75" s="96">
        <f>J73+J74</f>
        <v>893050</v>
      </c>
      <c r="K75" s="96">
        <f>K73+K74</f>
        <v>0</v>
      </c>
      <c r="L75" s="928"/>
    </row>
    <row r="76" spans="1:12" s="75" customFormat="1" ht="12.6" customHeight="1">
      <c r="A76" s="935">
        <v>9</v>
      </c>
      <c r="B76" s="938"/>
      <c r="C76" s="938" t="s">
        <v>22</v>
      </c>
      <c r="D76" s="941" t="s">
        <v>234</v>
      </c>
      <c r="E76" s="935">
        <v>2021</v>
      </c>
      <c r="F76" s="120" t="s">
        <v>5</v>
      </c>
      <c r="G76" s="99">
        <v>500000</v>
      </c>
      <c r="H76" s="954" t="s">
        <v>210</v>
      </c>
      <c r="I76" s="99">
        <f>J76+K76</f>
        <v>500000</v>
      </c>
      <c r="J76" s="99">
        <v>500000</v>
      </c>
      <c r="K76" s="99">
        <v>0</v>
      </c>
      <c r="L76" s="941" t="s">
        <v>226</v>
      </c>
    </row>
    <row r="77" spans="1:12" s="75" customFormat="1" ht="12.6" customHeight="1">
      <c r="A77" s="936"/>
      <c r="B77" s="939"/>
      <c r="C77" s="939"/>
      <c r="D77" s="942"/>
      <c r="E77" s="936"/>
      <c r="F77" s="120" t="s">
        <v>6</v>
      </c>
      <c r="G77" s="99">
        <v>200000</v>
      </c>
      <c r="H77" s="955"/>
      <c r="I77" s="99">
        <f>J77+K77</f>
        <v>200000</v>
      </c>
      <c r="J77" s="99">
        <v>200000</v>
      </c>
      <c r="K77" s="99"/>
      <c r="L77" s="942"/>
    </row>
    <row r="78" spans="1:12" s="75" customFormat="1" ht="12.6" customHeight="1">
      <c r="A78" s="937"/>
      <c r="B78" s="940"/>
      <c r="C78" s="940"/>
      <c r="D78" s="943"/>
      <c r="E78" s="937"/>
      <c r="F78" s="122" t="s">
        <v>7</v>
      </c>
      <c r="G78" s="99">
        <f>G76+G77</f>
        <v>700000</v>
      </c>
      <c r="H78" s="956"/>
      <c r="I78" s="99">
        <f>I76+I77</f>
        <v>700000</v>
      </c>
      <c r="J78" s="99">
        <f>J76+J77</f>
        <v>700000</v>
      </c>
      <c r="K78" s="99">
        <f>K76+K77</f>
        <v>0</v>
      </c>
      <c r="L78" s="943"/>
    </row>
    <row r="79" spans="1:12" s="75" customFormat="1" hidden="1">
      <c r="A79" s="935">
        <v>11</v>
      </c>
      <c r="B79" s="938"/>
      <c r="C79" s="938" t="s">
        <v>22</v>
      </c>
      <c r="D79" s="941" t="s">
        <v>236</v>
      </c>
      <c r="E79" s="935">
        <v>2021</v>
      </c>
      <c r="F79" s="98" t="s">
        <v>5</v>
      </c>
      <c r="G79" s="99">
        <v>150000</v>
      </c>
      <c r="H79" s="954" t="s">
        <v>210</v>
      </c>
      <c r="I79" s="99">
        <f>J79+K79</f>
        <v>150000</v>
      </c>
      <c r="J79" s="99">
        <v>150000</v>
      </c>
      <c r="K79" s="99">
        <v>0</v>
      </c>
      <c r="L79" s="941" t="s">
        <v>226</v>
      </c>
    </row>
    <row r="80" spans="1:12" s="75" customFormat="1" hidden="1">
      <c r="A80" s="936"/>
      <c r="B80" s="939"/>
      <c r="C80" s="939"/>
      <c r="D80" s="942"/>
      <c r="E80" s="936"/>
      <c r="F80" s="98" t="s">
        <v>6</v>
      </c>
      <c r="G80" s="99"/>
      <c r="H80" s="955"/>
      <c r="I80" s="99">
        <f>J80+K80</f>
        <v>0</v>
      </c>
      <c r="J80" s="99"/>
      <c r="K80" s="99"/>
      <c r="L80" s="942"/>
    </row>
    <row r="81" spans="1:12" s="75" customFormat="1" hidden="1">
      <c r="A81" s="937"/>
      <c r="B81" s="940"/>
      <c r="C81" s="940"/>
      <c r="D81" s="943"/>
      <c r="E81" s="937"/>
      <c r="F81" s="98" t="s">
        <v>7</v>
      </c>
      <c r="G81" s="99">
        <f>G79+G80</f>
        <v>150000</v>
      </c>
      <c r="H81" s="956"/>
      <c r="I81" s="99">
        <f>I79+I80</f>
        <v>150000</v>
      </c>
      <c r="J81" s="99">
        <f>J79+J80</f>
        <v>150000</v>
      </c>
      <c r="K81" s="99">
        <f>K79+K80</f>
        <v>0</v>
      </c>
      <c r="L81" s="943"/>
    </row>
    <row r="82" spans="1:12" s="75" customFormat="1" hidden="1">
      <c r="A82" s="935">
        <v>12</v>
      </c>
      <c r="B82" s="938"/>
      <c r="C82" s="938" t="s">
        <v>22</v>
      </c>
      <c r="D82" s="941" t="s">
        <v>237</v>
      </c>
      <c r="E82" s="935">
        <v>2021</v>
      </c>
      <c r="F82" s="98" t="s">
        <v>5</v>
      </c>
      <c r="G82" s="99">
        <v>43050</v>
      </c>
      <c r="H82" s="954" t="s">
        <v>210</v>
      </c>
      <c r="I82" s="99">
        <f>J82+K82</f>
        <v>43050</v>
      </c>
      <c r="J82" s="99">
        <v>43050</v>
      </c>
      <c r="K82" s="99">
        <v>0</v>
      </c>
      <c r="L82" s="941" t="s">
        <v>226</v>
      </c>
    </row>
    <row r="83" spans="1:12" s="75" customFormat="1" hidden="1">
      <c r="A83" s="936"/>
      <c r="B83" s="939"/>
      <c r="C83" s="939"/>
      <c r="D83" s="942"/>
      <c r="E83" s="936"/>
      <c r="F83" s="98" t="s">
        <v>6</v>
      </c>
      <c r="G83" s="99"/>
      <c r="H83" s="955"/>
      <c r="I83" s="99">
        <f>J83+K83</f>
        <v>0</v>
      </c>
      <c r="J83" s="99"/>
      <c r="K83" s="99"/>
      <c r="L83" s="942"/>
    </row>
    <row r="84" spans="1:12" s="75" customFormat="1" hidden="1">
      <c r="A84" s="937"/>
      <c r="B84" s="940"/>
      <c r="C84" s="940"/>
      <c r="D84" s="943"/>
      <c r="E84" s="937"/>
      <c r="F84" s="98" t="s">
        <v>7</v>
      </c>
      <c r="G84" s="99">
        <f>G82+G83</f>
        <v>43050</v>
      </c>
      <c r="H84" s="956"/>
      <c r="I84" s="99">
        <f>I82+I83</f>
        <v>43050</v>
      </c>
      <c r="J84" s="99">
        <f>J82+J83</f>
        <v>43050</v>
      </c>
      <c r="K84" s="99">
        <f>K82+K83</f>
        <v>0</v>
      </c>
      <c r="L84" s="943"/>
    </row>
    <row r="85" spans="1:12" s="97" customFormat="1" hidden="1">
      <c r="A85" s="926"/>
      <c r="B85" s="929" t="s">
        <v>23</v>
      </c>
      <c r="C85" s="929"/>
      <c r="D85" s="944" t="s">
        <v>24</v>
      </c>
      <c r="E85" s="926" t="s">
        <v>210</v>
      </c>
      <c r="F85" s="95" t="s">
        <v>5</v>
      </c>
      <c r="G85" s="96">
        <f>G88+G91+G94+G97</f>
        <v>134315</v>
      </c>
      <c r="H85" s="977" t="s">
        <v>210</v>
      </c>
      <c r="I85" s="96">
        <f t="shared" ref="I85:K86" si="7">I88+I91+I94+I97</f>
        <v>134315</v>
      </c>
      <c r="J85" s="96">
        <f t="shared" si="7"/>
        <v>134315</v>
      </c>
      <c r="K85" s="96">
        <f t="shared" si="7"/>
        <v>0</v>
      </c>
      <c r="L85" s="926" t="s">
        <v>210</v>
      </c>
    </row>
    <row r="86" spans="1:12" s="97" customFormat="1" hidden="1">
      <c r="A86" s="927"/>
      <c r="B86" s="930"/>
      <c r="C86" s="930"/>
      <c r="D86" s="945"/>
      <c r="E86" s="927"/>
      <c r="F86" s="95" t="s">
        <v>6</v>
      </c>
      <c r="G86" s="96">
        <f>G89+G92+G95+G98</f>
        <v>0</v>
      </c>
      <c r="H86" s="978"/>
      <c r="I86" s="96">
        <f t="shared" si="7"/>
        <v>0</v>
      </c>
      <c r="J86" s="96">
        <f t="shared" si="7"/>
        <v>0</v>
      </c>
      <c r="K86" s="96">
        <f t="shared" si="7"/>
        <v>0</v>
      </c>
      <c r="L86" s="927"/>
    </row>
    <row r="87" spans="1:12" s="97" customFormat="1" hidden="1">
      <c r="A87" s="928"/>
      <c r="B87" s="931"/>
      <c r="C87" s="931"/>
      <c r="D87" s="946"/>
      <c r="E87" s="928"/>
      <c r="F87" s="95" t="s">
        <v>7</v>
      </c>
      <c r="G87" s="96">
        <f>G85+G86</f>
        <v>134315</v>
      </c>
      <c r="H87" s="979"/>
      <c r="I87" s="96">
        <f>I85+I86</f>
        <v>134315</v>
      </c>
      <c r="J87" s="96">
        <f>J85+J86</f>
        <v>134315</v>
      </c>
      <c r="K87" s="96">
        <f>K85+K86</f>
        <v>0</v>
      </c>
      <c r="L87" s="928"/>
    </row>
    <row r="88" spans="1:12" s="75" customFormat="1" hidden="1">
      <c r="A88" s="935">
        <v>13</v>
      </c>
      <c r="B88" s="938"/>
      <c r="C88" s="938" t="s">
        <v>136</v>
      </c>
      <c r="D88" s="980" t="s">
        <v>238</v>
      </c>
      <c r="E88" s="935">
        <v>2021</v>
      </c>
      <c r="F88" s="98" t="s">
        <v>5</v>
      </c>
      <c r="G88" s="99">
        <v>12970</v>
      </c>
      <c r="H88" s="954" t="s">
        <v>210</v>
      </c>
      <c r="I88" s="99">
        <f>J88+K88</f>
        <v>12970</v>
      </c>
      <c r="J88" s="99">
        <v>12970</v>
      </c>
      <c r="K88" s="99">
        <v>0</v>
      </c>
      <c r="L88" s="941" t="s">
        <v>239</v>
      </c>
    </row>
    <row r="89" spans="1:12" s="75" customFormat="1" hidden="1">
      <c r="A89" s="936"/>
      <c r="B89" s="939"/>
      <c r="C89" s="939"/>
      <c r="D89" s="981"/>
      <c r="E89" s="936"/>
      <c r="F89" s="98" t="s">
        <v>6</v>
      </c>
      <c r="G89" s="99"/>
      <c r="H89" s="955"/>
      <c r="I89" s="99">
        <f>J89+K89</f>
        <v>0</v>
      </c>
      <c r="J89" s="99"/>
      <c r="K89" s="99"/>
      <c r="L89" s="942"/>
    </row>
    <row r="90" spans="1:12" s="75" customFormat="1" hidden="1">
      <c r="A90" s="937"/>
      <c r="B90" s="940"/>
      <c r="C90" s="940"/>
      <c r="D90" s="982"/>
      <c r="E90" s="937"/>
      <c r="F90" s="98" t="s">
        <v>7</v>
      </c>
      <c r="G90" s="99">
        <f>G88+G89</f>
        <v>12970</v>
      </c>
      <c r="H90" s="956"/>
      <c r="I90" s="99">
        <f>I88+I89</f>
        <v>12970</v>
      </c>
      <c r="J90" s="99">
        <f>J88+J89</f>
        <v>12970</v>
      </c>
      <c r="K90" s="99">
        <f>K88+K89</f>
        <v>0</v>
      </c>
      <c r="L90" s="943"/>
    </row>
    <row r="91" spans="1:12" s="75" customFormat="1" hidden="1">
      <c r="A91" s="935">
        <v>14</v>
      </c>
      <c r="B91" s="938"/>
      <c r="C91" s="938" t="s">
        <v>142</v>
      </c>
      <c r="D91" s="980" t="s">
        <v>240</v>
      </c>
      <c r="E91" s="935">
        <v>2021</v>
      </c>
      <c r="F91" s="98" t="s">
        <v>5</v>
      </c>
      <c r="G91" s="99">
        <v>63345</v>
      </c>
      <c r="H91" s="954" t="s">
        <v>210</v>
      </c>
      <c r="I91" s="99">
        <f>J91+K91</f>
        <v>63345</v>
      </c>
      <c r="J91" s="99">
        <v>63345</v>
      </c>
      <c r="K91" s="99">
        <v>0</v>
      </c>
      <c r="L91" s="941" t="s">
        <v>241</v>
      </c>
    </row>
    <row r="92" spans="1:12" s="75" customFormat="1" hidden="1">
      <c r="A92" s="936"/>
      <c r="B92" s="939"/>
      <c r="C92" s="939"/>
      <c r="D92" s="981"/>
      <c r="E92" s="936"/>
      <c r="F92" s="98" t="s">
        <v>6</v>
      </c>
      <c r="G92" s="99"/>
      <c r="H92" s="955"/>
      <c r="I92" s="99">
        <f>J92+K92</f>
        <v>0</v>
      </c>
      <c r="J92" s="99"/>
      <c r="K92" s="99"/>
      <c r="L92" s="942"/>
    </row>
    <row r="93" spans="1:12" s="75" customFormat="1" hidden="1">
      <c r="A93" s="937"/>
      <c r="B93" s="940"/>
      <c r="C93" s="940"/>
      <c r="D93" s="982"/>
      <c r="E93" s="937"/>
      <c r="F93" s="98" t="s">
        <v>7</v>
      </c>
      <c r="G93" s="99">
        <f>G91+G92</f>
        <v>63345</v>
      </c>
      <c r="H93" s="956"/>
      <c r="I93" s="99">
        <f>I91+I92</f>
        <v>63345</v>
      </c>
      <c r="J93" s="99">
        <f>J91+J92</f>
        <v>63345</v>
      </c>
      <c r="K93" s="99">
        <f>K91+K92</f>
        <v>0</v>
      </c>
      <c r="L93" s="943"/>
    </row>
    <row r="94" spans="1:12" s="75" customFormat="1" hidden="1">
      <c r="A94" s="935">
        <v>15</v>
      </c>
      <c r="B94" s="938"/>
      <c r="C94" s="938" t="s">
        <v>25</v>
      </c>
      <c r="D94" s="980" t="s">
        <v>242</v>
      </c>
      <c r="E94" s="935">
        <v>2021</v>
      </c>
      <c r="F94" s="98" t="s">
        <v>5</v>
      </c>
      <c r="G94" s="99">
        <v>40000</v>
      </c>
      <c r="H94" s="954" t="s">
        <v>210</v>
      </c>
      <c r="I94" s="99">
        <f>J94+K94</f>
        <v>40000</v>
      </c>
      <c r="J94" s="99">
        <v>40000</v>
      </c>
      <c r="K94" s="99">
        <v>0</v>
      </c>
      <c r="L94" s="941" t="s">
        <v>243</v>
      </c>
    </row>
    <row r="95" spans="1:12" s="75" customFormat="1" hidden="1">
      <c r="A95" s="936"/>
      <c r="B95" s="939"/>
      <c r="C95" s="939"/>
      <c r="D95" s="981"/>
      <c r="E95" s="936"/>
      <c r="F95" s="98" t="s">
        <v>6</v>
      </c>
      <c r="G95" s="99"/>
      <c r="H95" s="955"/>
      <c r="I95" s="99">
        <f>J95+K95</f>
        <v>0</v>
      </c>
      <c r="J95" s="99"/>
      <c r="K95" s="99"/>
      <c r="L95" s="942"/>
    </row>
    <row r="96" spans="1:12" s="75" customFormat="1" hidden="1">
      <c r="A96" s="937"/>
      <c r="B96" s="940"/>
      <c r="C96" s="940"/>
      <c r="D96" s="982"/>
      <c r="E96" s="937"/>
      <c r="F96" s="98" t="s">
        <v>7</v>
      </c>
      <c r="G96" s="99">
        <f>G94+G95</f>
        <v>40000</v>
      </c>
      <c r="H96" s="956"/>
      <c r="I96" s="99">
        <f>I94+I95</f>
        <v>40000</v>
      </c>
      <c r="J96" s="99">
        <f>J94+J95</f>
        <v>40000</v>
      </c>
      <c r="K96" s="99">
        <f>K94+K95</f>
        <v>0</v>
      </c>
      <c r="L96" s="943"/>
    </row>
    <row r="97" spans="1:12" s="75" customFormat="1" hidden="1">
      <c r="A97" s="935">
        <v>16</v>
      </c>
      <c r="B97" s="938"/>
      <c r="C97" s="938" t="s">
        <v>25</v>
      </c>
      <c r="D97" s="980" t="s">
        <v>244</v>
      </c>
      <c r="E97" s="935">
        <v>2021</v>
      </c>
      <c r="F97" s="98" t="s">
        <v>5</v>
      </c>
      <c r="G97" s="99">
        <v>18000</v>
      </c>
      <c r="H97" s="954" t="s">
        <v>210</v>
      </c>
      <c r="I97" s="99">
        <f>J97+K97</f>
        <v>18000</v>
      </c>
      <c r="J97" s="99">
        <v>18000</v>
      </c>
      <c r="K97" s="99">
        <v>0</v>
      </c>
      <c r="L97" s="941" t="s">
        <v>245</v>
      </c>
    </row>
    <row r="98" spans="1:12" s="75" customFormat="1" hidden="1">
      <c r="A98" s="936"/>
      <c r="B98" s="939"/>
      <c r="C98" s="939"/>
      <c r="D98" s="981"/>
      <c r="E98" s="936"/>
      <c r="F98" s="98" t="s">
        <v>6</v>
      </c>
      <c r="G98" s="99"/>
      <c r="H98" s="955"/>
      <c r="I98" s="99">
        <f>J98+K98</f>
        <v>0</v>
      </c>
      <c r="J98" s="99"/>
      <c r="K98" s="99"/>
      <c r="L98" s="942"/>
    </row>
    <row r="99" spans="1:12" s="75" customFormat="1" hidden="1">
      <c r="A99" s="937"/>
      <c r="B99" s="940"/>
      <c r="C99" s="940"/>
      <c r="D99" s="982"/>
      <c r="E99" s="937"/>
      <c r="F99" s="98" t="s">
        <v>7</v>
      </c>
      <c r="G99" s="99">
        <f>G97+G98</f>
        <v>18000</v>
      </c>
      <c r="H99" s="956"/>
      <c r="I99" s="99">
        <f>I97+I98</f>
        <v>18000</v>
      </c>
      <c r="J99" s="99">
        <f>J97+J98</f>
        <v>18000</v>
      </c>
      <c r="K99" s="99">
        <f>K97+K98</f>
        <v>0</v>
      </c>
      <c r="L99" s="943"/>
    </row>
    <row r="100" spans="1:12" s="97" customFormat="1" hidden="1">
      <c r="A100" s="926"/>
      <c r="B100" s="929" t="s">
        <v>26</v>
      </c>
      <c r="C100" s="929"/>
      <c r="D100" s="944" t="s">
        <v>27</v>
      </c>
      <c r="E100" s="926" t="s">
        <v>210</v>
      </c>
      <c r="F100" s="95" t="s">
        <v>5</v>
      </c>
      <c r="G100" s="96">
        <f>G103+G106+G109</f>
        <v>934560</v>
      </c>
      <c r="H100" s="977" t="str">
        <f>H103</f>
        <v>x</v>
      </c>
      <c r="I100" s="96">
        <f t="shared" ref="I100:K101" si="8">I103+I106+I109</f>
        <v>934560</v>
      </c>
      <c r="J100" s="96">
        <f t="shared" si="8"/>
        <v>172200</v>
      </c>
      <c r="K100" s="96">
        <f t="shared" si="8"/>
        <v>762360</v>
      </c>
      <c r="L100" s="926" t="s">
        <v>210</v>
      </c>
    </row>
    <row r="101" spans="1:12" s="97" customFormat="1" hidden="1">
      <c r="A101" s="927"/>
      <c r="B101" s="930"/>
      <c r="C101" s="930"/>
      <c r="D101" s="945"/>
      <c r="E101" s="927"/>
      <c r="F101" s="95" t="s">
        <v>6</v>
      </c>
      <c r="G101" s="96">
        <f>G104+G107+G110</f>
        <v>0</v>
      </c>
      <c r="H101" s="978"/>
      <c r="I101" s="96">
        <f t="shared" si="8"/>
        <v>0</v>
      </c>
      <c r="J101" s="96">
        <f t="shared" si="8"/>
        <v>0</v>
      </c>
      <c r="K101" s="96">
        <f t="shared" si="8"/>
        <v>0</v>
      </c>
      <c r="L101" s="927"/>
    </row>
    <row r="102" spans="1:12" s="97" customFormat="1" hidden="1">
      <c r="A102" s="928"/>
      <c r="B102" s="931"/>
      <c r="C102" s="931"/>
      <c r="D102" s="946"/>
      <c r="E102" s="928"/>
      <c r="F102" s="95" t="s">
        <v>7</v>
      </c>
      <c r="G102" s="96">
        <f>G100+G101</f>
        <v>934560</v>
      </c>
      <c r="H102" s="979"/>
      <c r="I102" s="96">
        <f>I100+I101</f>
        <v>934560</v>
      </c>
      <c r="J102" s="96">
        <f>J100+J101</f>
        <v>172200</v>
      </c>
      <c r="K102" s="96">
        <f>K100+K101</f>
        <v>762360</v>
      </c>
      <c r="L102" s="928"/>
    </row>
    <row r="103" spans="1:12" s="75" customFormat="1" hidden="1">
      <c r="A103" s="935">
        <v>1</v>
      </c>
      <c r="B103" s="938"/>
      <c r="C103" s="938" t="s">
        <v>211</v>
      </c>
      <c r="D103" s="980" t="s">
        <v>246</v>
      </c>
      <c r="E103" s="935">
        <v>2021</v>
      </c>
      <c r="F103" s="98" t="s">
        <v>5</v>
      </c>
      <c r="G103" s="99">
        <v>762360</v>
      </c>
      <c r="H103" s="954" t="s">
        <v>210</v>
      </c>
      <c r="I103" s="99">
        <f>J103+K103</f>
        <v>762360</v>
      </c>
      <c r="J103" s="99">
        <v>0</v>
      </c>
      <c r="K103" s="99">
        <v>762360</v>
      </c>
      <c r="L103" s="941" t="s">
        <v>247</v>
      </c>
    </row>
    <row r="104" spans="1:12" s="75" customFormat="1" hidden="1">
      <c r="A104" s="936"/>
      <c r="B104" s="939"/>
      <c r="C104" s="939"/>
      <c r="D104" s="981"/>
      <c r="E104" s="936"/>
      <c r="F104" s="98" t="s">
        <v>6</v>
      </c>
      <c r="G104" s="99"/>
      <c r="H104" s="955"/>
      <c r="I104" s="99">
        <f>J104+K104</f>
        <v>0</v>
      </c>
      <c r="J104" s="99"/>
      <c r="K104" s="99"/>
      <c r="L104" s="942"/>
    </row>
    <row r="105" spans="1:12" s="75" customFormat="1" hidden="1">
      <c r="A105" s="937"/>
      <c r="B105" s="940"/>
      <c r="C105" s="940"/>
      <c r="D105" s="982"/>
      <c r="E105" s="937"/>
      <c r="F105" s="98" t="s">
        <v>7</v>
      </c>
      <c r="G105" s="99">
        <f>G103+G104</f>
        <v>762360</v>
      </c>
      <c r="H105" s="956"/>
      <c r="I105" s="99">
        <f>I103+I104</f>
        <v>762360</v>
      </c>
      <c r="J105" s="99">
        <f>J103+J104</f>
        <v>0</v>
      </c>
      <c r="K105" s="99">
        <f>K103+K104</f>
        <v>762360</v>
      </c>
      <c r="L105" s="943"/>
    </row>
    <row r="106" spans="1:12" s="75" customFormat="1" hidden="1">
      <c r="A106" s="935">
        <v>1</v>
      </c>
      <c r="B106" s="938"/>
      <c r="C106" s="938" t="s">
        <v>338</v>
      </c>
      <c r="D106" s="980" t="s">
        <v>339</v>
      </c>
      <c r="E106" s="935">
        <v>2021</v>
      </c>
      <c r="F106" s="98" t="s">
        <v>5</v>
      </c>
      <c r="G106" s="99">
        <v>71340</v>
      </c>
      <c r="H106" s="954" t="s">
        <v>210</v>
      </c>
      <c r="I106" s="99">
        <f>J106+K106</f>
        <v>71340</v>
      </c>
      <c r="J106" s="99">
        <v>71340</v>
      </c>
      <c r="K106" s="99">
        <v>0</v>
      </c>
      <c r="L106" s="941" t="s">
        <v>340</v>
      </c>
    </row>
    <row r="107" spans="1:12" s="75" customFormat="1" hidden="1">
      <c r="A107" s="936"/>
      <c r="B107" s="939"/>
      <c r="C107" s="939"/>
      <c r="D107" s="981"/>
      <c r="E107" s="936"/>
      <c r="F107" s="98" t="s">
        <v>6</v>
      </c>
      <c r="G107" s="99"/>
      <c r="H107" s="955"/>
      <c r="I107" s="99">
        <f>J107+K107</f>
        <v>0</v>
      </c>
      <c r="J107" s="99"/>
      <c r="K107" s="99"/>
      <c r="L107" s="942"/>
    </row>
    <row r="108" spans="1:12" s="75" customFormat="1" hidden="1">
      <c r="A108" s="937"/>
      <c r="B108" s="940"/>
      <c r="C108" s="940"/>
      <c r="D108" s="982"/>
      <c r="E108" s="937"/>
      <c r="F108" s="98" t="s">
        <v>7</v>
      </c>
      <c r="G108" s="99">
        <f>G106+G107</f>
        <v>71340</v>
      </c>
      <c r="H108" s="956"/>
      <c r="I108" s="99">
        <f>I106+I107</f>
        <v>71340</v>
      </c>
      <c r="J108" s="99">
        <f>J106+J107</f>
        <v>71340</v>
      </c>
      <c r="K108" s="99">
        <f>K106+K107</f>
        <v>0</v>
      </c>
      <c r="L108" s="943"/>
    </row>
    <row r="109" spans="1:12" s="75" customFormat="1" hidden="1">
      <c r="A109" s="935">
        <v>2</v>
      </c>
      <c r="B109" s="938"/>
      <c r="C109" s="938" t="s">
        <v>341</v>
      </c>
      <c r="D109" s="980" t="s">
        <v>342</v>
      </c>
      <c r="E109" s="935">
        <v>2021</v>
      </c>
      <c r="F109" s="98" t="s">
        <v>5</v>
      </c>
      <c r="G109" s="99">
        <v>100860</v>
      </c>
      <c r="H109" s="954" t="s">
        <v>210</v>
      </c>
      <c r="I109" s="99">
        <f>J109+K109</f>
        <v>100860</v>
      </c>
      <c r="J109" s="99">
        <v>100860</v>
      </c>
      <c r="K109" s="99">
        <v>0</v>
      </c>
      <c r="L109" s="941" t="s">
        <v>343</v>
      </c>
    </row>
    <row r="110" spans="1:12" s="75" customFormat="1" hidden="1">
      <c r="A110" s="936"/>
      <c r="B110" s="939"/>
      <c r="C110" s="939"/>
      <c r="D110" s="981"/>
      <c r="E110" s="936"/>
      <c r="F110" s="98" t="s">
        <v>6</v>
      </c>
      <c r="G110" s="99"/>
      <c r="H110" s="955"/>
      <c r="I110" s="99">
        <f>J110+K110</f>
        <v>0</v>
      </c>
      <c r="J110" s="99"/>
      <c r="K110" s="99"/>
      <c r="L110" s="942"/>
    </row>
    <row r="111" spans="1:12" s="75" customFormat="1" hidden="1">
      <c r="A111" s="937"/>
      <c r="B111" s="940"/>
      <c r="C111" s="940"/>
      <c r="D111" s="982"/>
      <c r="E111" s="937"/>
      <c r="F111" s="98" t="s">
        <v>7</v>
      </c>
      <c r="G111" s="99">
        <f>G109+G110</f>
        <v>100860</v>
      </c>
      <c r="H111" s="956"/>
      <c r="I111" s="99">
        <f>I109+I110</f>
        <v>100860</v>
      </c>
      <c r="J111" s="99">
        <f>J109+J110</f>
        <v>100860</v>
      </c>
      <c r="K111" s="99">
        <f>K109+K110</f>
        <v>0</v>
      </c>
      <c r="L111" s="943"/>
    </row>
    <row r="112" spans="1:12" s="97" customFormat="1" hidden="1">
      <c r="A112" s="926"/>
      <c r="B112" s="929" t="s">
        <v>248</v>
      </c>
      <c r="C112" s="929"/>
      <c r="D112" s="944" t="s">
        <v>28</v>
      </c>
      <c r="E112" s="926" t="s">
        <v>210</v>
      </c>
      <c r="F112" s="95" t="s">
        <v>5</v>
      </c>
      <c r="G112" s="96">
        <f>G115+G118</f>
        <v>31500</v>
      </c>
      <c r="H112" s="977" t="str">
        <f>H115</f>
        <v>x</v>
      </c>
      <c r="I112" s="96">
        <f t="shared" ref="I112:K113" si="9">I115+I118</f>
        <v>31500</v>
      </c>
      <c r="J112" s="96">
        <f t="shared" si="9"/>
        <v>31500</v>
      </c>
      <c r="K112" s="96">
        <f t="shared" si="9"/>
        <v>0</v>
      </c>
      <c r="L112" s="926" t="s">
        <v>210</v>
      </c>
    </row>
    <row r="113" spans="1:12" s="97" customFormat="1" hidden="1">
      <c r="A113" s="927"/>
      <c r="B113" s="930"/>
      <c r="C113" s="930"/>
      <c r="D113" s="945"/>
      <c r="E113" s="927"/>
      <c r="F113" s="95" t="s">
        <v>6</v>
      </c>
      <c r="G113" s="96">
        <f>G116+G119</f>
        <v>0</v>
      </c>
      <c r="H113" s="978"/>
      <c r="I113" s="96">
        <f t="shared" si="9"/>
        <v>0</v>
      </c>
      <c r="J113" s="96">
        <f t="shared" si="9"/>
        <v>0</v>
      </c>
      <c r="K113" s="96">
        <f t="shared" si="9"/>
        <v>0</v>
      </c>
      <c r="L113" s="927"/>
    </row>
    <row r="114" spans="1:12" s="97" customFormat="1" hidden="1">
      <c r="A114" s="928"/>
      <c r="B114" s="931"/>
      <c r="C114" s="931"/>
      <c r="D114" s="946"/>
      <c r="E114" s="928"/>
      <c r="F114" s="95" t="s">
        <v>7</v>
      </c>
      <c r="G114" s="96">
        <f>G112+G113</f>
        <v>31500</v>
      </c>
      <c r="H114" s="979"/>
      <c r="I114" s="96">
        <f>I112+I113</f>
        <v>31500</v>
      </c>
      <c r="J114" s="96">
        <f>J112+J113</f>
        <v>31500</v>
      </c>
      <c r="K114" s="96">
        <f>K112+K113</f>
        <v>0</v>
      </c>
      <c r="L114" s="928"/>
    </row>
    <row r="115" spans="1:12" s="75" customFormat="1" hidden="1">
      <c r="A115" s="935">
        <v>17</v>
      </c>
      <c r="B115" s="938"/>
      <c r="C115" s="938" t="s">
        <v>249</v>
      </c>
      <c r="D115" s="980" t="s">
        <v>250</v>
      </c>
      <c r="E115" s="935">
        <v>2021</v>
      </c>
      <c r="F115" s="98" t="s">
        <v>5</v>
      </c>
      <c r="G115" s="99">
        <v>15000</v>
      </c>
      <c r="H115" s="954" t="s">
        <v>210</v>
      </c>
      <c r="I115" s="99">
        <f>J115+K115</f>
        <v>15000</v>
      </c>
      <c r="J115" s="99">
        <v>15000</v>
      </c>
      <c r="K115" s="99">
        <v>0</v>
      </c>
      <c r="L115" s="941" t="s">
        <v>251</v>
      </c>
    </row>
    <row r="116" spans="1:12" s="75" customFormat="1" hidden="1">
      <c r="A116" s="936"/>
      <c r="B116" s="939"/>
      <c r="C116" s="939"/>
      <c r="D116" s="981"/>
      <c r="E116" s="936"/>
      <c r="F116" s="98" t="s">
        <v>6</v>
      </c>
      <c r="G116" s="99"/>
      <c r="H116" s="955"/>
      <c r="I116" s="99">
        <f>J116+K116</f>
        <v>0</v>
      </c>
      <c r="J116" s="99"/>
      <c r="K116" s="99"/>
      <c r="L116" s="942"/>
    </row>
    <row r="117" spans="1:12" s="75" customFormat="1" hidden="1">
      <c r="A117" s="937"/>
      <c r="B117" s="940"/>
      <c r="C117" s="940"/>
      <c r="D117" s="982"/>
      <c r="E117" s="937"/>
      <c r="F117" s="98" t="s">
        <v>7</v>
      </c>
      <c r="G117" s="99">
        <f>G115+G116</f>
        <v>15000</v>
      </c>
      <c r="H117" s="956"/>
      <c r="I117" s="99">
        <f>I115+I116</f>
        <v>15000</v>
      </c>
      <c r="J117" s="99">
        <f>J115+J116</f>
        <v>15000</v>
      </c>
      <c r="K117" s="99">
        <f>K115+K116</f>
        <v>0</v>
      </c>
      <c r="L117" s="943"/>
    </row>
    <row r="118" spans="1:12" s="75" customFormat="1" hidden="1">
      <c r="A118" s="935">
        <v>18</v>
      </c>
      <c r="B118" s="938"/>
      <c r="C118" s="938" t="s">
        <v>249</v>
      </c>
      <c r="D118" s="980" t="s">
        <v>252</v>
      </c>
      <c r="E118" s="935">
        <v>2021</v>
      </c>
      <c r="F118" s="98" t="s">
        <v>5</v>
      </c>
      <c r="G118" s="99">
        <v>16500</v>
      </c>
      <c r="H118" s="954" t="s">
        <v>210</v>
      </c>
      <c r="I118" s="99">
        <f>J118+K118</f>
        <v>16500</v>
      </c>
      <c r="J118" s="99">
        <v>16500</v>
      </c>
      <c r="K118" s="99">
        <v>0</v>
      </c>
      <c r="L118" s="941" t="s">
        <v>251</v>
      </c>
    </row>
    <row r="119" spans="1:12" s="75" customFormat="1" hidden="1">
      <c r="A119" s="936"/>
      <c r="B119" s="939"/>
      <c r="C119" s="939"/>
      <c r="D119" s="981"/>
      <c r="E119" s="936"/>
      <c r="F119" s="98" t="s">
        <v>6</v>
      </c>
      <c r="G119" s="99"/>
      <c r="H119" s="955"/>
      <c r="I119" s="99">
        <f>J119+K119</f>
        <v>0</v>
      </c>
      <c r="J119" s="99"/>
      <c r="K119" s="99"/>
      <c r="L119" s="942"/>
    </row>
    <row r="120" spans="1:12" s="75" customFormat="1" hidden="1">
      <c r="A120" s="937"/>
      <c r="B120" s="940"/>
      <c r="C120" s="940"/>
      <c r="D120" s="982"/>
      <c r="E120" s="937"/>
      <c r="F120" s="98" t="s">
        <v>7</v>
      </c>
      <c r="G120" s="99">
        <f>G118+G119</f>
        <v>16500</v>
      </c>
      <c r="H120" s="956"/>
      <c r="I120" s="99">
        <f>I118+I119</f>
        <v>16500</v>
      </c>
      <c r="J120" s="99">
        <f>J118+J119</f>
        <v>16500</v>
      </c>
      <c r="K120" s="99">
        <f>K118+K119</f>
        <v>0</v>
      </c>
      <c r="L120" s="943"/>
    </row>
    <row r="121" spans="1:12" s="97" customFormat="1" hidden="1">
      <c r="A121" s="926"/>
      <c r="B121" s="929" t="s">
        <v>253</v>
      </c>
      <c r="C121" s="929"/>
      <c r="D121" s="944" t="s">
        <v>254</v>
      </c>
      <c r="E121" s="926" t="s">
        <v>210</v>
      </c>
      <c r="F121" s="95" t="s">
        <v>5</v>
      </c>
      <c r="G121" s="96">
        <f>G124+G127+G136+G130+G133</f>
        <v>786000</v>
      </c>
      <c r="H121" s="977" t="s">
        <v>210</v>
      </c>
      <c r="I121" s="96">
        <f t="shared" ref="I121:K122" si="10">I124+I127+I136+I130+I133</f>
        <v>786000</v>
      </c>
      <c r="J121" s="96">
        <f t="shared" si="10"/>
        <v>786000</v>
      </c>
      <c r="K121" s="96">
        <f t="shared" si="10"/>
        <v>0</v>
      </c>
      <c r="L121" s="926" t="s">
        <v>210</v>
      </c>
    </row>
    <row r="122" spans="1:12" s="97" customFormat="1" hidden="1">
      <c r="A122" s="927"/>
      <c r="B122" s="930"/>
      <c r="C122" s="930"/>
      <c r="D122" s="945"/>
      <c r="E122" s="927"/>
      <c r="F122" s="95" t="s">
        <v>6</v>
      </c>
      <c r="G122" s="96">
        <f>G125+G128+G137+G131+G134</f>
        <v>0</v>
      </c>
      <c r="H122" s="978"/>
      <c r="I122" s="96">
        <f t="shared" si="10"/>
        <v>0</v>
      </c>
      <c r="J122" s="96">
        <f t="shared" si="10"/>
        <v>0</v>
      </c>
      <c r="K122" s="96">
        <f t="shared" si="10"/>
        <v>0</v>
      </c>
      <c r="L122" s="927"/>
    </row>
    <row r="123" spans="1:12" s="97" customFormat="1" hidden="1">
      <c r="A123" s="928"/>
      <c r="B123" s="931"/>
      <c r="C123" s="931"/>
      <c r="D123" s="946"/>
      <c r="E123" s="928"/>
      <c r="F123" s="95" t="s">
        <v>7</v>
      </c>
      <c r="G123" s="96">
        <f>G121+G122</f>
        <v>786000</v>
      </c>
      <c r="H123" s="979"/>
      <c r="I123" s="96">
        <f>I121+I122</f>
        <v>786000</v>
      </c>
      <c r="J123" s="96">
        <f>J121+J122</f>
        <v>786000</v>
      </c>
      <c r="K123" s="96">
        <f>K121+K122</f>
        <v>0</v>
      </c>
      <c r="L123" s="928"/>
    </row>
    <row r="124" spans="1:12" s="75" customFormat="1" ht="24.6" hidden="1" customHeight="1">
      <c r="A124" s="935">
        <v>19</v>
      </c>
      <c r="B124" s="938"/>
      <c r="C124" s="938" t="s">
        <v>255</v>
      </c>
      <c r="D124" s="941" t="s">
        <v>256</v>
      </c>
      <c r="E124" s="935">
        <v>2021</v>
      </c>
      <c r="F124" s="98" t="s">
        <v>5</v>
      </c>
      <c r="G124" s="99">
        <v>500000</v>
      </c>
      <c r="H124" s="100" t="s">
        <v>210</v>
      </c>
      <c r="I124" s="99">
        <f>J124+K124</f>
        <v>500000</v>
      </c>
      <c r="J124" s="99">
        <v>500000</v>
      </c>
      <c r="K124" s="99">
        <v>0</v>
      </c>
      <c r="L124" s="941" t="s">
        <v>226</v>
      </c>
    </row>
    <row r="125" spans="1:12" s="75" customFormat="1" ht="24.6" hidden="1" customHeight="1">
      <c r="A125" s="936"/>
      <c r="B125" s="939"/>
      <c r="C125" s="939"/>
      <c r="D125" s="942"/>
      <c r="E125" s="936"/>
      <c r="F125" s="98" t="s">
        <v>6</v>
      </c>
      <c r="G125" s="99"/>
      <c r="H125" s="100"/>
      <c r="I125" s="99">
        <f>J125+K125</f>
        <v>0</v>
      </c>
      <c r="J125" s="99"/>
      <c r="K125" s="99"/>
      <c r="L125" s="942"/>
    </row>
    <row r="126" spans="1:12" s="75" customFormat="1" ht="24.6" hidden="1" customHeight="1">
      <c r="A126" s="937"/>
      <c r="B126" s="940"/>
      <c r="C126" s="940"/>
      <c r="D126" s="943"/>
      <c r="E126" s="937"/>
      <c r="F126" s="98" t="s">
        <v>7</v>
      </c>
      <c r="G126" s="99">
        <f>G124+G125</f>
        <v>500000</v>
      </c>
      <c r="H126" s="100"/>
      <c r="I126" s="99">
        <f>I124+I125</f>
        <v>500000</v>
      </c>
      <c r="J126" s="99">
        <f>J124+J125</f>
        <v>500000</v>
      </c>
      <c r="K126" s="99">
        <f>K124+K125</f>
        <v>0</v>
      </c>
      <c r="L126" s="943"/>
    </row>
    <row r="127" spans="1:12" s="75" customFormat="1" ht="22.15" hidden="1" customHeight="1">
      <c r="A127" s="935">
        <v>20</v>
      </c>
      <c r="B127" s="938"/>
      <c r="C127" s="938" t="s">
        <v>255</v>
      </c>
      <c r="D127" s="941" t="s">
        <v>257</v>
      </c>
      <c r="E127" s="935">
        <v>2021</v>
      </c>
      <c r="F127" s="98" t="s">
        <v>5</v>
      </c>
      <c r="G127" s="99">
        <v>20000</v>
      </c>
      <c r="H127" s="954" t="s">
        <v>210</v>
      </c>
      <c r="I127" s="99">
        <f>J127+K127</f>
        <v>20000</v>
      </c>
      <c r="J127" s="99">
        <v>20000</v>
      </c>
      <c r="K127" s="99"/>
      <c r="L127" s="941" t="s">
        <v>258</v>
      </c>
    </row>
    <row r="128" spans="1:12" s="75" customFormat="1" ht="22.15" hidden="1" customHeight="1">
      <c r="A128" s="936"/>
      <c r="B128" s="939"/>
      <c r="C128" s="939"/>
      <c r="D128" s="942"/>
      <c r="E128" s="936"/>
      <c r="F128" s="98" t="s">
        <v>6</v>
      </c>
      <c r="G128" s="99"/>
      <c r="H128" s="955"/>
      <c r="I128" s="99">
        <f>J128+K128</f>
        <v>0</v>
      </c>
      <c r="J128" s="99"/>
      <c r="K128" s="99"/>
      <c r="L128" s="942"/>
    </row>
    <row r="129" spans="1:12" s="75" customFormat="1" ht="22.15" hidden="1" customHeight="1">
      <c r="A129" s="937"/>
      <c r="B129" s="940"/>
      <c r="C129" s="940"/>
      <c r="D129" s="943"/>
      <c r="E129" s="937"/>
      <c r="F129" s="98" t="s">
        <v>7</v>
      </c>
      <c r="G129" s="99">
        <f>G127+G128</f>
        <v>20000</v>
      </c>
      <c r="H129" s="956"/>
      <c r="I129" s="99">
        <f>I127+I128</f>
        <v>20000</v>
      </c>
      <c r="J129" s="99">
        <f>J127+J128</f>
        <v>20000</v>
      </c>
      <c r="K129" s="99">
        <f>K127+K128</f>
        <v>0</v>
      </c>
      <c r="L129" s="943"/>
    </row>
    <row r="130" spans="1:12" s="75" customFormat="1" ht="22.15" hidden="1" customHeight="1">
      <c r="A130" s="935">
        <v>6</v>
      </c>
      <c r="B130" s="938"/>
      <c r="C130" s="938" t="s">
        <v>255</v>
      </c>
      <c r="D130" s="941" t="s">
        <v>353</v>
      </c>
      <c r="E130" s="935">
        <v>2021</v>
      </c>
      <c r="F130" s="98" t="s">
        <v>5</v>
      </c>
      <c r="G130" s="99">
        <v>85000</v>
      </c>
      <c r="H130" s="954" t="s">
        <v>210</v>
      </c>
      <c r="I130" s="99">
        <f>J130+K130</f>
        <v>85000</v>
      </c>
      <c r="J130" s="99">
        <v>85000</v>
      </c>
      <c r="K130" s="99">
        <v>0</v>
      </c>
      <c r="L130" s="941" t="s">
        <v>258</v>
      </c>
    </row>
    <row r="131" spans="1:12" s="75" customFormat="1" ht="22.15" hidden="1" customHeight="1">
      <c r="A131" s="936"/>
      <c r="B131" s="939"/>
      <c r="C131" s="939"/>
      <c r="D131" s="942"/>
      <c r="E131" s="936"/>
      <c r="F131" s="98" t="s">
        <v>6</v>
      </c>
      <c r="G131" s="99"/>
      <c r="H131" s="955"/>
      <c r="I131" s="99">
        <f>J131+K131</f>
        <v>0</v>
      </c>
      <c r="J131" s="99"/>
      <c r="K131" s="99"/>
      <c r="L131" s="942"/>
    </row>
    <row r="132" spans="1:12" s="75" customFormat="1" ht="22.15" hidden="1" customHeight="1">
      <c r="A132" s="937"/>
      <c r="B132" s="940"/>
      <c r="C132" s="940"/>
      <c r="D132" s="943"/>
      <c r="E132" s="937"/>
      <c r="F132" s="101" t="s">
        <v>7</v>
      </c>
      <c r="G132" s="99">
        <f>G130+G131</f>
        <v>85000</v>
      </c>
      <c r="H132" s="956"/>
      <c r="I132" s="99">
        <f>I130+I131</f>
        <v>85000</v>
      </c>
      <c r="J132" s="99">
        <f>J130+J131</f>
        <v>85000</v>
      </c>
      <c r="K132" s="99">
        <f>K130+K131</f>
        <v>0</v>
      </c>
      <c r="L132" s="943"/>
    </row>
    <row r="133" spans="1:12" s="75" customFormat="1" hidden="1">
      <c r="A133" s="935">
        <v>7</v>
      </c>
      <c r="B133" s="938"/>
      <c r="C133" s="938" t="s">
        <v>255</v>
      </c>
      <c r="D133" s="941" t="s">
        <v>372</v>
      </c>
      <c r="E133" s="935">
        <v>2021</v>
      </c>
      <c r="F133" s="98" t="s">
        <v>5</v>
      </c>
      <c r="G133" s="99">
        <v>99000</v>
      </c>
      <c r="H133" s="954" t="s">
        <v>210</v>
      </c>
      <c r="I133" s="99">
        <f>J133+K133</f>
        <v>99000</v>
      </c>
      <c r="J133" s="99">
        <v>99000</v>
      </c>
      <c r="K133" s="99">
        <v>0</v>
      </c>
      <c r="L133" s="941" t="s">
        <v>260</v>
      </c>
    </row>
    <row r="134" spans="1:12" s="75" customFormat="1" hidden="1">
      <c r="A134" s="936"/>
      <c r="B134" s="939"/>
      <c r="C134" s="939"/>
      <c r="D134" s="942"/>
      <c r="E134" s="936"/>
      <c r="F134" s="98" t="s">
        <v>6</v>
      </c>
      <c r="G134" s="99"/>
      <c r="H134" s="955"/>
      <c r="I134" s="99">
        <f>J134+K134</f>
        <v>0</v>
      </c>
      <c r="J134" s="99"/>
      <c r="K134" s="99"/>
      <c r="L134" s="942"/>
    </row>
    <row r="135" spans="1:12" s="75" customFormat="1" hidden="1">
      <c r="A135" s="937"/>
      <c r="B135" s="940"/>
      <c r="C135" s="940"/>
      <c r="D135" s="943"/>
      <c r="E135" s="937"/>
      <c r="F135" s="98" t="s">
        <v>7</v>
      </c>
      <c r="G135" s="99">
        <f>G133+G134</f>
        <v>99000</v>
      </c>
      <c r="H135" s="956"/>
      <c r="I135" s="99">
        <f>I133+I134</f>
        <v>99000</v>
      </c>
      <c r="J135" s="99">
        <f>J133+J134</f>
        <v>99000</v>
      </c>
      <c r="K135" s="99">
        <f>K133+K134</f>
        <v>0</v>
      </c>
      <c r="L135" s="943"/>
    </row>
    <row r="136" spans="1:12" s="75" customFormat="1" hidden="1">
      <c r="A136" s="935">
        <v>21</v>
      </c>
      <c r="B136" s="938"/>
      <c r="C136" s="938" t="s">
        <v>255</v>
      </c>
      <c r="D136" s="941" t="s">
        <v>259</v>
      </c>
      <c r="E136" s="935">
        <v>2021</v>
      </c>
      <c r="F136" s="98" t="s">
        <v>5</v>
      </c>
      <c r="G136" s="99">
        <v>82000</v>
      </c>
      <c r="H136" s="954" t="s">
        <v>210</v>
      </c>
      <c r="I136" s="99">
        <f>J136+K136</f>
        <v>82000</v>
      </c>
      <c r="J136" s="99">
        <v>82000</v>
      </c>
      <c r="K136" s="99">
        <v>0</v>
      </c>
      <c r="L136" s="941" t="s">
        <v>260</v>
      </c>
    </row>
    <row r="137" spans="1:12" s="75" customFormat="1" hidden="1">
      <c r="A137" s="936"/>
      <c r="B137" s="939"/>
      <c r="C137" s="939"/>
      <c r="D137" s="942"/>
      <c r="E137" s="936"/>
      <c r="F137" s="98" t="s">
        <v>6</v>
      </c>
      <c r="G137" s="99"/>
      <c r="H137" s="955"/>
      <c r="I137" s="99">
        <f>J137+K137</f>
        <v>0</v>
      </c>
      <c r="J137" s="99"/>
      <c r="K137" s="99"/>
      <c r="L137" s="942"/>
    </row>
    <row r="138" spans="1:12" s="75" customFormat="1" hidden="1">
      <c r="A138" s="937"/>
      <c r="B138" s="940"/>
      <c r="C138" s="940"/>
      <c r="D138" s="943"/>
      <c r="E138" s="937"/>
      <c r="F138" s="98" t="s">
        <v>7</v>
      </c>
      <c r="G138" s="99">
        <f>G136+G137</f>
        <v>82000</v>
      </c>
      <c r="H138" s="956"/>
      <c r="I138" s="99">
        <f>I136+I137</f>
        <v>82000</v>
      </c>
      <c r="J138" s="99">
        <f>J136+J137</f>
        <v>82000</v>
      </c>
      <c r="K138" s="99">
        <f>K136+K137</f>
        <v>0</v>
      </c>
      <c r="L138" s="943"/>
    </row>
    <row r="139" spans="1:12" s="97" customFormat="1" ht="12.2" customHeight="1">
      <c r="A139" s="926"/>
      <c r="B139" s="929" t="s">
        <v>370</v>
      </c>
      <c r="C139" s="929"/>
      <c r="D139" s="932" t="s">
        <v>30</v>
      </c>
      <c r="E139" s="926" t="s">
        <v>210</v>
      </c>
      <c r="F139" s="121" t="s">
        <v>5</v>
      </c>
      <c r="G139" s="96">
        <f>G142</f>
        <v>0</v>
      </c>
      <c r="H139" s="977" t="s">
        <v>210</v>
      </c>
      <c r="I139" s="96">
        <f t="shared" ref="I139:K140" si="11">I142</f>
        <v>0</v>
      </c>
      <c r="J139" s="96">
        <f t="shared" si="11"/>
        <v>0</v>
      </c>
      <c r="K139" s="96">
        <f t="shared" si="11"/>
        <v>0</v>
      </c>
      <c r="L139" s="926" t="s">
        <v>210</v>
      </c>
    </row>
    <row r="140" spans="1:12" s="97" customFormat="1" ht="12.2" customHeight="1">
      <c r="A140" s="927"/>
      <c r="B140" s="930"/>
      <c r="C140" s="930"/>
      <c r="D140" s="933"/>
      <c r="E140" s="927"/>
      <c r="F140" s="121" t="s">
        <v>6</v>
      </c>
      <c r="G140" s="96">
        <f>G143</f>
        <v>700000</v>
      </c>
      <c r="H140" s="978"/>
      <c r="I140" s="96">
        <f t="shared" si="11"/>
        <v>700000</v>
      </c>
      <c r="J140" s="96">
        <f t="shared" si="11"/>
        <v>700000</v>
      </c>
      <c r="K140" s="96">
        <f t="shared" si="11"/>
        <v>0</v>
      </c>
      <c r="L140" s="927"/>
    </row>
    <row r="141" spans="1:12" s="97" customFormat="1" ht="12.2" customHeight="1">
      <c r="A141" s="928"/>
      <c r="B141" s="931"/>
      <c r="C141" s="931"/>
      <c r="D141" s="934"/>
      <c r="E141" s="928"/>
      <c r="F141" s="124" t="s">
        <v>7</v>
      </c>
      <c r="G141" s="96">
        <f>G139+G140</f>
        <v>700000</v>
      </c>
      <c r="H141" s="979"/>
      <c r="I141" s="96">
        <f>I139+I140</f>
        <v>700000</v>
      </c>
      <c r="J141" s="96">
        <f>J139+J140</f>
        <v>700000</v>
      </c>
      <c r="K141" s="96">
        <f>K139+K140</f>
        <v>0</v>
      </c>
      <c r="L141" s="928"/>
    </row>
    <row r="142" spans="1:12" s="75" customFormat="1" ht="12.2" customHeight="1">
      <c r="A142" s="935">
        <v>10</v>
      </c>
      <c r="B142" s="938"/>
      <c r="C142" s="938" t="s">
        <v>392</v>
      </c>
      <c r="D142" s="941" t="s">
        <v>387</v>
      </c>
      <c r="E142" s="935">
        <v>2021</v>
      </c>
      <c r="F142" s="98" t="s">
        <v>5</v>
      </c>
      <c r="G142" s="99">
        <v>0</v>
      </c>
      <c r="H142" s="100" t="s">
        <v>210</v>
      </c>
      <c r="I142" s="99">
        <f>J142+K142</f>
        <v>0</v>
      </c>
      <c r="J142" s="99">
        <v>0</v>
      </c>
      <c r="K142" s="99">
        <v>0</v>
      </c>
      <c r="L142" s="941" t="s">
        <v>226</v>
      </c>
    </row>
    <row r="143" spans="1:12" s="75" customFormat="1" ht="12.2" customHeight="1">
      <c r="A143" s="936"/>
      <c r="B143" s="939"/>
      <c r="C143" s="939"/>
      <c r="D143" s="942"/>
      <c r="E143" s="936"/>
      <c r="F143" s="98" t="s">
        <v>6</v>
      </c>
      <c r="G143" s="99">
        <v>700000</v>
      </c>
      <c r="H143" s="100"/>
      <c r="I143" s="99">
        <f>J143+K143</f>
        <v>700000</v>
      </c>
      <c r="J143" s="99">
        <v>700000</v>
      </c>
      <c r="K143" s="99"/>
      <c r="L143" s="942"/>
    </row>
    <row r="144" spans="1:12" s="75" customFormat="1" ht="12.2" customHeight="1">
      <c r="A144" s="937"/>
      <c r="B144" s="940"/>
      <c r="C144" s="940"/>
      <c r="D144" s="943"/>
      <c r="E144" s="937"/>
      <c r="F144" s="98" t="s">
        <v>7</v>
      </c>
      <c r="G144" s="99">
        <f>G142+G143</f>
        <v>700000</v>
      </c>
      <c r="H144" s="100"/>
      <c r="I144" s="99">
        <f>I142+I143</f>
        <v>700000</v>
      </c>
      <c r="J144" s="99">
        <f>J142+J143</f>
        <v>700000</v>
      </c>
      <c r="K144" s="99">
        <f>K142+K143</f>
        <v>0</v>
      </c>
      <c r="L144" s="943"/>
    </row>
    <row r="145" spans="1:12" s="97" customFormat="1" ht="12.2" customHeight="1">
      <c r="A145" s="926"/>
      <c r="B145" s="929" t="s">
        <v>261</v>
      </c>
      <c r="C145" s="929"/>
      <c r="D145" s="932" t="s">
        <v>31</v>
      </c>
      <c r="E145" s="926" t="s">
        <v>210</v>
      </c>
      <c r="F145" s="95" t="s">
        <v>5</v>
      </c>
      <c r="G145" s="96">
        <f>G151+G154+G157+G163+G166+G169+G172+G175+G187+G193+G196+G199+G178+G184+G148+G190+G202+G181+G160</f>
        <v>3475677</v>
      </c>
      <c r="H145" s="977" t="s">
        <v>210</v>
      </c>
      <c r="I145" s="96">
        <f t="shared" ref="I145:K146" si="12">I151+I154+I157+I163+I166+I169+I172+I175+I187+I193+I196+I199+I178+I184+I148+I190+I202+I181+I160</f>
        <v>3475677</v>
      </c>
      <c r="J145" s="96">
        <f t="shared" si="12"/>
        <v>3321677</v>
      </c>
      <c r="K145" s="96">
        <f t="shared" si="12"/>
        <v>154000</v>
      </c>
      <c r="L145" s="926" t="s">
        <v>210</v>
      </c>
    </row>
    <row r="146" spans="1:12" s="97" customFormat="1" ht="12.2" customHeight="1">
      <c r="A146" s="927"/>
      <c r="B146" s="930"/>
      <c r="C146" s="930"/>
      <c r="D146" s="933"/>
      <c r="E146" s="927"/>
      <c r="F146" s="95" t="s">
        <v>6</v>
      </c>
      <c r="G146" s="96">
        <f>G152+G155+G158+G164+G167+G170+G173+G176+G188+G194+G197+G200+G179+G185+G149+G191+G203+G182+G161</f>
        <v>485954</v>
      </c>
      <c r="H146" s="978"/>
      <c r="I146" s="96">
        <f t="shared" si="12"/>
        <v>485954</v>
      </c>
      <c r="J146" s="96">
        <f t="shared" si="12"/>
        <v>485954</v>
      </c>
      <c r="K146" s="96">
        <f t="shared" si="12"/>
        <v>0</v>
      </c>
      <c r="L146" s="927"/>
    </row>
    <row r="147" spans="1:12" s="97" customFormat="1" ht="12.2" customHeight="1">
      <c r="A147" s="928"/>
      <c r="B147" s="931"/>
      <c r="C147" s="931"/>
      <c r="D147" s="934"/>
      <c r="E147" s="928"/>
      <c r="F147" s="95" t="s">
        <v>7</v>
      </c>
      <c r="G147" s="96">
        <f>G145+G146</f>
        <v>3961631</v>
      </c>
      <c r="H147" s="979"/>
      <c r="I147" s="96">
        <f>I145+I146</f>
        <v>3961631</v>
      </c>
      <c r="J147" s="96">
        <f>J145+J146</f>
        <v>3807631</v>
      </c>
      <c r="K147" s="96">
        <f>K145+K146</f>
        <v>154000</v>
      </c>
      <c r="L147" s="928"/>
    </row>
    <row r="148" spans="1:12" s="75" customFormat="1" hidden="1">
      <c r="A148" s="935">
        <v>8</v>
      </c>
      <c r="B148" s="938"/>
      <c r="C148" s="938" t="s">
        <v>355</v>
      </c>
      <c r="D148" s="941" t="s">
        <v>356</v>
      </c>
      <c r="E148" s="935">
        <v>2021</v>
      </c>
      <c r="F148" s="98" t="s">
        <v>5</v>
      </c>
      <c r="G148" s="99">
        <v>20000</v>
      </c>
      <c r="H148" s="954" t="s">
        <v>210</v>
      </c>
      <c r="I148" s="99">
        <f>J148+K148</f>
        <v>20000</v>
      </c>
      <c r="J148" s="99">
        <v>0</v>
      </c>
      <c r="K148" s="99">
        <v>20000</v>
      </c>
      <c r="L148" s="941" t="s">
        <v>357</v>
      </c>
    </row>
    <row r="149" spans="1:12" s="75" customFormat="1" hidden="1">
      <c r="A149" s="936"/>
      <c r="B149" s="939"/>
      <c r="C149" s="939"/>
      <c r="D149" s="942"/>
      <c r="E149" s="936"/>
      <c r="F149" s="98" t="s">
        <v>6</v>
      </c>
      <c r="G149" s="99"/>
      <c r="H149" s="955"/>
      <c r="I149" s="99">
        <f>J149+K149</f>
        <v>0</v>
      </c>
      <c r="J149" s="99"/>
      <c r="K149" s="99"/>
      <c r="L149" s="942"/>
    </row>
    <row r="150" spans="1:12" s="75" customFormat="1" hidden="1">
      <c r="A150" s="937"/>
      <c r="B150" s="940"/>
      <c r="C150" s="940"/>
      <c r="D150" s="943"/>
      <c r="E150" s="937"/>
      <c r="F150" s="98" t="s">
        <v>7</v>
      </c>
      <c r="G150" s="99">
        <f>G148+G149</f>
        <v>20000</v>
      </c>
      <c r="H150" s="956"/>
      <c r="I150" s="99">
        <f>I148+I149</f>
        <v>20000</v>
      </c>
      <c r="J150" s="99">
        <f>J148+J149</f>
        <v>0</v>
      </c>
      <c r="K150" s="99">
        <f>K148+K149</f>
        <v>20000</v>
      </c>
      <c r="L150" s="943"/>
    </row>
    <row r="151" spans="1:12" s="75" customFormat="1" hidden="1">
      <c r="A151" s="935">
        <v>22</v>
      </c>
      <c r="B151" s="938"/>
      <c r="C151" s="938" t="s">
        <v>262</v>
      </c>
      <c r="D151" s="941" t="s">
        <v>263</v>
      </c>
      <c r="E151" s="935">
        <v>2021</v>
      </c>
      <c r="F151" s="98" t="s">
        <v>5</v>
      </c>
      <c r="G151" s="99">
        <v>106000</v>
      </c>
      <c r="H151" s="954" t="s">
        <v>210</v>
      </c>
      <c r="I151" s="99">
        <f>J151+K151</f>
        <v>106000</v>
      </c>
      <c r="J151" s="99">
        <v>106000</v>
      </c>
      <c r="K151" s="99">
        <v>0</v>
      </c>
      <c r="L151" s="941" t="s">
        <v>264</v>
      </c>
    </row>
    <row r="152" spans="1:12" s="75" customFormat="1" hidden="1">
      <c r="A152" s="936"/>
      <c r="B152" s="939"/>
      <c r="C152" s="939"/>
      <c r="D152" s="942"/>
      <c r="E152" s="936"/>
      <c r="F152" s="98" t="s">
        <v>6</v>
      </c>
      <c r="G152" s="99"/>
      <c r="H152" s="955"/>
      <c r="I152" s="99">
        <f>J152+K152</f>
        <v>0</v>
      </c>
      <c r="J152" s="99"/>
      <c r="K152" s="99"/>
      <c r="L152" s="942"/>
    </row>
    <row r="153" spans="1:12" s="75" customFormat="1" hidden="1">
      <c r="A153" s="937"/>
      <c r="B153" s="940"/>
      <c r="C153" s="940"/>
      <c r="D153" s="943"/>
      <c r="E153" s="937"/>
      <c r="F153" s="98" t="s">
        <v>7</v>
      </c>
      <c r="G153" s="99">
        <f>G151+G152</f>
        <v>106000</v>
      </c>
      <c r="H153" s="956"/>
      <c r="I153" s="99">
        <f>I151+I152</f>
        <v>106000</v>
      </c>
      <c r="J153" s="99">
        <f>J151+J152</f>
        <v>106000</v>
      </c>
      <c r="K153" s="99">
        <f>K151+K152</f>
        <v>0</v>
      </c>
      <c r="L153" s="943"/>
    </row>
    <row r="154" spans="1:12" s="75" customFormat="1" ht="12.2" customHeight="1">
      <c r="A154" s="935">
        <v>11</v>
      </c>
      <c r="B154" s="938"/>
      <c r="C154" s="938" t="s">
        <v>262</v>
      </c>
      <c r="D154" s="941" t="s">
        <v>265</v>
      </c>
      <c r="E154" s="935">
        <v>2021</v>
      </c>
      <c r="F154" s="98" t="s">
        <v>5</v>
      </c>
      <c r="G154" s="99">
        <v>576000</v>
      </c>
      <c r="H154" s="954" t="s">
        <v>210</v>
      </c>
      <c r="I154" s="99">
        <f>J154+K154</f>
        <v>576000</v>
      </c>
      <c r="J154" s="99">
        <v>576000</v>
      </c>
      <c r="K154" s="99">
        <v>0</v>
      </c>
      <c r="L154" s="941" t="s">
        <v>264</v>
      </c>
    </row>
    <row r="155" spans="1:12" s="75" customFormat="1" ht="12.2" customHeight="1">
      <c r="A155" s="936"/>
      <c r="B155" s="939"/>
      <c r="C155" s="939"/>
      <c r="D155" s="942"/>
      <c r="E155" s="936"/>
      <c r="F155" s="98" t="s">
        <v>6</v>
      </c>
      <c r="G155" s="99">
        <v>35558</v>
      </c>
      <c r="H155" s="955"/>
      <c r="I155" s="99">
        <f>J155+K155</f>
        <v>35558</v>
      </c>
      <c r="J155" s="99">
        <v>35558</v>
      </c>
      <c r="K155" s="99"/>
      <c r="L155" s="942"/>
    </row>
    <row r="156" spans="1:12" s="75" customFormat="1" ht="12.2" customHeight="1">
      <c r="A156" s="937"/>
      <c r="B156" s="940"/>
      <c r="C156" s="940"/>
      <c r="D156" s="943"/>
      <c r="E156" s="937"/>
      <c r="F156" s="98" t="s">
        <v>7</v>
      </c>
      <c r="G156" s="99">
        <f>G154+G155</f>
        <v>611558</v>
      </c>
      <c r="H156" s="956"/>
      <c r="I156" s="99">
        <f>I154+I155</f>
        <v>611558</v>
      </c>
      <c r="J156" s="99">
        <f>J154+J155</f>
        <v>611558</v>
      </c>
      <c r="K156" s="99">
        <f>K154+K155</f>
        <v>0</v>
      </c>
      <c r="L156" s="943"/>
    </row>
    <row r="157" spans="1:12" s="75" customFormat="1" ht="12.2" customHeight="1">
      <c r="A157" s="935">
        <v>12</v>
      </c>
      <c r="B157" s="938"/>
      <c r="C157" s="938" t="s">
        <v>262</v>
      </c>
      <c r="D157" s="941" t="s">
        <v>266</v>
      </c>
      <c r="E157" s="935">
        <v>2021</v>
      </c>
      <c r="F157" s="98" t="s">
        <v>5</v>
      </c>
      <c r="G157" s="99">
        <v>1722000</v>
      </c>
      <c r="H157" s="954" t="s">
        <v>210</v>
      </c>
      <c r="I157" s="99">
        <f>J157+K157</f>
        <v>1722000</v>
      </c>
      <c r="J157" s="99">
        <v>1722000</v>
      </c>
      <c r="K157" s="99">
        <v>0</v>
      </c>
      <c r="L157" s="941" t="s">
        <v>264</v>
      </c>
    </row>
    <row r="158" spans="1:12" s="75" customFormat="1" ht="12.2" customHeight="1">
      <c r="A158" s="936"/>
      <c r="B158" s="939"/>
      <c r="C158" s="939"/>
      <c r="D158" s="942"/>
      <c r="E158" s="936"/>
      <c r="F158" s="98" t="s">
        <v>6</v>
      </c>
      <c r="G158" s="99">
        <v>174587</v>
      </c>
      <c r="H158" s="955"/>
      <c r="I158" s="99">
        <f>J158+K158</f>
        <v>174587</v>
      </c>
      <c r="J158" s="99">
        <v>174587</v>
      </c>
      <c r="K158" s="99"/>
      <c r="L158" s="942"/>
    </row>
    <row r="159" spans="1:12" s="75" customFormat="1" ht="12.2" customHeight="1">
      <c r="A159" s="937"/>
      <c r="B159" s="940"/>
      <c r="C159" s="940"/>
      <c r="D159" s="943"/>
      <c r="E159" s="937"/>
      <c r="F159" s="98" t="s">
        <v>7</v>
      </c>
      <c r="G159" s="99">
        <f>G157+G158</f>
        <v>1896587</v>
      </c>
      <c r="H159" s="956"/>
      <c r="I159" s="99">
        <f>I157+I158</f>
        <v>1896587</v>
      </c>
      <c r="J159" s="99">
        <f>J157+J158</f>
        <v>1896587</v>
      </c>
      <c r="K159" s="99">
        <f>K157+K158</f>
        <v>0</v>
      </c>
      <c r="L159" s="943"/>
    </row>
    <row r="160" spans="1:12" s="75" customFormat="1" ht="12.2" customHeight="1">
      <c r="A160" s="935">
        <v>13</v>
      </c>
      <c r="B160" s="938"/>
      <c r="C160" s="938" t="s">
        <v>262</v>
      </c>
      <c r="D160" s="941" t="s">
        <v>388</v>
      </c>
      <c r="E160" s="935">
        <v>2021</v>
      </c>
      <c r="F160" s="98" t="s">
        <v>5</v>
      </c>
      <c r="G160" s="99">
        <v>0</v>
      </c>
      <c r="H160" s="954" t="s">
        <v>210</v>
      </c>
      <c r="I160" s="99">
        <f>J160+K160</f>
        <v>0</v>
      </c>
      <c r="J160" s="99">
        <v>0</v>
      </c>
      <c r="K160" s="99">
        <v>0</v>
      </c>
      <c r="L160" s="941" t="s">
        <v>325</v>
      </c>
    </row>
    <row r="161" spans="1:12" s="75" customFormat="1" ht="12.2" customHeight="1">
      <c r="A161" s="936"/>
      <c r="B161" s="939"/>
      <c r="C161" s="939"/>
      <c r="D161" s="942"/>
      <c r="E161" s="936"/>
      <c r="F161" s="98" t="s">
        <v>6</v>
      </c>
      <c r="G161" s="99">
        <v>21000</v>
      </c>
      <c r="H161" s="955"/>
      <c r="I161" s="99">
        <f>J161+K161</f>
        <v>21000</v>
      </c>
      <c r="J161" s="99">
        <v>21000</v>
      </c>
      <c r="K161" s="99"/>
      <c r="L161" s="942"/>
    </row>
    <row r="162" spans="1:12" s="75" customFormat="1" ht="12.2" customHeight="1">
      <c r="A162" s="937"/>
      <c r="B162" s="940"/>
      <c r="C162" s="940"/>
      <c r="D162" s="943"/>
      <c r="E162" s="937"/>
      <c r="F162" s="98" t="s">
        <v>7</v>
      </c>
      <c r="G162" s="99">
        <f>G160+G161</f>
        <v>21000</v>
      </c>
      <c r="H162" s="956"/>
      <c r="I162" s="99">
        <f>I160+I161</f>
        <v>21000</v>
      </c>
      <c r="J162" s="99">
        <f>J160+J161</f>
        <v>21000</v>
      </c>
      <c r="K162" s="99">
        <f>K160+K161</f>
        <v>0</v>
      </c>
      <c r="L162" s="943"/>
    </row>
    <row r="163" spans="1:12" s="75" customFormat="1" hidden="1">
      <c r="A163" s="935">
        <v>25</v>
      </c>
      <c r="B163" s="938"/>
      <c r="C163" s="938" t="s">
        <v>267</v>
      </c>
      <c r="D163" s="941" t="s">
        <v>234</v>
      </c>
      <c r="E163" s="935">
        <v>2021</v>
      </c>
      <c r="F163" s="98" t="s">
        <v>5</v>
      </c>
      <c r="G163" s="99">
        <v>171200</v>
      </c>
      <c r="H163" s="954" t="s">
        <v>210</v>
      </c>
      <c r="I163" s="99">
        <f>J163+K163</f>
        <v>171200</v>
      </c>
      <c r="J163" s="99">
        <v>171200</v>
      </c>
      <c r="K163" s="99">
        <v>0</v>
      </c>
      <c r="L163" s="941" t="s">
        <v>268</v>
      </c>
    </row>
    <row r="164" spans="1:12" s="75" customFormat="1" hidden="1">
      <c r="A164" s="936"/>
      <c r="B164" s="939"/>
      <c r="C164" s="939"/>
      <c r="D164" s="942"/>
      <c r="E164" s="936"/>
      <c r="F164" s="98" t="s">
        <v>6</v>
      </c>
      <c r="G164" s="99"/>
      <c r="H164" s="955"/>
      <c r="I164" s="99">
        <f>J164+K164</f>
        <v>0</v>
      </c>
      <c r="J164" s="99"/>
      <c r="K164" s="99"/>
      <c r="L164" s="942"/>
    </row>
    <row r="165" spans="1:12" s="75" customFormat="1" hidden="1">
      <c r="A165" s="937"/>
      <c r="B165" s="940"/>
      <c r="C165" s="940"/>
      <c r="D165" s="943"/>
      <c r="E165" s="937"/>
      <c r="F165" s="98" t="s">
        <v>7</v>
      </c>
      <c r="G165" s="99">
        <f>G163+G164</f>
        <v>171200</v>
      </c>
      <c r="H165" s="956"/>
      <c r="I165" s="99">
        <f>I163+I164</f>
        <v>171200</v>
      </c>
      <c r="J165" s="99">
        <f>J163+J164</f>
        <v>171200</v>
      </c>
      <c r="K165" s="99">
        <f>K163+K164</f>
        <v>0</v>
      </c>
      <c r="L165" s="943"/>
    </row>
    <row r="166" spans="1:12" s="75" customFormat="1" hidden="1">
      <c r="A166" s="935">
        <v>9</v>
      </c>
      <c r="B166" s="938"/>
      <c r="C166" s="938" t="s">
        <v>267</v>
      </c>
      <c r="D166" s="941" t="s">
        <v>234</v>
      </c>
      <c r="E166" s="935">
        <v>2021</v>
      </c>
      <c r="F166" s="98" t="s">
        <v>5</v>
      </c>
      <c r="G166" s="99">
        <v>44917</v>
      </c>
      <c r="H166" s="954" t="s">
        <v>210</v>
      </c>
      <c r="I166" s="99">
        <f>J166+K166</f>
        <v>44917</v>
      </c>
      <c r="J166" s="99">
        <v>44917</v>
      </c>
      <c r="K166" s="99">
        <v>0</v>
      </c>
      <c r="L166" s="941" t="s">
        <v>269</v>
      </c>
    </row>
    <row r="167" spans="1:12" s="75" customFormat="1" hidden="1">
      <c r="A167" s="936"/>
      <c r="B167" s="939"/>
      <c r="C167" s="939"/>
      <c r="D167" s="942"/>
      <c r="E167" s="936"/>
      <c r="F167" s="98" t="s">
        <v>6</v>
      </c>
      <c r="G167" s="99"/>
      <c r="H167" s="955"/>
      <c r="I167" s="99">
        <f>J167+K167</f>
        <v>0</v>
      </c>
      <c r="J167" s="99"/>
      <c r="K167" s="99"/>
      <c r="L167" s="942"/>
    </row>
    <row r="168" spans="1:12" s="75" customFormat="1" hidden="1">
      <c r="A168" s="937"/>
      <c r="B168" s="940"/>
      <c r="C168" s="940"/>
      <c r="D168" s="943"/>
      <c r="E168" s="937"/>
      <c r="F168" s="98" t="s">
        <v>7</v>
      </c>
      <c r="G168" s="99">
        <f>G166+G167</f>
        <v>44917</v>
      </c>
      <c r="H168" s="956"/>
      <c r="I168" s="99">
        <f>I166+I167</f>
        <v>44917</v>
      </c>
      <c r="J168" s="99">
        <f>J166+J167</f>
        <v>44917</v>
      </c>
      <c r="K168" s="99">
        <f>K166+K167</f>
        <v>0</v>
      </c>
      <c r="L168" s="943"/>
    </row>
    <row r="169" spans="1:12" s="75" customFormat="1" hidden="1">
      <c r="A169" s="935">
        <v>27</v>
      </c>
      <c r="B169" s="938"/>
      <c r="C169" s="938" t="s">
        <v>270</v>
      </c>
      <c r="D169" s="941" t="s">
        <v>271</v>
      </c>
      <c r="E169" s="935">
        <v>2021</v>
      </c>
      <c r="F169" s="98" t="s">
        <v>5</v>
      </c>
      <c r="G169" s="99">
        <v>59000</v>
      </c>
      <c r="H169" s="954" t="s">
        <v>210</v>
      </c>
      <c r="I169" s="99">
        <f>J169+K169</f>
        <v>59000</v>
      </c>
      <c r="J169" s="99">
        <v>59000</v>
      </c>
      <c r="K169" s="99">
        <v>0</v>
      </c>
      <c r="L169" s="941" t="s">
        <v>272</v>
      </c>
    </row>
    <row r="170" spans="1:12" s="75" customFormat="1" hidden="1">
      <c r="A170" s="936"/>
      <c r="B170" s="939"/>
      <c r="C170" s="939"/>
      <c r="D170" s="942"/>
      <c r="E170" s="936"/>
      <c r="F170" s="98" t="s">
        <v>6</v>
      </c>
      <c r="G170" s="99"/>
      <c r="H170" s="955"/>
      <c r="I170" s="99">
        <f>J170+K170</f>
        <v>0</v>
      </c>
      <c r="J170" s="99"/>
      <c r="K170" s="99"/>
      <c r="L170" s="942"/>
    </row>
    <row r="171" spans="1:12" s="75" customFormat="1" hidden="1">
      <c r="A171" s="937"/>
      <c r="B171" s="940"/>
      <c r="C171" s="940"/>
      <c r="D171" s="943"/>
      <c r="E171" s="937"/>
      <c r="F171" s="98" t="s">
        <v>7</v>
      </c>
      <c r="G171" s="99">
        <f>G169+G170</f>
        <v>59000</v>
      </c>
      <c r="H171" s="956"/>
      <c r="I171" s="99">
        <f>I169+I170</f>
        <v>59000</v>
      </c>
      <c r="J171" s="99">
        <f>J169+J170</f>
        <v>59000</v>
      </c>
      <c r="K171" s="99">
        <f>K169+K170</f>
        <v>0</v>
      </c>
      <c r="L171" s="943"/>
    </row>
    <row r="172" spans="1:12" s="75" customFormat="1" hidden="1">
      <c r="A172" s="935">
        <v>28</v>
      </c>
      <c r="B172" s="938"/>
      <c r="C172" s="938" t="s">
        <v>273</v>
      </c>
      <c r="D172" s="941" t="s">
        <v>274</v>
      </c>
      <c r="E172" s="935">
        <v>2021</v>
      </c>
      <c r="F172" s="98" t="s">
        <v>5</v>
      </c>
      <c r="G172" s="99">
        <v>25000</v>
      </c>
      <c r="H172" s="954" t="s">
        <v>210</v>
      </c>
      <c r="I172" s="99">
        <f>J172+K172</f>
        <v>25000</v>
      </c>
      <c r="J172" s="99">
        <v>25000</v>
      </c>
      <c r="K172" s="99"/>
      <c r="L172" s="941" t="s">
        <v>275</v>
      </c>
    </row>
    <row r="173" spans="1:12" s="75" customFormat="1" hidden="1">
      <c r="A173" s="936"/>
      <c r="B173" s="939"/>
      <c r="C173" s="939"/>
      <c r="D173" s="942"/>
      <c r="E173" s="936"/>
      <c r="F173" s="98" t="s">
        <v>6</v>
      </c>
      <c r="G173" s="99"/>
      <c r="H173" s="955"/>
      <c r="I173" s="99">
        <f>J173+K173</f>
        <v>0</v>
      </c>
      <c r="J173" s="99"/>
      <c r="K173" s="99"/>
      <c r="L173" s="942"/>
    </row>
    <row r="174" spans="1:12" s="75" customFormat="1" hidden="1">
      <c r="A174" s="937"/>
      <c r="B174" s="940"/>
      <c r="C174" s="940"/>
      <c r="D174" s="943"/>
      <c r="E174" s="937"/>
      <c r="F174" s="98" t="s">
        <v>7</v>
      </c>
      <c r="G174" s="99">
        <f>G172+G173</f>
        <v>25000</v>
      </c>
      <c r="H174" s="956"/>
      <c r="I174" s="99">
        <f>I172+I173</f>
        <v>25000</v>
      </c>
      <c r="J174" s="99">
        <f>J172+J173</f>
        <v>25000</v>
      </c>
      <c r="K174" s="99">
        <f>K172+K173</f>
        <v>0</v>
      </c>
      <c r="L174" s="943"/>
    </row>
    <row r="175" spans="1:12" s="75" customFormat="1" hidden="1">
      <c r="A175" s="935">
        <v>29</v>
      </c>
      <c r="B175" s="938"/>
      <c r="C175" s="938" t="s">
        <v>273</v>
      </c>
      <c r="D175" s="941" t="s">
        <v>276</v>
      </c>
      <c r="E175" s="935">
        <v>2021</v>
      </c>
      <c r="F175" s="98" t="s">
        <v>5</v>
      </c>
      <c r="G175" s="99">
        <v>25500</v>
      </c>
      <c r="H175" s="954" t="s">
        <v>210</v>
      </c>
      <c r="I175" s="99">
        <f>J175+K175</f>
        <v>25500</v>
      </c>
      <c r="J175" s="99">
        <v>25500</v>
      </c>
      <c r="K175" s="99">
        <v>0</v>
      </c>
      <c r="L175" s="941" t="s">
        <v>277</v>
      </c>
    </row>
    <row r="176" spans="1:12" s="75" customFormat="1" hidden="1">
      <c r="A176" s="936"/>
      <c r="B176" s="939"/>
      <c r="C176" s="939"/>
      <c r="D176" s="942"/>
      <c r="E176" s="936"/>
      <c r="F176" s="98" t="s">
        <v>6</v>
      </c>
      <c r="G176" s="99"/>
      <c r="H176" s="955"/>
      <c r="I176" s="99">
        <f>J176+K176</f>
        <v>0</v>
      </c>
      <c r="J176" s="99"/>
      <c r="K176" s="99"/>
      <c r="L176" s="942"/>
    </row>
    <row r="177" spans="1:12" s="75" customFormat="1" hidden="1">
      <c r="A177" s="937"/>
      <c r="B177" s="940"/>
      <c r="C177" s="940"/>
      <c r="D177" s="943"/>
      <c r="E177" s="937"/>
      <c r="F177" s="98" t="s">
        <v>7</v>
      </c>
      <c r="G177" s="99">
        <f>G175+G176</f>
        <v>25500</v>
      </c>
      <c r="H177" s="956"/>
      <c r="I177" s="99">
        <f>I175+I176</f>
        <v>25500</v>
      </c>
      <c r="J177" s="99">
        <f>J175+J176</f>
        <v>25500</v>
      </c>
      <c r="K177" s="99">
        <f>K175+K176</f>
        <v>0</v>
      </c>
      <c r="L177" s="943"/>
    </row>
    <row r="178" spans="1:12" s="75" customFormat="1" ht="20.45" hidden="1" customHeight="1">
      <c r="A178" s="935">
        <v>10</v>
      </c>
      <c r="B178" s="938"/>
      <c r="C178" s="938" t="s">
        <v>273</v>
      </c>
      <c r="D178" s="941" t="s">
        <v>346</v>
      </c>
      <c r="E178" s="935">
        <v>2021</v>
      </c>
      <c r="F178" s="98" t="s">
        <v>5</v>
      </c>
      <c r="G178" s="99">
        <v>21400</v>
      </c>
      <c r="H178" s="954" t="s">
        <v>210</v>
      </c>
      <c r="I178" s="99">
        <f>J178+K178</f>
        <v>21400</v>
      </c>
      <c r="J178" s="99">
        <v>21400</v>
      </c>
      <c r="K178" s="99">
        <v>0</v>
      </c>
      <c r="L178" s="941" t="s">
        <v>277</v>
      </c>
    </row>
    <row r="179" spans="1:12" s="75" customFormat="1" ht="20.45" hidden="1" customHeight="1">
      <c r="A179" s="936"/>
      <c r="B179" s="939"/>
      <c r="C179" s="939"/>
      <c r="D179" s="942"/>
      <c r="E179" s="936"/>
      <c r="F179" s="98" t="s">
        <v>6</v>
      </c>
      <c r="G179" s="99"/>
      <c r="H179" s="955"/>
      <c r="I179" s="99">
        <f>J179+K179</f>
        <v>0</v>
      </c>
      <c r="J179" s="99"/>
      <c r="K179" s="99"/>
      <c r="L179" s="942"/>
    </row>
    <row r="180" spans="1:12" s="75" customFormat="1" ht="20.45" hidden="1" customHeight="1">
      <c r="A180" s="937"/>
      <c r="B180" s="940"/>
      <c r="C180" s="940"/>
      <c r="D180" s="943"/>
      <c r="E180" s="937"/>
      <c r="F180" s="98" t="s">
        <v>7</v>
      </c>
      <c r="G180" s="99">
        <f>G178+G179</f>
        <v>21400</v>
      </c>
      <c r="H180" s="956"/>
      <c r="I180" s="99">
        <f>I178+I179</f>
        <v>21400</v>
      </c>
      <c r="J180" s="99">
        <f>J178+J179</f>
        <v>21400</v>
      </c>
      <c r="K180" s="99">
        <f>K178+K179</f>
        <v>0</v>
      </c>
      <c r="L180" s="943"/>
    </row>
    <row r="181" spans="1:12" s="75" customFormat="1" ht="12.2" customHeight="1">
      <c r="A181" s="935">
        <v>14</v>
      </c>
      <c r="B181" s="938"/>
      <c r="C181" s="938" t="s">
        <v>273</v>
      </c>
      <c r="D181" s="941" t="s">
        <v>378</v>
      </c>
      <c r="E181" s="935">
        <v>2021</v>
      </c>
      <c r="F181" s="98" t="s">
        <v>5</v>
      </c>
      <c r="G181" s="99">
        <v>0</v>
      </c>
      <c r="H181" s="954" t="s">
        <v>210</v>
      </c>
      <c r="I181" s="99">
        <f>J181+K181</f>
        <v>0</v>
      </c>
      <c r="J181" s="99">
        <v>0</v>
      </c>
      <c r="K181" s="99">
        <v>0</v>
      </c>
      <c r="L181" s="941" t="s">
        <v>277</v>
      </c>
    </row>
    <row r="182" spans="1:12" s="75" customFormat="1" ht="12.2" customHeight="1">
      <c r="A182" s="936"/>
      <c r="B182" s="939"/>
      <c r="C182" s="939"/>
      <c r="D182" s="942"/>
      <c r="E182" s="936"/>
      <c r="F182" s="98" t="s">
        <v>6</v>
      </c>
      <c r="G182" s="99">
        <v>178909</v>
      </c>
      <c r="H182" s="955"/>
      <c r="I182" s="99">
        <f>J182+K182</f>
        <v>178909</v>
      </c>
      <c r="J182" s="99">
        <v>178909</v>
      </c>
      <c r="K182" s="99"/>
      <c r="L182" s="942"/>
    </row>
    <row r="183" spans="1:12" s="75" customFormat="1" ht="12.2" customHeight="1">
      <c r="A183" s="937"/>
      <c r="B183" s="940"/>
      <c r="C183" s="940"/>
      <c r="D183" s="943"/>
      <c r="E183" s="937"/>
      <c r="F183" s="98" t="s">
        <v>7</v>
      </c>
      <c r="G183" s="99">
        <f>G181+G182</f>
        <v>178909</v>
      </c>
      <c r="H183" s="956"/>
      <c r="I183" s="99">
        <f>I181+I182</f>
        <v>178909</v>
      </c>
      <c r="J183" s="99">
        <f>J181+J182</f>
        <v>178909</v>
      </c>
      <c r="K183" s="99">
        <f>K181+K182</f>
        <v>0</v>
      </c>
      <c r="L183" s="943"/>
    </row>
    <row r="184" spans="1:12" s="75" customFormat="1" ht="13.15" hidden="1" customHeight="1">
      <c r="A184" s="935">
        <v>11</v>
      </c>
      <c r="B184" s="938"/>
      <c r="C184" s="938" t="s">
        <v>273</v>
      </c>
      <c r="D184" s="941" t="s">
        <v>354</v>
      </c>
      <c r="E184" s="935">
        <v>2021</v>
      </c>
      <c r="F184" s="98" t="s">
        <v>5</v>
      </c>
      <c r="G184" s="99">
        <v>134000</v>
      </c>
      <c r="H184" s="954" t="s">
        <v>210</v>
      </c>
      <c r="I184" s="99">
        <f>J184+K184</f>
        <v>134000</v>
      </c>
      <c r="J184" s="99">
        <v>0</v>
      </c>
      <c r="K184" s="99">
        <v>134000</v>
      </c>
      <c r="L184" s="941" t="s">
        <v>275</v>
      </c>
    </row>
    <row r="185" spans="1:12" s="75" customFormat="1" hidden="1">
      <c r="A185" s="936"/>
      <c r="B185" s="939"/>
      <c r="C185" s="939"/>
      <c r="D185" s="942"/>
      <c r="E185" s="936"/>
      <c r="F185" s="98" t="s">
        <v>6</v>
      </c>
      <c r="G185" s="99"/>
      <c r="H185" s="955"/>
      <c r="I185" s="99">
        <f>J185+K185</f>
        <v>0</v>
      </c>
      <c r="J185" s="99"/>
      <c r="K185" s="99"/>
      <c r="L185" s="942"/>
    </row>
    <row r="186" spans="1:12" s="75" customFormat="1" hidden="1">
      <c r="A186" s="937"/>
      <c r="B186" s="940"/>
      <c r="C186" s="940"/>
      <c r="D186" s="943"/>
      <c r="E186" s="937"/>
      <c r="F186" s="98" t="s">
        <v>7</v>
      </c>
      <c r="G186" s="99">
        <f>G184+G185</f>
        <v>134000</v>
      </c>
      <c r="H186" s="956"/>
      <c r="I186" s="99">
        <f>I184+I185</f>
        <v>134000</v>
      </c>
      <c r="J186" s="99">
        <f>J184+J185</f>
        <v>0</v>
      </c>
      <c r="K186" s="99">
        <f>K184+K185</f>
        <v>134000</v>
      </c>
      <c r="L186" s="943"/>
    </row>
    <row r="187" spans="1:12" s="75" customFormat="1" hidden="1">
      <c r="A187" s="935">
        <v>30</v>
      </c>
      <c r="B187" s="938"/>
      <c r="C187" s="938" t="s">
        <v>278</v>
      </c>
      <c r="D187" s="941" t="s">
        <v>279</v>
      </c>
      <c r="E187" s="935">
        <v>2021</v>
      </c>
      <c r="F187" s="98" t="s">
        <v>5</v>
      </c>
      <c r="G187" s="99">
        <v>150000</v>
      </c>
      <c r="H187" s="954" t="s">
        <v>210</v>
      </c>
      <c r="I187" s="99">
        <f>J187+K187</f>
        <v>150000</v>
      </c>
      <c r="J187" s="99">
        <v>150000</v>
      </c>
      <c r="K187" s="99">
        <v>0</v>
      </c>
      <c r="L187" s="941" t="s">
        <v>280</v>
      </c>
    </row>
    <row r="188" spans="1:12" s="75" customFormat="1" hidden="1">
      <c r="A188" s="936"/>
      <c r="B188" s="939"/>
      <c r="C188" s="939"/>
      <c r="D188" s="942"/>
      <c r="E188" s="936"/>
      <c r="F188" s="98" t="s">
        <v>6</v>
      </c>
      <c r="G188" s="99"/>
      <c r="H188" s="955"/>
      <c r="I188" s="99">
        <f>J188+K188</f>
        <v>0</v>
      </c>
      <c r="J188" s="99"/>
      <c r="K188" s="99"/>
      <c r="L188" s="942"/>
    </row>
    <row r="189" spans="1:12" s="75" customFormat="1" hidden="1">
      <c r="A189" s="937"/>
      <c r="B189" s="940"/>
      <c r="C189" s="940"/>
      <c r="D189" s="943"/>
      <c r="E189" s="937"/>
      <c r="F189" s="98" t="s">
        <v>7</v>
      </c>
      <c r="G189" s="99">
        <f>G187+G188</f>
        <v>150000</v>
      </c>
      <c r="H189" s="956"/>
      <c r="I189" s="99">
        <f>I187+I188</f>
        <v>150000</v>
      </c>
      <c r="J189" s="99">
        <f>J187+J188</f>
        <v>150000</v>
      </c>
      <c r="K189" s="99">
        <f>K187+K188</f>
        <v>0</v>
      </c>
      <c r="L189" s="943"/>
    </row>
    <row r="190" spans="1:12" s="75" customFormat="1" ht="14.45" customHeight="1">
      <c r="A190" s="935">
        <v>15</v>
      </c>
      <c r="B190" s="938"/>
      <c r="C190" s="938" t="s">
        <v>278</v>
      </c>
      <c r="D190" s="941" t="s">
        <v>376</v>
      </c>
      <c r="E190" s="935">
        <v>2021</v>
      </c>
      <c r="F190" s="98" t="s">
        <v>5</v>
      </c>
      <c r="G190" s="99">
        <v>0</v>
      </c>
      <c r="H190" s="954" t="s">
        <v>210</v>
      </c>
      <c r="I190" s="99">
        <f>J190+K190</f>
        <v>0</v>
      </c>
      <c r="J190" s="99">
        <v>0</v>
      </c>
      <c r="K190" s="99">
        <v>0</v>
      </c>
      <c r="L190" s="941" t="s">
        <v>280</v>
      </c>
    </row>
    <row r="191" spans="1:12" s="75" customFormat="1" ht="14.45" customHeight="1">
      <c r="A191" s="936"/>
      <c r="B191" s="939"/>
      <c r="C191" s="939"/>
      <c r="D191" s="942"/>
      <c r="E191" s="936"/>
      <c r="F191" s="98" t="s">
        <v>6</v>
      </c>
      <c r="G191" s="99">
        <v>25900</v>
      </c>
      <c r="H191" s="955"/>
      <c r="I191" s="99">
        <f>J191+K191</f>
        <v>25900</v>
      </c>
      <c r="J191" s="99">
        <v>25900</v>
      </c>
      <c r="K191" s="99"/>
      <c r="L191" s="942"/>
    </row>
    <row r="192" spans="1:12" s="75" customFormat="1" ht="14.45" customHeight="1">
      <c r="A192" s="937"/>
      <c r="B192" s="940"/>
      <c r="C192" s="940"/>
      <c r="D192" s="943"/>
      <c r="E192" s="937"/>
      <c r="F192" s="98" t="s">
        <v>7</v>
      </c>
      <c r="G192" s="99">
        <f>G190+G191</f>
        <v>25900</v>
      </c>
      <c r="H192" s="956"/>
      <c r="I192" s="99">
        <f>I190+I191</f>
        <v>25900</v>
      </c>
      <c r="J192" s="99">
        <f>J190+J191</f>
        <v>25900</v>
      </c>
      <c r="K192" s="99">
        <f>K190+K191</f>
        <v>0</v>
      </c>
      <c r="L192" s="943"/>
    </row>
    <row r="193" spans="1:12" s="75" customFormat="1" hidden="1">
      <c r="A193" s="935">
        <v>12</v>
      </c>
      <c r="B193" s="938"/>
      <c r="C193" s="938" t="s">
        <v>278</v>
      </c>
      <c r="D193" s="941" t="s">
        <v>281</v>
      </c>
      <c r="E193" s="935">
        <v>2021</v>
      </c>
      <c r="F193" s="98" t="s">
        <v>5</v>
      </c>
      <c r="G193" s="99">
        <v>0</v>
      </c>
      <c r="H193" s="954" t="s">
        <v>210</v>
      </c>
      <c r="I193" s="99">
        <f>J193+K193</f>
        <v>0</v>
      </c>
      <c r="J193" s="99">
        <v>0</v>
      </c>
      <c r="K193" s="99">
        <v>0</v>
      </c>
      <c r="L193" s="941" t="s">
        <v>282</v>
      </c>
    </row>
    <row r="194" spans="1:12" s="75" customFormat="1" hidden="1">
      <c r="A194" s="936"/>
      <c r="B194" s="939"/>
      <c r="C194" s="939"/>
      <c r="D194" s="942"/>
      <c r="E194" s="936"/>
      <c r="F194" s="98" t="s">
        <v>6</v>
      </c>
      <c r="G194" s="99"/>
      <c r="H194" s="955"/>
      <c r="I194" s="99">
        <f>J194+K194</f>
        <v>0</v>
      </c>
      <c r="J194" s="99"/>
      <c r="K194" s="99"/>
      <c r="L194" s="942"/>
    </row>
    <row r="195" spans="1:12" s="75" customFormat="1" hidden="1">
      <c r="A195" s="937"/>
      <c r="B195" s="940"/>
      <c r="C195" s="940"/>
      <c r="D195" s="943"/>
      <c r="E195" s="937"/>
      <c r="F195" s="98" t="s">
        <v>7</v>
      </c>
      <c r="G195" s="99">
        <f>G193+G194</f>
        <v>0</v>
      </c>
      <c r="H195" s="956"/>
      <c r="I195" s="99">
        <f>I193+I194</f>
        <v>0</v>
      </c>
      <c r="J195" s="99">
        <f>J193+J194</f>
        <v>0</v>
      </c>
      <c r="K195" s="99">
        <f>K193+K194</f>
        <v>0</v>
      </c>
      <c r="L195" s="943"/>
    </row>
    <row r="196" spans="1:12" s="75" customFormat="1" hidden="1">
      <c r="A196" s="935">
        <v>32</v>
      </c>
      <c r="B196" s="938"/>
      <c r="C196" s="938" t="s">
        <v>278</v>
      </c>
      <c r="D196" s="941" t="s">
        <v>283</v>
      </c>
      <c r="E196" s="935">
        <v>2021</v>
      </c>
      <c r="F196" s="98" t="s">
        <v>5</v>
      </c>
      <c r="G196" s="99">
        <v>170660</v>
      </c>
      <c r="H196" s="954" t="s">
        <v>210</v>
      </c>
      <c r="I196" s="99">
        <f>J196+K196</f>
        <v>170660</v>
      </c>
      <c r="J196" s="99">
        <v>170660</v>
      </c>
      <c r="K196" s="99">
        <v>0</v>
      </c>
      <c r="L196" s="941" t="s">
        <v>282</v>
      </c>
    </row>
    <row r="197" spans="1:12" s="75" customFormat="1" hidden="1">
      <c r="A197" s="936"/>
      <c r="B197" s="939"/>
      <c r="C197" s="939"/>
      <c r="D197" s="942"/>
      <c r="E197" s="936"/>
      <c r="F197" s="98" t="s">
        <v>6</v>
      </c>
      <c r="G197" s="99"/>
      <c r="H197" s="955"/>
      <c r="I197" s="99">
        <f>J197+K197</f>
        <v>0</v>
      </c>
      <c r="J197" s="99"/>
      <c r="K197" s="99"/>
      <c r="L197" s="942"/>
    </row>
    <row r="198" spans="1:12" s="75" customFormat="1" hidden="1">
      <c r="A198" s="937"/>
      <c r="B198" s="940"/>
      <c r="C198" s="940"/>
      <c r="D198" s="943"/>
      <c r="E198" s="937"/>
      <c r="F198" s="98" t="s">
        <v>7</v>
      </c>
      <c r="G198" s="99">
        <f>G196+G197</f>
        <v>170660</v>
      </c>
      <c r="H198" s="956"/>
      <c r="I198" s="99">
        <f>I196+I197</f>
        <v>170660</v>
      </c>
      <c r="J198" s="99">
        <f>J196+J197</f>
        <v>170660</v>
      </c>
      <c r="K198" s="99">
        <f>K196+K197</f>
        <v>0</v>
      </c>
      <c r="L198" s="943"/>
    </row>
    <row r="199" spans="1:12" s="75" customFormat="1" hidden="1">
      <c r="A199" s="935">
        <v>33</v>
      </c>
      <c r="B199" s="938"/>
      <c r="C199" s="938" t="s">
        <v>284</v>
      </c>
      <c r="D199" s="941" t="s">
        <v>285</v>
      </c>
      <c r="E199" s="935">
        <v>2021</v>
      </c>
      <c r="F199" s="98" t="s">
        <v>5</v>
      </c>
      <c r="G199" s="99">
        <v>250000</v>
      </c>
      <c r="H199" s="954" t="s">
        <v>210</v>
      </c>
      <c r="I199" s="99">
        <f>J199+K199</f>
        <v>250000</v>
      </c>
      <c r="J199" s="99">
        <v>250000</v>
      </c>
      <c r="K199" s="99">
        <v>0</v>
      </c>
      <c r="L199" s="941" t="s">
        <v>226</v>
      </c>
    </row>
    <row r="200" spans="1:12" s="75" customFormat="1" hidden="1">
      <c r="A200" s="936"/>
      <c r="B200" s="939"/>
      <c r="C200" s="939"/>
      <c r="D200" s="942"/>
      <c r="E200" s="936"/>
      <c r="F200" s="98" t="s">
        <v>6</v>
      </c>
      <c r="G200" s="99"/>
      <c r="H200" s="955"/>
      <c r="I200" s="99">
        <f>J200+K200</f>
        <v>0</v>
      </c>
      <c r="J200" s="99"/>
      <c r="K200" s="99"/>
      <c r="L200" s="942"/>
    </row>
    <row r="201" spans="1:12" s="75" customFormat="1" hidden="1">
      <c r="A201" s="937"/>
      <c r="B201" s="940"/>
      <c r="C201" s="940"/>
      <c r="D201" s="943"/>
      <c r="E201" s="937"/>
      <c r="F201" s="98" t="s">
        <v>7</v>
      </c>
      <c r="G201" s="99">
        <f>G199+G200</f>
        <v>250000</v>
      </c>
      <c r="H201" s="956"/>
      <c r="I201" s="99">
        <f>I199+I200</f>
        <v>250000</v>
      </c>
      <c r="J201" s="99">
        <f>J199+J200</f>
        <v>250000</v>
      </c>
      <c r="K201" s="99">
        <f>K199+K200</f>
        <v>0</v>
      </c>
      <c r="L201" s="943"/>
    </row>
    <row r="202" spans="1:12" s="75" customFormat="1" ht="12.2" customHeight="1">
      <c r="A202" s="935">
        <v>16</v>
      </c>
      <c r="B202" s="938"/>
      <c r="C202" s="938" t="s">
        <v>284</v>
      </c>
      <c r="D202" s="941" t="s">
        <v>377</v>
      </c>
      <c r="E202" s="935">
        <v>2021</v>
      </c>
      <c r="F202" s="98" t="s">
        <v>5</v>
      </c>
      <c r="G202" s="99">
        <v>0</v>
      </c>
      <c r="H202" s="954" t="s">
        <v>210</v>
      </c>
      <c r="I202" s="99">
        <f>J202+K202</f>
        <v>0</v>
      </c>
      <c r="J202" s="99">
        <v>0</v>
      </c>
      <c r="K202" s="99">
        <v>0</v>
      </c>
      <c r="L202" s="941" t="s">
        <v>226</v>
      </c>
    </row>
    <row r="203" spans="1:12" s="75" customFormat="1" ht="12.2" customHeight="1">
      <c r="A203" s="936"/>
      <c r="B203" s="939"/>
      <c r="C203" s="939"/>
      <c r="D203" s="942"/>
      <c r="E203" s="936"/>
      <c r="F203" s="98" t="s">
        <v>6</v>
      </c>
      <c r="G203" s="99">
        <v>50000</v>
      </c>
      <c r="H203" s="955"/>
      <c r="I203" s="99">
        <f>J203+K203</f>
        <v>50000</v>
      </c>
      <c r="J203" s="99">
        <v>50000</v>
      </c>
      <c r="K203" s="99"/>
      <c r="L203" s="942"/>
    </row>
    <row r="204" spans="1:12" s="75" customFormat="1" ht="12.2" customHeight="1">
      <c r="A204" s="937"/>
      <c r="B204" s="940"/>
      <c r="C204" s="940"/>
      <c r="D204" s="943"/>
      <c r="E204" s="937"/>
      <c r="F204" s="98" t="s">
        <v>7</v>
      </c>
      <c r="G204" s="99">
        <f>G202+G203</f>
        <v>50000</v>
      </c>
      <c r="H204" s="956"/>
      <c r="I204" s="99">
        <f>I202+I203</f>
        <v>50000</v>
      </c>
      <c r="J204" s="99">
        <f>J202+J203</f>
        <v>50000</v>
      </c>
      <c r="K204" s="99">
        <f>K202+K203</f>
        <v>0</v>
      </c>
      <c r="L204" s="943"/>
    </row>
    <row r="205" spans="1:12" s="97" customFormat="1" ht="12.2" customHeight="1">
      <c r="A205" s="926"/>
      <c r="B205" s="929" t="s">
        <v>286</v>
      </c>
      <c r="C205" s="929"/>
      <c r="D205" s="932" t="s">
        <v>287</v>
      </c>
      <c r="E205" s="926" t="s">
        <v>210</v>
      </c>
      <c r="F205" s="95" t="s">
        <v>5</v>
      </c>
      <c r="G205" s="96">
        <f>G208+G211</f>
        <v>2000000</v>
      </c>
      <c r="H205" s="977" t="str">
        <f>H208</f>
        <v>x</v>
      </c>
      <c r="I205" s="96">
        <f t="shared" ref="I205:K206" si="13">I208+I211</f>
        <v>2000000</v>
      </c>
      <c r="J205" s="96">
        <f t="shared" si="13"/>
        <v>2000000</v>
      </c>
      <c r="K205" s="96">
        <f t="shared" si="13"/>
        <v>0</v>
      </c>
      <c r="L205" s="926" t="s">
        <v>210</v>
      </c>
    </row>
    <row r="206" spans="1:12" s="97" customFormat="1" ht="12.2" customHeight="1">
      <c r="A206" s="927"/>
      <c r="B206" s="930"/>
      <c r="C206" s="930"/>
      <c r="D206" s="933"/>
      <c r="E206" s="927"/>
      <c r="F206" s="95" t="s">
        <v>6</v>
      </c>
      <c r="G206" s="96">
        <f>G209+G212</f>
        <v>700000</v>
      </c>
      <c r="H206" s="978"/>
      <c r="I206" s="96">
        <f t="shared" si="13"/>
        <v>700000</v>
      </c>
      <c r="J206" s="96">
        <f t="shared" si="13"/>
        <v>700000</v>
      </c>
      <c r="K206" s="96">
        <f t="shared" si="13"/>
        <v>0</v>
      </c>
      <c r="L206" s="927"/>
    </row>
    <row r="207" spans="1:12" s="97" customFormat="1" ht="12.2" customHeight="1">
      <c r="A207" s="928"/>
      <c r="B207" s="931"/>
      <c r="C207" s="931"/>
      <c r="D207" s="934"/>
      <c r="E207" s="928"/>
      <c r="F207" s="95" t="s">
        <v>7</v>
      </c>
      <c r="G207" s="96">
        <f>G205+G206</f>
        <v>2700000</v>
      </c>
      <c r="H207" s="979"/>
      <c r="I207" s="96">
        <f>I205+I206</f>
        <v>2700000</v>
      </c>
      <c r="J207" s="96">
        <f>J205+J206</f>
        <v>2700000</v>
      </c>
      <c r="K207" s="96">
        <f>K205+K206</f>
        <v>0</v>
      </c>
      <c r="L207" s="928"/>
    </row>
    <row r="208" spans="1:12" s="75" customFormat="1" ht="12.2" customHeight="1">
      <c r="A208" s="935">
        <v>17</v>
      </c>
      <c r="B208" s="938"/>
      <c r="C208" s="938" t="s">
        <v>288</v>
      </c>
      <c r="D208" s="941" t="s">
        <v>289</v>
      </c>
      <c r="E208" s="935">
        <v>2021</v>
      </c>
      <c r="F208" s="98" t="s">
        <v>5</v>
      </c>
      <c r="G208" s="99">
        <v>2000000</v>
      </c>
      <c r="H208" s="954" t="s">
        <v>210</v>
      </c>
      <c r="I208" s="99">
        <f>J208+K208</f>
        <v>2000000</v>
      </c>
      <c r="J208" s="99">
        <v>2000000</v>
      </c>
      <c r="K208" s="99"/>
      <c r="L208" s="941" t="s">
        <v>226</v>
      </c>
    </row>
    <row r="209" spans="1:12" s="75" customFormat="1" ht="12.2" customHeight="1">
      <c r="A209" s="936"/>
      <c r="B209" s="939"/>
      <c r="C209" s="939"/>
      <c r="D209" s="942"/>
      <c r="E209" s="936"/>
      <c r="F209" s="98" t="s">
        <v>6</v>
      </c>
      <c r="G209" s="99">
        <v>650000</v>
      </c>
      <c r="H209" s="955"/>
      <c r="I209" s="99">
        <f>J209+K209</f>
        <v>650000</v>
      </c>
      <c r="J209" s="99">
        <v>650000</v>
      </c>
      <c r="K209" s="99"/>
      <c r="L209" s="942"/>
    </row>
    <row r="210" spans="1:12" s="75" customFormat="1" ht="12.2" customHeight="1">
      <c r="A210" s="937"/>
      <c r="B210" s="940"/>
      <c r="C210" s="940"/>
      <c r="D210" s="943"/>
      <c r="E210" s="937"/>
      <c r="F210" s="98" t="s">
        <v>7</v>
      </c>
      <c r="G210" s="99">
        <f>G208+G209</f>
        <v>2650000</v>
      </c>
      <c r="H210" s="956"/>
      <c r="I210" s="99">
        <f>I208+I209</f>
        <v>2650000</v>
      </c>
      <c r="J210" s="99">
        <f>J208+J209</f>
        <v>2650000</v>
      </c>
      <c r="K210" s="99">
        <f>K208+K209</f>
        <v>0</v>
      </c>
      <c r="L210" s="943"/>
    </row>
    <row r="211" spans="1:12" s="75" customFormat="1" ht="12.2" customHeight="1">
      <c r="A211" s="935">
        <v>18</v>
      </c>
      <c r="B211" s="938"/>
      <c r="C211" s="938" t="s">
        <v>288</v>
      </c>
      <c r="D211" s="941" t="s">
        <v>390</v>
      </c>
      <c r="E211" s="935">
        <v>2021</v>
      </c>
      <c r="F211" s="98" t="s">
        <v>5</v>
      </c>
      <c r="G211" s="99">
        <v>0</v>
      </c>
      <c r="H211" s="954" t="s">
        <v>210</v>
      </c>
      <c r="I211" s="99">
        <f>J211+K211</f>
        <v>0</v>
      </c>
      <c r="J211" s="99">
        <v>0</v>
      </c>
      <c r="K211" s="99"/>
      <c r="L211" s="941" t="s">
        <v>226</v>
      </c>
    </row>
    <row r="212" spans="1:12" s="75" customFormat="1" ht="12.2" customHeight="1">
      <c r="A212" s="936"/>
      <c r="B212" s="939"/>
      <c r="C212" s="939"/>
      <c r="D212" s="942"/>
      <c r="E212" s="936"/>
      <c r="F212" s="98" t="s">
        <v>6</v>
      </c>
      <c r="G212" s="99">
        <v>50000</v>
      </c>
      <c r="H212" s="955"/>
      <c r="I212" s="99">
        <f>J212+K212</f>
        <v>50000</v>
      </c>
      <c r="J212" s="99">
        <v>50000</v>
      </c>
      <c r="K212" s="99"/>
      <c r="L212" s="942"/>
    </row>
    <row r="213" spans="1:12" s="75" customFormat="1" ht="12.2" customHeight="1">
      <c r="A213" s="937"/>
      <c r="B213" s="940"/>
      <c r="C213" s="940"/>
      <c r="D213" s="943"/>
      <c r="E213" s="937"/>
      <c r="F213" s="98" t="s">
        <v>7</v>
      </c>
      <c r="G213" s="99">
        <f>G211+G212</f>
        <v>50000</v>
      </c>
      <c r="H213" s="956"/>
      <c r="I213" s="99">
        <f>I211+I212</f>
        <v>50000</v>
      </c>
      <c r="J213" s="99">
        <f>J211+J212</f>
        <v>50000</v>
      </c>
      <c r="K213" s="99">
        <f>K211+K212</f>
        <v>0</v>
      </c>
      <c r="L213" s="943"/>
    </row>
    <row r="214" spans="1:12" s="75" customFormat="1" ht="5.0999999999999996" customHeight="1">
      <c r="A214" s="101"/>
      <c r="B214" s="102"/>
      <c r="C214" s="102"/>
      <c r="D214" s="103"/>
      <c r="E214" s="101"/>
      <c r="F214" s="101"/>
      <c r="G214" s="99"/>
      <c r="H214" s="104"/>
      <c r="I214" s="99"/>
      <c r="J214" s="99"/>
      <c r="K214" s="99"/>
      <c r="L214" s="105"/>
    </row>
    <row r="215" spans="1:12" s="97" customFormat="1" ht="14.1" customHeight="1">
      <c r="A215" s="957" t="s">
        <v>290</v>
      </c>
      <c r="B215" s="958"/>
      <c r="C215" s="958"/>
      <c r="D215" s="959"/>
      <c r="E215" s="966" t="s">
        <v>210</v>
      </c>
      <c r="F215" s="86" t="s">
        <v>5</v>
      </c>
      <c r="G215" s="106">
        <f>G19+G25+G67+G73+G85+G112+G121+G145+G205+G100+G58+G139</f>
        <v>66256078</v>
      </c>
      <c r="H215" s="969" t="s">
        <v>210</v>
      </c>
      <c r="I215" s="106">
        <f t="shared" ref="I215:K216" si="14">I19+I25+I67+I73+I85+I112+I121+I145+I205+I100+I58+I139</f>
        <v>66256078</v>
      </c>
      <c r="J215" s="106">
        <f t="shared" si="14"/>
        <v>64327836</v>
      </c>
      <c r="K215" s="106">
        <f t="shared" si="14"/>
        <v>1928242</v>
      </c>
      <c r="L215" s="972" t="s">
        <v>210</v>
      </c>
    </row>
    <row r="216" spans="1:12" s="97" customFormat="1" ht="14.1" customHeight="1">
      <c r="A216" s="960"/>
      <c r="B216" s="961"/>
      <c r="C216" s="961"/>
      <c r="D216" s="962"/>
      <c r="E216" s="967"/>
      <c r="F216" s="86" t="s">
        <v>6</v>
      </c>
      <c r="G216" s="106">
        <f>G20+G26+G68+G74+G86+G113+G122+G146+G206+G101+G59+G140</f>
        <v>-3062913</v>
      </c>
      <c r="H216" s="970"/>
      <c r="I216" s="106">
        <f t="shared" si="14"/>
        <v>-3062913</v>
      </c>
      <c r="J216" s="106">
        <f t="shared" si="14"/>
        <v>-3062913</v>
      </c>
      <c r="K216" s="106">
        <f t="shared" si="14"/>
        <v>0</v>
      </c>
      <c r="L216" s="973"/>
    </row>
    <row r="217" spans="1:12" s="97" customFormat="1" ht="14.1" customHeight="1">
      <c r="A217" s="963"/>
      <c r="B217" s="964"/>
      <c r="C217" s="964"/>
      <c r="D217" s="965"/>
      <c r="E217" s="968"/>
      <c r="F217" s="86" t="s">
        <v>7</v>
      </c>
      <c r="G217" s="106">
        <f>G215+G216</f>
        <v>63193165</v>
      </c>
      <c r="H217" s="971"/>
      <c r="I217" s="106">
        <f>I215+I216</f>
        <v>63193165</v>
      </c>
      <c r="J217" s="106">
        <f>J215+J216</f>
        <v>61264923</v>
      </c>
      <c r="K217" s="106">
        <f>K215+K216</f>
        <v>1928242</v>
      </c>
      <c r="L217" s="974"/>
    </row>
    <row r="218" spans="1:12" s="75" customFormat="1" ht="5.0999999999999996" customHeight="1">
      <c r="A218" s="975"/>
      <c r="B218" s="975"/>
      <c r="C218" s="975"/>
      <c r="D218" s="975"/>
      <c r="E218" s="975"/>
      <c r="F218" s="975"/>
      <c r="G218" s="975"/>
      <c r="H218" s="975"/>
      <c r="I218" s="975"/>
      <c r="J218" s="975"/>
      <c r="K218" s="975"/>
      <c r="L218" s="975"/>
    </row>
    <row r="219" spans="1:12" s="93" customFormat="1" ht="18" customHeight="1">
      <c r="A219" s="125" t="s">
        <v>291</v>
      </c>
      <c r="B219" s="976" t="s">
        <v>292</v>
      </c>
      <c r="C219" s="976"/>
      <c r="D219" s="976"/>
      <c r="E219" s="976"/>
      <c r="F219" s="976"/>
      <c r="G219" s="976"/>
      <c r="H219" s="976"/>
      <c r="I219" s="976"/>
      <c r="J219" s="976"/>
      <c r="K219" s="976"/>
      <c r="L219" s="976"/>
    </row>
    <row r="220" spans="1:12" s="75" customFormat="1" ht="5.0999999999999996" customHeight="1">
      <c r="A220" s="122"/>
      <c r="B220" s="102"/>
      <c r="C220" s="102"/>
      <c r="D220" s="103"/>
      <c r="E220" s="122"/>
      <c r="F220" s="122"/>
      <c r="G220" s="99"/>
      <c r="H220" s="123"/>
      <c r="I220" s="99"/>
      <c r="J220" s="99"/>
      <c r="K220" s="99"/>
      <c r="L220" s="105"/>
    </row>
    <row r="221" spans="1:12" s="97" customFormat="1" ht="12.2" customHeight="1">
      <c r="A221" s="926"/>
      <c r="B221" s="929" t="s">
        <v>11</v>
      </c>
      <c r="C221" s="929"/>
      <c r="D221" s="944" t="s">
        <v>12</v>
      </c>
      <c r="E221" s="926" t="s">
        <v>210</v>
      </c>
      <c r="F221" s="121" t="s">
        <v>5</v>
      </c>
      <c r="G221" s="96">
        <f t="shared" ref="G221:K222" si="15">G230+G233+G236+G239+G242+G245+G248+G251+G254+G257+G260+G263+G293+G296+G266+G269+G272+G275+G278+G281+G299+G227+G284+G287+G290+G224</f>
        <v>375952452</v>
      </c>
      <c r="H221" s="96">
        <f t="shared" si="15"/>
        <v>58411320</v>
      </c>
      <c r="I221" s="96">
        <f t="shared" si="15"/>
        <v>65237278</v>
      </c>
      <c r="J221" s="96">
        <f t="shared" si="15"/>
        <v>62852819</v>
      </c>
      <c r="K221" s="96">
        <f t="shared" si="15"/>
        <v>2384459</v>
      </c>
      <c r="L221" s="926" t="s">
        <v>210</v>
      </c>
    </row>
    <row r="222" spans="1:12" s="97" customFormat="1" ht="12.2" customHeight="1">
      <c r="A222" s="927"/>
      <c r="B222" s="930"/>
      <c r="C222" s="930"/>
      <c r="D222" s="945"/>
      <c r="E222" s="927"/>
      <c r="F222" s="121" t="s">
        <v>6</v>
      </c>
      <c r="G222" s="96">
        <f t="shared" si="15"/>
        <v>24866151</v>
      </c>
      <c r="H222" s="96">
        <f t="shared" si="15"/>
        <v>-10896082</v>
      </c>
      <c r="I222" s="96">
        <f t="shared" si="15"/>
        <v>18752407</v>
      </c>
      <c r="J222" s="96">
        <f t="shared" si="15"/>
        <v>19752407</v>
      </c>
      <c r="K222" s="96">
        <f t="shared" si="15"/>
        <v>-1000000</v>
      </c>
      <c r="L222" s="927"/>
    </row>
    <row r="223" spans="1:12" s="97" customFormat="1" ht="12.2" customHeight="1">
      <c r="A223" s="928"/>
      <c r="B223" s="931"/>
      <c r="C223" s="931"/>
      <c r="D223" s="946"/>
      <c r="E223" s="928"/>
      <c r="F223" s="124" t="s">
        <v>7</v>
      </c>
      <c r="G223" s="96">
        <f>G221+G222</f>
        <v>400818603</v>
      </c>
      <c r="H223" s="96">
        <f>H221+H222</f>
        <v>47515238</v>
      </c>
      <c r="I223" s="96">
        <f>I221+I222</f>
        <v>83989685</v>
      </c>
      <c r="J223" s="96">
        <f>J221+J222</f>
        <v>82605226</v>
      </c>
      <c r="K223" s="96">
        <f>K221+K222</f>
        <v>1384459</v>
      </c>
      <c r="L223" s="928"/>
    </row>
    <row r="224" spans="1:12" s="75" customFormat="1" ht="12.2" customHeight="1">
      <c r="A224" s="935">
        <v>1</v>
      </c>
      <c r="B224" s="938"/>
      <c r="C224" s="938" t="s">
        <v>98</v>
      </c>
      <c r="D224" s="941" t="s">
        <v>371</v>
      </c>
      <c r="E224" s="935" t="s">
        <v>305</v>
      </c>
      <c r="F224" s="120" t="s">
        <v>5</v>
      </c>
      <c r="G224" s="99">
        <v>0</v>
      </c>
      <c r="H224" s="107">
        <v>0</v>
      </c>
      <c r="I224" s="99">
        <f>J224+K224</f>
        <v>0</v>
      </c>
      <c r="J224" s="99">
        <v>0</v>
      </c>
      <c r="K224" s="99">
        <v>0</v>
      </c>
      <c r="L224" s="941" t="s">
        <v>226</v>
      </c>
    </row>
    <row r="225" spans="1:12" s="75" customFormat="1" ht="12.2" customHeight="1">
      <c r="A225" s="936"/>
      <c r="B225" s="939"/>
      <c r="C225" s="939"/>
      <c r="D225" s="942"/>
      <c r="E225" s="936"/>
      <c r="F225" s="120" t="s">
        <v>6</v>
      </c>
      <c r="G225" s="99">
        <v>11070000</v>
      </c>
      <c r="H225" s="107"/>
      <c r="I225" s="99">
        <f>J225+K225</f>
        <v>7380000</v>
      </c>
      <c r="J225" s="99">
        <v>7380000</v>
      </c>
      <c r="K225" s="99"/>
      <c r="L225" s="942"/>
    </row>
    <row r="226" spans="1:12" s="75" customFormat="1" ht="12.2" customHeight="1">
      <c r="A226" s="937"/>
      <c r="B226" s="940"/>
      <c r="C226" s="940"/>
      <c r="D226" s="943"/>
      <c r="E226" s="937"/>
      <c r="F226" s="122" t="s">
        <v>7</v>
      </c>
      <c r="G226" s="99">
        <f>G224+G225</f>
        <v>11070000</v>
      </c>
      <c r="H226" s="99">
        <f>H224+H225</f>
        <v>0</v>
      </c>
      <c r="I226" s="99">
        <f>I224+I225</f>
        <v>7380000</v>
      </c>
      <c r="J226" s="99">
        <f>J224+J225</f>
        <v>7380000</v>
      </c>
      <c r="K226" s="99">
        <f>K224+K225</f>
        <v>0</v>
      </c>
      <c r="L226" s="943"/>
    </row>
    <row r="227" spans="1:12" s="75" customFormat="1" ht="20.45" hidden="1" customHeight="1">
      <c r="A227" s="935">
        <v>1</v>
      </c>
      <c r="B227" s="938"/>
      <c r="C227" s="938" t="s">
        <v>100</v>
      </c>
      <c r="D227" s="941" t="s">
        <v>366</v>
      </c>
      <c r="E227" s="935" t="s">
        <v>367</v>
      </c>
      <c r="F227" s="98" t="s">
        <v>5</v>
      </c>
      <c r="G227" s="99">
        <v>282832</v>
      </c>
      <c r="H227" s="107">
        <v>82832</v>
      </c>
      <c r="I227" s="99">
        <f>J227+K227</f>
        <v>200000</v>
      </c>
      <c r="J227" s="99">
        <v>200000</v>
      </c>
      <c r="K227" s="99">
        <v>0</v>
      </c>
      <c r="L227" s="941" t="s">
        <v>226</v>
      </c>
    </row>
    <row r="228" spans="1:12" s="75" customFormat="1" ht="20.45" hidden="1" customHeight="1">
      <c r="A228" s="936"/>
      <c r="B228" s="939"/>
      <c r="C228" s="939"/>
      <c r="D228" s="942"/>
      <c r="E228" s="936"/>
      <c r="F228" s="98" t="s">
        <v>6</v>
      </c>
      <c r="G228" s="99"/>
      <c r="H228" s="107"/>
      <c r="I228" s="99">
        <f>J228+K228</f>
        <v>0</v>
      </c>
      <c r="J228" s="99"/>
      <c r="K228" s="99"/>
      <c r="L228" s="942"/>
    </row>
    <row r="229" spans="1:12" s="75" customFormat="1" ht="20.45" hidden="1" customHeight="1">
      <c r="A229" s="937"/>
      <c r="B229" s="940"/>
      <c r="C229" s="940"/>
      <c r="D229" s="943"/>
      <c r="E229" s="937"/>
      <c r="F229" s="98" t="s">
        <v>7</v>
      </c>
      <c r="G229" s="99">
        <f>G227+G228</f>
        <v>282832</v>
      </c>
      <c r="H229" s="99">
        <f>H227+H228</f>
        <v>82832</v>
      </c>
      <c r="I229" s="99">
        <f>I227+I228</f>
        <v>200000</v>
      </c>
      <c r="J229" s="99">
        <f>J227+J228</f>
        <v>200000</v>
      </c>
      <c r="K229" s="99">
        <f>K227+K228</f>
        <v>0</v>
      </c>
      <c r="L229" s="943"/>
    </row>
    <row r="230" spans="1:12" s="75" customFormat="1" ht="12.2" customHeight="1">
      <c r="A230" s="935">
        <v>2</v>
      </c>
      <c r="B230" s="938"/>
      <c r="C230" s="938" t="s">
        <v>13</v>
      </c>
      <c r="D230" s="941" t="s">
        <v>293</v>
      </c>
      <c r="E230" s="935" t="s">
        <v>294</v>
      </c>
      <c r="F230" s="120" t="s">
        <v>5</v>
      </c>
      <c r="G230" s="99">
        <v>64097300</v>
      </c>
      <c r="H230" s="107">
        <v>46391347</v>
      </c>
      <c r="I230" s="99">
        <f>J230+K230</f>
        <v>17705953</v>
      </c>
      <c r="J230" s="99">
        <v>17705953</v>
      </c>
      <c r="K230" s="99">
        <v>0</v>
      </c>
      <c r="L230" s="941" t="s">
        <v>295</v>
      </c>
    </row>
    <row r="231" spans="1:12" s="75" customFormat="1" ht="12.2" customHeight="1">
      <c r="A231" s="936"/>
      <c r="B231" s="939"/>
      <c r="C231" s="939"/>
      <c r="D231" s="942"/>
      <c r="E231" s="936"/>
      <c r="F231" s="120" t="s">
        <v>6</v>
      </c>
      <c r="G231" s="99">
        <v>930000</v>
      </c>
      <c r="H231" s="107">
        <v>-13346318</v>
      </c>
      <c r="I231" s="99">
        <f>J231+K231</f>
        <v>14276318</v>
      </c>
      <c r="J231" s="99">
        <v>14276318</v>
      </c>
      <c r="K231" s="99"/>
      <c r="L231" s="942"/>
    </row>
    <row r="232" spans="1:12" s="75" customFormat="1" ht="12.2" customHeight="1">
      <c r="A232" s="937"/>
      <c r="B232" s="940"/>
      <c r="C232" s="940"/>
      <c r="D232" s="943"/>
      <c r="E232" s="937"/>
      <c r="F232" s="122" t="s">
        <v>7</v>
      </c>
      <c r="G232" s="99">
        <f>G230+G231</f>
        <v>65027300</v>
      </c>
      <c r="H232" s="99">
        <f>H230+H231</f>
        <v>33045029</v>
      </c>
      <c r="I232" s="99">
        <f>I230+I231</f>
        <v>31982271</v>
      </c>
      <c r="J232" s="99">
        <f>J230+J231</f>
        <v>31982271</v>
      </c>
      <c r="K232" s="99">
        <f>K230+K231</f>
        <v>0</v>
      </c>
      <c r="L232" s="943"/>
    </row>
    <row r="233" spans="1:12" s="75" customFormat="1" ht="23.25" customHeight="1">
      <c r="A233" s="935">
        <v>3</v>
      </c>
      <c r="B233" s="938"/>
      <c r="C233" s="938" t="s">
        <v>13</v>
      </c>
      <c r="D233" s="941" t="s">
        <v>296</v>
      </c>
      <c r="E233" s="935" t="s">
        <v>347</v>
      </c>
      <c r="F233" s="120" t="s">
        <v>5</v>
      </c>
      <c r="G233" s="99">
        <v>328414</v>
      </c>
      <c r="H233" s="107">
        <v>0</v>
      </c>
      <c r="I233" s="99">
        <f>J233+K233</f>
        <v>278414</v>
      </c>
      <c r="J233" s="99">
        <v>278414</v>
      </c>
      <c r="K233" s="99">
        <v>0</v>
      </c>
      <c r="L233" s="941" t="s">
        <v>295</v>
      </c>
    </row>
    <row r="234" spans="1:12" s="75" customFormat="1" ht="23.25" customHeight="1">
      <c r="A234" s="936"/>
      <c r="B234" s="939"/>
      <c r="C234" s="939"/>
      <c r="D234" s="942"/>
      <c r="E234" s="936"/>
      <c r="F234" s="120" t="s">
        <v>6</v>
      </c>
      <c r="G234" s="99">
        <v>671586</v>
      </c>
      <c r="H234" s="107"/>
      <c r="I234" s="99">
        <f>J234+K234</f>
        <v>0</v>
      </c>
      <c r="J234" s="99"/>
      <c r="K234" s="99"/>
      <c r="L234" s="942"/>
    </row>
    <row r="235" spans="1:12" s="75" customFormat="1" ht="23.25" customHeight="1">
      <c r="A235" s="937"/>
      <c r="B235" s="940"/>
      <c r="C235" s="940"/>
      <c r="D235" s="943"/>
      <c r="E235" s="937"/>
      <c r="F235" s="122" t="s">
        <v>7</v>
      </c>
      <c r="G235" s="99">
        <f>G233+G234</f>
        <v>1000000</v>
      </c>
      <c r="H235" s="99">
        <f>H233+H234</f>
        <v>0</v>
      </c>
      <c r="I235" s="99">
        <f>I233+I234</f>
        <v>278414</v>
      </c>
      <c r="J235" s="99">
        <f>J233+J234</f>
        <v>278414</v>
      </c>
      <c r="K235" s="99">
        <f>K233+K234</f>
        <v>0</v>
      </c>
      <c r="L235" s="943"/>
    </row>
    <row r="236" spans="1:12" s="75" customFormat="1" hidden="1">
      <c r="A236" s="935">
        <v>3</v>
      </c>
      <c r="B236" s="938"/>
      <c r="C236" s="938" t="s">
        <v>13</v>
      </c>
      <c r="D236" s="941" t="s">
        <v>298</v>
      </c>
      <c r="E236" s="935" t="s">
        <v>299</v>
      </c>
      <c r="F236" s="98" t="s">
        <v>5</v>
      </c>
      <c r="G236" s="99">
        <v>196200000</v>
      </c>
      <c r="H236" s="107">
        <v>142214</v>
      </c>
      <c r="I236" s="99">
        <f>J236+K236</f>
        <v>1038844</v>
      </c>
      <c r="J236" s="99">
        <v>0</v>
      </c>
      <c r="K236" s="99">
        <v>1038844</v>
      </c>
      <c r="L236" s="941" t="s">
        <v>295</v>
      </c>
    </row>
    <row r="237" spans="1:12" s="75" customFormat="1" hidden="1">
      <c r="A237" s="936"/>
      <c r="B237" s="939"/>
      <c r="C237" s="939"/>
      <c r="D237" s="942"/>
      <c r="E237" s="936"/>
      <c r="F237" s="98" t="s">
        <v>6</v>
      </c>
      <c r="G237" s="99"/>
      <c r="H237" s="107"/>
      <c r="I237" s="99">
        <f>J237+K237</f>
        <v>0</v>
      </c>
      <c r="J237" s="99"/>
      <c r="K237" s="99"/>
      <c r="L237" s="942"/>
    </row>
    <row r="238" spans="1:12" s="75" customFormat="1" hidden="1">
      <c r="A238" s="937"/>
      <c r="B238" s="940"/>
      <c r="C238" s="940"/>
      <c r="D238" s="943"/>
      <c r="E238" s="937"/>
      <c r="F238" s="98" t="s">
        <v>7</v>
      </c>
      <c r="G238" s="99">
        <f>G236+G237</f>
        <v>196200000</v>
      </c>
      <c r="H238" s="99">
        <f>H236+H237</f>
        <v>142214</v>
      </c>
      <c r="I238" s="99">
        <f>I236+I237</f>
        <v>1038844</v>
      </c>
      <c r="J238" s="99">
        <f>J236+J237</f>
        <v>0</v>
      </c>
      <c r="K238" s="99">
        <f>K236+K237</f>
        <v>1038844</v>
      </c>
      <c r="L238" s="943"/>
    </row>
    <row r="239" spans="1:12" s="75" customFormat="1" hidden="1">
      <c r="A239" s="935">
        <v>4</v>
      </c>
      <c r="B239" s="938"/>
      <c r="C239" s="938" t="s">
        <v>13</v>
      </c>
      <c r="D239" s="941" t="s">
        <v>300</v>
      </c>
      <c r="E239" s="935" t="s">
        <v>301</v>
      </c>
      <c r="F239" s="98" t="s">
        <v>5</v>
      </c>
      <c r="G239" s="99">
        <v>171586</v>
      </c>
      <c r="H239" s="107">
        <v>17159</v>
      </c>
      <c r="I239" s="99">
        <f>J239+K239</f>
        <v>154427</v>
      </c>
      <c r="J239" s="99">
        <v>154427</v>
      </c>
      <c r="K239" s="99">
        <v>0</v>
      </c>
      <c r="L239" s="941" t="s">
        <v>295</v>
      </c>
    </row>
    <row r="240" spans="1:12" s="75" customFormat="1" hidden="1">
      <c r="A240" s="936"/>
      <c r="B240" s="939"/>
      <c r="C240" s="939"/>
      <c r="D240" s="942"/>
      <c r="E240" s="936"/>
      <c r="F240" s="98" t="s">
        <v>6</v>
      </c>
      <c r="G240" s="99"/>
      <c r="H240" s="107"/>
      <c r="I240" s="99">
        <f>J240+K240</f>
        <v>0</v>
      </c>
      <c r="J240" s="99"/>
      <c r="K240" s="99"/>
      <c r="L240" s="942"/>
    </row>
    <row r="241" spans="1:12" s="75" customFormat="1" hidden="1">
      <c r="A241" s="937"/>
      <c r="B241" s="940"/>
      <c r="C241" s="940"/>
      <c r="D241" s="943"/>
      <c r="E241" s="937"/>
      <c r="F241" s="98" t="s">
        <v>7</v>
      </c>
      <c r="G241" s="99">
        <f>G239+G240</f>
        <v>171586</v>
      </c>
      <c r="H241" s="99">
        <f>H239+H240</f>
        <v>17159</v>
      </c>
      <c r="I241" s="99">
        <f>I239+I240</f>
        <v>154427</v>
      </c>
      <c r="J241" s="99">
        <f>J239+J240</f>
        <v>154427</v>
      </c>
      <c r="K241" s="99">
        <f>K239+K240</f>
        <v>0</v>
      </c>
      <c r="L241" s="943"/>
    </row>
    <row r="242" spans="1:12" s="75" customFormat="1" ht="24" hidden="1" customHeight="1">
      <c r="A242" s="935">
        <v>4</v>
      </c>
      <c r="B242" s="938"/>
      <c r="C242" s="938" t="s">
        <v>13</v>
      </c>
      <c r="D242" s="941" t="s">
        <v>302</v>
      </c>
      <c r="E242" s="935" t="s">
        <v>301</v>
      </c>
      <c r="F242" s="98" t="s">
        <v>5</v>
      </c>
      <c r="G242" s="99">
        <v>169000</v>
      </c>
      <c r="H242" s="107">
        <v>24600</v>
      </c>
      <c r="I242" s="99">
        <f>J242+K242</f>
        <v>144400</v>
      </c>
      <c r="J242" s="99">
        <v>0</v>
      </c>
      <c r="K242" s="99">
        <v>144400</v>
      </c>
      <c r="L242" s="941" t="s">
        <v>295</v>
      </c>
    </row>
    <row r="243" spans="1:12" s="75" customFormat="1" ht="24" hidden="1" customHeight="1">
      <c r="A243" s="936"/>
      <c r="B243" s="939"/>
      <c r="C243" s="939"/>
      <c r="D243" s="942"/>
      <c r="E243" s="936"/>
      <c r="F243" s="98" t="s">
        <v>6</v>
      </c>
      <c r="G243" s="99"/>
      <c r="H243" s="107"/>
      <c r="I243" s="99">
        <f>J243+K243</f>
        <v>0</v>
      </c>
      <c r="J243" s="99"/>
      <c r="K243" s="99"/>
      <c r="L243" s="942"/>
    </row>
    <row r="244" spans="1:12" s="75" customFormat="1" ht="24" hidden="1" customHeight="1">
      <c r="A244" s="937"/>
      <c r="B244" s="940"/>
      <c r="C244" s="940"/>
      <c r="D244" s="943"/>
      <c r="E244" s="937"/>
      <c r="F244" s="98" t="s">
        <v>7</v>
      </c>
      <c r="G244" s="99">
        <f>G242+G243</f>
        <v>169000</v>
      </c>
      <c r="H244" s="99">
        <f>H242+H243</f>
        <v>24600</v>
      </c>
      <c r="I244" s="99">
        <f>I242+I243</f>
        <v>144400</v>
      </c>
      <c r="J244" s="99">
        <f>J242+J243</f>
        <v>0</v>
      </c>
      <c r="K244" s="99">
        <f>K242+K243</f>
        <v>144400</v>
      </c>
      <c r="L244" s="943"/>
    </row>
    <row r="245" spans="1:12" s="75" customFormat="1" ht="18.600000000000001" hidden="1" customHeight="1">
      <c r="A245" s="935">
        <v>6</v>
      </c>
      <c r="B245" s="938"/>
      <c r="C245" s="938" t="s">
        <v>13</v>
      </c>
      <c r="D245" s="941" t="s">
        <v>303</v>
      </c>
      <c r="E245" s="935" t="s">
        <v>294</v>
      </c>
      <c r="F245" s="98" t="s">
        <v>5</v>
      </c>
      <c r="G245" s="99">
        <v>461250</v>
      </c>
      <c r="H245" s="107">
        <f>83025+177010</f>
        <v>260035</v>
      </c>
      <c r="I245" s="99">
        <f>J245+K245</f>
        <v>201215</v>
      </c>
      <c r="J245" s="99">
        <v>0</v>
      </c>
      <c r="K245" s="99">
        <v>201215</v>
      </c>
      <c r="L245" s="941" t="s">
        <v>295</v>
      </c>
    </row>
    <row r="246" spans="1:12" s="75" customFormat="1" ht="18.600000000000001" hidden="1" customHeight="1">
      <c r="A246" s="936"/>
      <c r="B246" s="939"/>
      <c r="C246" s="939"/>
      <c r="D246" s="942"/>
      <c r="E246" s="936"/>
      <c r="F246" s="98" t="s">
        <v>6</v>
      </c>
      <c r="G246" s="99"/>
      <c r="H246" s="107"/>
      <c r="I246" s="99">
        <f>J246+K246</f>
        <v>0</v>
      </c>
      <c r="J246" s="99"/>
      <c r="K246" s="99"/>
      <c r="L246" s="942"/>
    </row>
    <row r="247" spans="1:12" s="75" customFormat="1" ht="18.600000000000001" hidden="1" customHeight="1">
      <c r="A247" s="937"/>
      <c r="B247" s="940"/>
      <c r="C247" s="940"/>
      <c r="D247" s="943"/>
      <c r="E247" s="937"/>
      <c r="F247" s="98" t="s">
        <v>7</v>
      </c>
      <c r="G247" s="99">
        <f>G245+G246</f>
        <v>461250</v>
      </c>
      <c r="H247" s="99">
        <f>H245+H246</f>
        <v>260035</v>
      </c>
      <c r="I247" s="99">
        <f>I245+I246</f>
        <v>201215</v>
      </c>
      <c r="J247" s="99">
        <f>J245+J246</f>
        <v>0</v>
      </c>
      <c r="K247" s="99">
        <f>K245+K246</f>
        <v>201215</v>
      </c>
      <c r="L247" s="943"/>
    </row>
    <row r="248" spans="1:12" s="75" customFormat="1">
      <c r="A248" s="935">
        <v>4</v>
      </c>
      <c r="B248" s="938"/>
      <c r="C248" s="938" t="s">
        <v>13</v>
      </c>
      <c r="D248" s="941" t="s">
        <v>304</v>
      </c>
      <c r="E248" s="935" t="s">
        <v>350</v>
      </c>
      <c r="F248" s="98" t="s">
        <v>5</v>
      </c>
      <c r="G248" s="99">
        <v>11538750</v>
      </c>
      <c r="H248" s="107">
        <v>0</v>
      </c>
      <c r="I248" s="99">
        <f>J248+K248</f>
        <v>5000000</v>
      </c>
      <c r="J248" s="99">
        <v>4000000</v>
      </c>
      <c r="K248" s="99">
        <v>1000000</v>
      </c>
      <c r="L248" s="941" t="s">
        <v>295</v>
      </c>
    </row>
    <row r="249" spans="1:12" s="75" customFormat="1">
      <c r="A249" s="936"/>
      <c r="B249" s="939"/>
      <c r="C249" s="939"/>
      <c r="D249" s="942"/>
      <c r="E249" s="936"/>
      <c r="F249" s="98" t="s">
        <v>6</v>
      </c>
      <c r="G249" s="99"/>
      <c r="H249" s="107"/>
      <c r="I249" s="99">
        <f>J249+K249</f>
        <v>-5000000</v>
      </c>
      <c r="J249" s="99">
        <v>-4000000</v>
      </c>
      <c r="K249" s="99">
        <v>-1000000</v>
      </c>
      <c r="L249" s="942"/>
    </row>
    <row r="250" spans="1:12" s="75" customFormat="1">
      <c r="A250" s="937"/>
      <c r="B250" s="940"/>
      <c r="C250" s="940"/>
      <c r="D250" s="943"/>
      <c r="E250" s="937"/>
      <c r="F250" s="98" t="s">
        <v>7</v>
      </c>
      <c r="G250" s="99">
        <f>G248+G249</f>
        <v>11538750</v>
      </c>
      <c r="H250" s="99">
        <f>H248+H249</f>
        <v>0</v>
      </c>
      <c r="I250" s="99">
        <f>I248+I249</f>
        <v>0</v>
      </c>
      <c r="J250" s="99">
        <f>J248+J249</f>
        <v>0</v>
      </c>
      <c r="K250" s="99">
        <f>K248+K249</f>
        <v>0</v>
      </c>
      <c r="L250" s="943"/>
    </row>
    <row r="251" spans="1:12" s="75" customFormat="1" ht="20.45" customHeight="1">
      <c r="A251" s="935">
        <v>5</v>
      </c>
      <c r="B251" s="938"/>
      <c r="C251" s="938" t="s">
        <v>13</v>
      </c>
      <c r="D251" s="941" t="s">
        <v>306</v>
      </c>
      <c r="E251" s="935" t="s">
        <v>350</v>
      </c>
      <c r="F251" s="98" t="s">
        <v>5</v>
      </c>
      <c r="G251" s="99">
        <v>125000</v>
      </c>
      <c r="H251" s="107">
        <v>0</v>
      </c>
      <c r="I251" s="99">
        <f>J251+K251</f>
        <v>50000</v>
      </c>
      <c r="J251" s="99">
        <v>50000</v>
      </c>
      <c r="K251" s="99">
        <v>0</v>
      </c>
      <c r="L251" s="941" t="s">
        <v>295</v>
      </c>
    </row>
    <row r="252" spans="1:12" s="75" customFormat="1" ht="20.45" customHeight="1">
      <c r="A252" s="936"/>
      <c r="B252" s="939"/>
      <c r="C252" s="939"/>
      <c r="D252" s="942"/>
      <c r="E252" s="936"/>
      <c r="F252" s="98" t="s">
        <v>6</v>
      </c>
      <c r="G252" s="99">
        <v>598240</v>
      </c>
      <c r="H252" s="107"/>
      <c r="I252" s="99">
        <f>J252+K252</f>
        <v>-50000</v>
      </c>
      <c r="J252" s="99">
        <v>-50000</v>
      </c>
      <c r="K252" s="99"/>
      <c r="L252" s="942"/>
    </row>
    <row r="253" spans="1:12" s="75" customFormat="1" ht="20.45" customHeight="1">
      <c r="A253" s="937"/>
      <c r="B253" s="940"/>
      <c r="C253" s="940"/>
      <c r="D253" s="943"/>
      <c r="E253" s="937"/>
      <c r="F253" s="98" t="s">
        <v>7</v>
      </c>
      <c r="G253" s="99">
        <f>G251+G252</f>
        <v>723240</v>
      </c>
      <c r="H253" s="99">
        <f>H251+H252</f>
        <v>0</v>
      </c>
      <c r="I253" s="99">
        <f>I251+I252</f>
        <v>0</v>
      </c>
      <c r="J253" s="99">
        <f>J251+J252</f>
        <v>0</v>
      </c>
      <c r="K253" s="99">
        <f>K251+K252</f>
        <v>0</v>
      </c>
      <c r="L253" s="943"/>
    </row>
    <row r="254" spans="1:12" s="75" customFormat="1" ht="25.15" hidden="1" customHeight="1">
      <c r="A254" s="935">
        <v>9</v>
      </c>
      <c r="B254" s="938"/>
      <c r="C254" s="938" t="s">
        <v>13</v>
      </c>
      <c r="D254" s="941" t="s">
        <v>307</v>
      </c>
      <c r="E254" s="935" t="s">
        <v>294</v>
      </c>
      <c r="F254" s="98" t="s">
        <v>5</v>
      </c>
      <c r="G254" s="99">
        <v>306639</v>
      </c>
      <c r="H254" s="107">
        <v>201330</v>
      </c>
      <c r="I254" s="99">
        <f>J254+K254</f>
        <v>105309</v>
      </c>
      <c r="J254" s="99">
        <v>105309</v>
      </c>
      <c r="K254" s="99">
        <v>0</v>
      </c>
      <c r="L254" s="941" t="s">
        <v>295</v>
      </c>
    </row>
    <row r="255" spans="1:12" s="75" customFormat="1" ht="25.15" hidden="1" customHeight="1">
      <c r="A255" s="936"/>
      <c r="B255" s="939"/>
      <c r="C255" s="939"/>
      <c r="D255" s="942"/>
      <c r="E255" s="936"/>
      <c r="F255" s="98" t="s">
        <v>6</v>
      </c>
      <c r="G255" s="99"/>
      <c r="H255" s="107"/>
      <c r="I255" s="99">
        <f>J255+K255</f>
        <v>0</v>
      </c>
      <c r="J255" s="99"/>
      <c r="K255" s="99"/>
      <c r="L255" s="942"/>
    </row>
    <row r="256" spans="1:12" s="75" customFormat="1" ht="25.15" hidden="1" customHeight="1">
      <c r="A256" s="937"/>
      <c r="B256" s="940"/>
      <c r="C256" s="940"/>
      <c r="D256" s="943"/>
      <c r="E256" s="937"/>
      <c r="F256" s="98" t="s">
        <v>7</v>
      </c>
      <c r="G256" s="99">
        <f>G254+G255</f>
        <v>306639</v>
      </c>
      <c r="H256" s="99">
        <f>H254+H255</f>
        <v>201330</v>
      </c>
      <c r="I256" s="99">
        <f>I254+I255</f>
        <v>105309</v>
      </c>
      <c r="J256" s="99">
        <f>J254+J255</f>
        <v>105309</v>
      </c>
      <c r="K256" s="99">
        <f>K254+K255</f>
        <v>0</v>
      </c>
      <c r="L256" s="943"/>
    </row>
    <row r="257" spans="1:12" s="75" customFormat="1" hidden="1">
      <c r="A257" s="935">
        <v>10</v>
      </c>
      <c r="B257" s="938"/>
      <c r="C257" s="938" t="s">
        <v>13</v>
      </c>
      <c r="D257" s="941" t="s">
        <v>308</v>
      </c>
      <c r="E257" s="935" t="s">
        <v>309</v>
      </c>
      <c r="F257" s="98" t="s">
        <v>5</v>
      </c>
      <c r="G257" s="99">
        <v>150000</v>
      </c>
      <c r="H257" s="107">
        <v>0</v>
      </c>
      <c r="I257" s="99">
        <f>J257+K257</f>
        <v>150000</v>
      </c>
      <c r="J257" s="99">
        <v>150000</v>
      </c>
      <c r="K257" s="99">
        <v>0</v>
      </c>
      <c r="L257" s="941" t="s">
        <v>295</v>
      </c>
    </row>
    <row r="258" spans="1:12" s="75" customFormat="1" hidden="1">
      <c r="A258" s="936"/>
      <c r="B258" s="939"/>
      <c r="C258" s="939"/>
      <c r="D258" s="942"/>
      <c r="E258" s="936"/>
      <c r="F258" s="98" t="s">
        <v>6</v>
      </c>
      <c r="G258" s="99"/>
      <c r="H258" s="107"/>
      <c r="I258" s="99">
        <f>J258+K258</f>
        <v>0</v>
      </c>
      <c r="J258" s="99"/>
      <c r="K258" s="99"/>
      <c r="L258" s="942"/>
    </row>
    <row r="259" spans="1:12" s="75" customFormat="1" hidden="1">
      <c r="A259" s="937"/>
      <c r="B259" s="940"/>
      <c r="C259" s="940"/>
      <c r="D259" s="943"/>
      <c r="E259" s="937"/>
      <c r="F259" s="98" t="s">
        <v>7</v>
      </c>
      <c r="G259" s="99">
        <f>G257+G258</f>
        <v>150000</v>
      </c>
      <c r="H259" s="99">
        <f>H257+H258</f>
        <v>0</v>
      </c>
      <c r="I259" s="99">
        <f>I257+I258</f>
        <v>150000</v>
      </c>
      <c r="J259" s="99">
        <f>J257+J258</f>
        <v>150000</v>
      </c>
      <c r="K259" s="99">
        <f>K257+K258</f>
        <v>0</v>
      </c>
      <c r="L259" s="943"/>
    </row>
    <row r="260" spans="1:12" s="75" customFormat="1" hidden="1">
      <c r="A260" s="935">
        <v>11</v>
      </c>
      <c r="B260" s="938"/>
      <c r="C260" s="938" t="s">
        <v>13</v>
      </c>
      <c r="D260" s="941" t="s">
        <v>310</v>
      </c>
      <c r="E260" s="935" t="s">
        <v>301</v>
      </c>
      <c r="F260" s="98" t="s">
        <v>5</v>
      </c>
      <c r="G260" s="99">
        <v>1750000</v>
      </c>
      <c r="H260" s="107">
        <v>0</v>
      </c>
      <c r="I260" s="99">
        <f>J260+K260</f>
        <v>1750000</v>
      </c>
      <c r="J260" s="99">
        <v>1750000</v>
      </c>
      <c r="K260" s="99">
        <v>0</v>
      </c>
      <c r="L260" s="941" t="s">
        <v>226</v>
      </c>
    </row>
    <row r="261" spans="1:12" s="75" customFormat="1" hidden="1">
      <c r="A261" s="936"/>
      <c r="B261" s="939"/>
      <c r="C261" s="939"/>
      <c r="D261" s="942"/>
      <c r="E261" s="936"/>
      <c r="F261" s="98" t="s">
        <v>6</v>
      </c>
      <c r="G261" s="99"/>
      <c r="H261" s="107"/>
      <c r="I261" s="99">
        <f>J261+K261</f>
        <v>0</v>
      </c>
      <c r="J261" s="99"/>
      <c r="K261" s="99"/>
      <c r="L261" s="942"/>
    </row>
    <row r="262" spans="1:12" s="75" customFormat="1" hidden="1">
      <c r="A262" s="937"/>
      <c r="B262" s="940"/>
      <c r="C262" s="940"/>
      <c r="D262" s="943"/>
      <c r="E262" s="937"/>
      <c r="F262" s="98" t="s">
        <v>7</v>
      </c>
      <c r="G262" s="99">
        <f>G260+G261</f>
        <v>1750000</v>
      </c>
      <c r="H262" s="99">
        <f>H260+H261</f>
        <v>0</v>
      </c>
      <c r="I262" s="99">
        <f>I260+I261</f>
        <v>1750000</v>
      </c>
      <c r="J262" s="99">
        <f>J260+J261</f>
        <v>1750000</v>
      </c>
      <c r="K262" s="99">
        <f>K260+K261</f>
        <v>0</v>
      </c>
      <c r="L262" s="943"/>
    </row>
    <row r="263" spans="1:12" s="75" customFormat="1" ht="34.5" customHeight="1">
      <c r="A263" s="935">
        <v>6</v>
      </c>
      <c r="B263" s="938"/>
      <c r="C263" s="938" t="s">
        <v>13</v>
      </c>
      <c r="D263" s="941" t="s">
        <v>391</v>
      </c>
      <c r="E263" s="935" t="s">
        <v>305</v>
      </c>
      <c r="F263" s="98" t="s">
        <v>5</v>
      </c>
      <c r="G263" s="99">
        <v>75000</v>
      </c>
      <c r="H263" s="107">
        <v>0</v>
      </c>
      <c r="I263" s="99">
        <f>J263+K263</f>
        <v>40000</v>
      </c>
      <c r="J263" s="99">
        <v>40000</v>
      </c>
      <c r="K263" s="99">
        <v>0</v>
      </c>
      <c r="L263" s="941" t="s">
        <v>226</v>
      </c>
    </row>
    <row r="264" spans="1:12" s="75" customFormat="1" ht="34.5" customHeight="1">
      <c r="A264" s="936"/>
      <c r="B264" s="939"/>
      <c r="C264" s="939"/>
      <c r="D264" s="942"/>
      <c r="E264" s="936"/>
      <c r="F264" s="98" t="s">
        <v>6</v>
      </c>
      <c r="G264" s="99"/>
      <c r="H264" s="107"/>
      <c r="I264" s="99">
        <f>J264+K264</f>
        <v>0</v>
      </c>
      <c r="J264" s="99"/>
      <c r="K264" s="99"/>
      <c r="L264" s="942"/>
    </row>
    <row r="265" spans="1:12" s="75" customFormat="1" ht="34.5" customHeight="1">
      <c r="A265" s="937"/>
      <c r="B265" s="940"/>
      <c r="C265" s="940"/>
      <c r="D265" s="943"/>
      <c r="E265" s="937"/>
      <c r="F265" s="98" t="s">
        <v>7</v>
      </c>
      <c r="G265" s="99">
        <f>G263+G264</f>
        <v>75000</v>
      </c>
      <c r="H265" s="99">
        <f>H263+H264</f>
        <v>0</v>
      </c>
      <c r="I265" s="99">
        <f>I263+I264</f>
        <v>40000</v>
      </c>
      <c r="J265" s="99">
        <f>J263+J264</f>
        <v>40000</v>
      </c>
      <c r="K265" s="99">
        <f>K263+K264</f>
        <v>0</v>
      </c>
      <c r="L265" s="943"/>
    </row>
    <row r="266" spans="1:12" s="75" customFormat="1" ht="15" customHeight="1">
      <c r="A266" s="935">
        <v>7</v>
      </c>
      <c r="B266" s="938"/>
      <c r="C266" s="938" t="s">
        <v>13</v>
      </c>
      <c r="D266" s="941" t="s">
        <v>233</v>
      </c>
      <c r="E266" s="935" t="s">
        <v>350</v>
      </c>
      <c r="F266" s="98" t="s">
        <v>5</v>
      </c>
      <c r="G266" s="99">
        <v>10200000</v>
      </c>
      <c r="H266" s="107">
        <v>0</v>
      </c>
      <c r="I266" s="99">
        <f>J266+K266</f>
        <v>5000000</v>
      </c>
      <c r="J266" s="99">
        <v>5000000</v>
      </c>
      <c r="K266" s="99">
        <v>0</v>
      </c>
      <c r="L266" s="941" t="s">
        <v>295</v>
      </c>
    </row>
    <row r="267" spans="1:12" s="75" customFormat="1" ht="15" customHeight="1">
      <c r="A267" s="936"/>
      <c r="B267" s="939"/>
      <c r="C267" s="939"/>
      <c r="D267" s="942"/>
      <c r="E267" s="936"/>
      <c r="F267" s="98" t="s">
        <v>6</v>
      </c>
      <c r="G267" s="99"/>
      <c r="H267" s="107"/>
      <c r="I267" s="99">
        <f>J267+K267</f>
        <v>-5000000</v>
      </c>
      <c r="J267" s="99">
        <v>-5000000</v>
      </c>
      <c r="K267" s="99"/>
      <c r="L267" s="942"/>
    </row>
    <row r="268" spans="1:12" s="75" customFormat="1" ht="15" customHeight="1">
      <c r="A268" s="937"/>
      <c r="B268" s="940"/>
      <c r="C268" s="940"/>
      <c r="D268" s="943"/>
      <c r="E268" s="937"/>
      <c r="F268" s="101" t="s">
        <v>7</v>
      </c>
      <c r="G268" s="99">
        <f>G266+G267</f>
        <v>10200000</v>
      </c>
      <c r="H268" s="99">
        <f>H266+H267</f>
        <v>0</v>
      </c>
      <c r="I268" s="99">
        <f>I266+I267</f>
        <v>0</v>
      </c>
      <c r="J268" s="99">
        <f>J266+J267</f>
        <v>0</v>
      </c>
      <c r="K268" s="99">
        <f>K266+K267</f>
        <v>0</v>
      </c>
      <c r="L268" s="943"/>
    </row>
    <row r="269" spans="1:12" s="75" customFormat="1" hidden="1">
      <c r="A269" s="935">
        <v>6</v>
      </c>
      <c r="B269" s="938"/>
      <c r="C269" s="938" t="s">
        <v>13</v>
      </c>
      <c r="D269" s="941" t="s">
        <v>348</v>
      </c>
      <c r="E269" s="935" t="s">
        <v>305</v>
      </c>
      <c r="F269" s="98" t="s">
        <v>5</v>
      </c>
      <c r="G269" s="99">
        <v>7400000</v>
      </c>
      <c r="H269" s="107">
        <v>0</v>
      </c>
      <c r="I269" s="99">
        <f>J269+K269</f>
        <v>3700000</v>
      </c>
      <c r="J269" s="99">
        <v>3700000</v>
      </c>
      <c r="K269" s="99">
        <v>0</v>
      </c>
      <c r="L269" s="941" t="s">
        <v>295</v>
      </c>
    </row>
    <row r="270" spans="1:12" s="75" customFormat="1" hidden="1">
      <c r="A270" s="936"/>
      <c r="B270" s="939"/>
      <c r="C270" s="939"/>
      <c r="D270" s="942"/>
      <c r="E270" s="936"/>
      <c r="F270" s="98" t="s">
        <v>6</v>
      </c>
      <c r="G270" s="99"/>
      <c r="H270" s="107"/>
      <c r="I270" s="99">
        <f>J270+K270</f>
        <v>0</v>
      </c>
      <c r="J270" s="99"/>
      <c r="K270" s="99"/>
      <c r="L270" s="942"/>
    </row>
    <row r="271" spans="1:12" s="75" customFormat="1" hidden="1">
      <c r="A271" s="937"/>
      <c r="B271" s="940"/>
      <c r="C271" s="940"/>
      <c r="D271" s="943"/>
      <c r="E271" s="937"/>
      <c r="F271" s="98" t="s">
        <v>7</v>
      </c>
      <c r="G271" s="99">
        <f>G269+G270</f>
        <v>7400000</v>
      </c>
      <c r="H271" s="99">
        <f>H269+H270</f>
        <v>0</v>
      </c>
      <c r="I271" s="99">
        <f>I269+I270</f>
        <v>3700000</v>
      </c>
      <c r="J271" s="99">
        <f>J269+J270</f>
        <v>3700000</v>
      </c>
      <c r="K271" s="99">
        <f>K269+K270</f>
        <v>0</v>
      </c>
      <c r="L271" s="943"/>
    </row>
    <row r="272" spans="1:12" s="75" customFormat="1" ht="15" hidden="1" customHeight="1">
      <c r="A272" s="935">
        <v>7</v>
      </c>
      <c r="B272" s="938"/>
      <c r="C272" s="938" t="s">
        <v>13</v>
      </c>
      <c r="D272" s="941" t="s">
        <v>349</v>
      </c>
      <c r="E272" s="935" t="s">
        <v>305</v>
      </c>
      <c r="F272" s="98" t="s">
        <v>5</v>
      </c>
      <c r="G272" s="99">
        <v>26175000</v>
      </c>
      <c r="H272" s="107">
        <v>0</v>
      </c>
      <c r="I272" s="99">
        <f>J272+K272</f>
        <v>13087500</v>
      </c>
      <c r="J272" s="99">
        <v>13087500</v>
      </c>
      <c r="K272" s="99">
        <v>0</v>
      </c>
      <c r="L272" s="941" t="s">
        <v>295</v>
      </c>
    </row>
    <row r="273" spans="1:12" s="75" customFormat="1" hidden="1">
      <c r="A273" s="936"/>
      <c r="B273" s="939"/>
      <c r="C273" s="939"/>
      <c r="D273" s="942"/>
      <c r="E273" s="936"/>
      <c r="F273" s="98" t="s">
        <v>6</v>
      </c>
      <c r="G273" s="99"/>
      <c r="H273" s="107"/>
      <c r="I273" s="99">
        <f>J273+K273</f>
        <v>0</v>
      </c>
      <c r="J273" s="99"/>
      <c r="K273" s="99"/>
      <c r="L273" s="942"/>
    </row>
    <row r="274" spans="1:12" s="75" customFormat="1" hidden="1">
      <c r="A274" s="937"/>
      <c r="B274" s="940"/>
      <c r="C274" s="940"/>
      <c r="D274" s="943"/>
      <c r="E274" s="937"/>
      <c r="F274" s="98" t="s">
        <v>7</v>
      </c>
      <c r="G274" s="99">
        <f>G272+G273</f>
        <v>26175000</v>
      </c>
      <c r="H274" s="99">
        <f>H272+H273</f>
        <v>0</v>
      </c>
      <c r="I274" s="99">
        <f>I272+I273</f>
        <v>13087500</v>
      </c>
      <c r="J274" s="99">
        <f>J272+J273</f>
        <v>13087500</v>
      </c>
      <c r="K274" s="99">
        <f>K272+K273</f>
        <v>0</v>
      </c>
      <c r="L274" s="943"/>
    </row>
    <row r="275" spans="1:12" s="75" customFormat="1" hidden="1">
      <c r="A275" s="935">
        <v>8</v>
      </c>
      <c r="B275" s="938"/>
      <c r="C275" s="938" t="s">
        <v>13</v>
      </c>
      <c r="D275" s="941" t="s">
        <v>358</v>
      </c>
      <c r="E275" s="935" t="s">
        <v>350</v>
      </c>
      <c r="F275" s="98" t="s">
        <v>5</v>
      </c>
      <c r="G275" s="99">
        <v>3000000</v>
      </c>
      <c r="H275" s="107">
        <v>0</v>
      </c>
      <c r="I275" s="99">
        <f>J275+K275</f>
        <v>1000000</v>
      </c>
      <c r="J275" s="99">
        <v>1000000</v>
      </c>
      <c r="K275" s="99">
        <v>0</v>
      </c>
      <c r="L275" s="941" t="s">
        <v>295</v>
      </c>
    </row>
    <row r="276" spans="1:12" s="75" customFormat="1" hidden="1">
      <c r="A276" s="936"/>
      <c r="B276" s="939"/>
      <c r="C276" s="939"/>
      <c r="D276" s="942"/>
      <c r="E276" s="936"/>
      <c r="F276" s="98" t="s">
        <v>6</v>
      </c>
      <c r="G276" s="99"/>
      <c r="H276" s="107"/>
      <c r="I276" s="99">
        <f>J276+K276</f>
        <v>0</v>
      </c>
      <c r="J276" s="99"/>
      <c r="K276" s="99"/>
      <c r="L276" s="942"/>
    </row>
    <row r="277" spans="1:12" s="75" customFormat="1" hidden="1">
      <c r="A277" s="937"/>
      <c r="B277" s="940"/>
      <c r="C277" s="940"/>
      <c r="D277" s="943"/>
      <c r="E277" s="937"/>
      <c r="F277" s="98" t="s">
        <v>7</v>
      </c>
      <c r="G277" s="99">
        <f>G275+G276</f>
        <v>3000000</v>
      </c>
      <c r="H277" s="99">
        <f>H275+H276</f>
        <v>0</v>
      </c>
      <c r="I277" s="99">
        <f>I275+I276</f>
        <v>1000000</v>
      </c>
      <c r="J277" s="99">
        <f>J275+J276</f>
        <v>1000000</v>
      </c>
      <c r="K277" s="99">
        <f>K275+K276</f>
        <v>0</v>
      </c>
      <c r="L277" s="943"/>
    </row>
    <row r="278" spans="1:12" s="75" customFormat="1" ht="31.15" hidden="1" customHeight="1">
      <c r="A278" s="935">
        <v>9</v>
      </c>
      <c r="B278" s="938"/>
      <c r="C278" s="938" t="s">
        <v>13</v>
      </c>
      <c r="D278" s="941" t="s">
        <v>351</v>
      </c>
      <c r="E278" s="935" t="s">
        <v>305</v>
      </c>
      <c r="F278" s="98" t="s">
        <v>5</v>
      </c>
      <c r="G278" s="99">
        <v>12000000</v>
      </c>
      <c r="H278" s="107">
        <v>0</v>
      </c>
      <c r="I278" s="99">
        <f>J278+K278</f>
        <v>6000000</v>
      </c>
      <c r="J278" s="99">
        <v>6000000</v>
      </c>
      <c r="K278" s="99">
        <v>0</v>
      </c>
      <c r="L278" s="941" t="s">
        <v>295</v>
      </c>
    </row>
    <row r="279" spans="1:12" s="75" customFormat="1" ht="31.15" hidden="1" customHeight="1">
      <c r="A279" s="936"/>
      <c r="B279" s="939"/>
      <c r="C279" s="939"/>
      <c r="D279" s="942"/>
      <c r="E279" s="936"/>
      <c r="F279" s="98" t="s">
        <v>6</v>
      </c>
      <c r="G279" s="99"/>
      <c r="H279" s="107"/>
      <c r="I279" s="99">
        <f>J279+K279</f>
        <v>0</v>
      </c>
      <c r="J279" s="99"/>
      <c r="K279" s="99"/>
      <c r="L279" s="942"/>
    </row>
    <row r="280" spans="1:12" s="75" customFormat="1" ht="31.15" hidden="1" customHeight="1">
      <c r="A280" s="937"/>
      <c r="B280" s="940"/>
      <c r="C280" s="940"/>
      <c r="D280" s="943"/>
      <c r="E280" s="937"/>
      <c r="F280" s="98" t="s">
        <v>7</v>
      </c>
      <c r="G280" s="99">
        <f>G278+G279</f>
        <v>12000000</v>
      </c>
      <c r="H280" s="99">
        <f>H278+H279</f>
        <v>0</v>
      </c>
      <c r="I280" s="99">
        <f>I278+I279</f>
        <v>6000000</v>
      </c>
      <c r="J280" s="99">
        <f>J278+J279</f>
        <v>6000000</v>
      </c>
      <c r="K280" s="99">
        <f>K278+K279</f>
        <v>0</v>
      </c>
      <c r="L280" s="943"/>
    </row>
    <row r="281" spans="1:12" s="75" customFormat="1" ht="30.75" customHeight="1">
      <c r="A281" s="935">
        <v>8</v>
      </c>
      <c r="B281" s="938"/>
      <c r="C281" s="938" t="s">
        <v>13</v>
      </c>
      <c r="D281" s="941" t="s">
        <v>380</v>
      </c>
      <c r="E281" s="935" t="s">
        <v>305</v>
      </c>
      <c r="F281" s="98" t="s">
        <v>5</v>
      </c>
      <c r="G281" s="99">
        <v>9000000</v>
      </c>
      <c r="H281" s="107">
        <v>0</v>
      </c>
      <c r="I281" s="99">
        <f>J281+K281</f>
        <v>4500000</v>
      </c>
      <c r="J281" s="99">
        <v>4500000</v>
      </c>
      <c r="K281" s="99">
        <v>0</v>
      </c>
      <c r="L281" s="941" t="s">
        <v>295</v>
      </c>
    </row>
    <row r="282" spans="1:12" s="75" customFormat="1" ht="30.75" customHeight="1">
      <c r="A282" s="936"/>
      <c r="B282" s="939"/>
      <c r="C282" s="939"/>
      <c r="D282" s="942"/>
      <c r="E282" s="936"/>
      <c r="F282" s="98" t="s">
        <v>6</v>
      </c>
      <c r="G282" s="99"/>
      <c r="H282" s="107"/>
      <c r="I282" s="99">
        <f>J282+K282</f>
        <v>0</v>
      </c>
      <c r="J282" s="99"/>
      <c r="K282" s="99"/>
      <c r="L282" s="942"/>
    </row>
    <row r="283" spans="1:12" s="75" customFormat="1" ht="30.75" customHeight="1">
      <c r="A283" s="937"/>
      <c r="B283" s="940"/>
      <c r="C283" s="940"/>
      <c r="D283" s="943"/>
      <c r="E283" s="937"/>
      <c r="F283" s="98" t="s">
        <v>7</v>
      </c>
      <c r="G283" s="99">
        <f>G281+G282</f>
        <v>9000000</v>
      </c>
      <c r="H283" s="99">
        <f>H281+H282</f>
        <v>0</v>
      </c>
      <c r="I283" s="99">
        <f>I281+I282</f>
        <v>4500000</v>
      </c>
      <c r="J283" s="99">
        <f>J281+J282</f>
        <v>4500000</v>
      </c>
      <c r="K283" s="99">
        <f>K281+K282</f>
        <v>0</v>
      </c>
      <c r="L283" s="943"/>
    </row>
    <row r="284" spans="1:12" s="75" customFormat="1" ht="21.75" customHeight="1">
      <c r="A284" s="935">
        <v>9</v>
      </c>
      <c r="B284" s="938"/>
      <c r="C284" s="938" t="s">
        <v>13</v>
      </c>
      <c r="D284" s="941" t="s">
        <v>381</v>
      </c>
      <c r="E284" s="935" t="s">
        <v>382</v>
      </c>
      <c r="F284" s="98" t="s">
        <v>5</v>
      </c>
      <c r="G284" s="99">
        <v>0</v>
      </c>
      <c r="H284" s="107">
        <v>0</v>
      </c>
      <c r="I284" s="99">
        <f>J284+K284</f>
        <v>0</v>
      </c>
      <c r="J284" s="99">
        <v>0</v>
      </c>
      <c r="K284" s="99">
        <v>0</v>
      </c>
      <c r="L284" s="941" t="s">
        <v>295</v>
      </c>
    </row>
    <row r="285" spans="1:12" s="75" customFormat="1" ht="21.75" customHeight="1">
      <c r="A285" s="936"/>
      <c r="B285" s="939"/>
      <c r="C285" s="939"/>
      <c r="D285" s="942"/>
      <c r="E285" s="936"/>
      <c r="F285" s="98" t="s">
        <v>6</v>
      </c>
      <c r="G285" s="99">
        <v>3081263</v>
      </c>
      <c r="H285" s="107">
        <f>318382+1842448+280833</f>
        <v>2441663</v>
      </c>
      <c r="I285" s="99">
        <f>J285+K285</f>
        <v>639600</v>
      </c>
      <c r="J285" s="99">
        <v>639600</v>
      </c>
      <c r="K285" s="99"/>
      <c r="L285" s="942"/>
    </row>
    <row r="286" spans="1:12" s="75" customFormat="1" ht="21.75" customHeight="1">
      <c r="A286" s="937"/>
      <c r="B286" s="940"/>
      <c r="C286" s="940"/>
      <c r="D286" s="943"/>
      <c r="E286" s="937"/>
      <c r="F286" s="98" t="s">
        <v>7</v>
      </c>
      <c r="G286" s="99">
        <f>G284+G285</f>
        <v>3081263</v>
      </c>
      <c r="H286" s="99">
        <f>H284+H285</f>
        <v>2441663</v>
      </c>
      <c r="I286" s="99">
        <f>I284+I285</f>
        <v>639600</v>
      </c>
      <c r="J286" s="99">
        <f>J284+J285</f>
        <v>639600</v>
      </c>
      <c r="K286" s="99">
        <f>K284+K285</f>
        <v>0</v>
      </c>
      <c r="L286" s="943"/>
    </row>
    <row r="287" spans="1:12" s="75" customFormat="1" ht="13.5" customHeight="1">
      <c r="A287" s="935">
        <v>10</v>
      </c>
      <c r="B287" s="938"/>
      <c r="C287" s="938" t="s">
        <v>13</v>
      </c>
      <c r="D287" s="941" t="s">
        <v>385</v>
      </c>
      <c r="E287" s="935" t="s">
        <v>383</v>
      </c>
      <c r="F287" s="120" t="s">
        <v>5</v>
      </c>
      <c r="G287" s="99">
        <v>0</v>
      </c>
      <c r="H287" s="107">
        <v>0</v>
      </c>
      <c r="I287" s="99">
        <f>J287+K287</f>
        <v>0</v>
      </c>
      <c r="J287" s="99">
        <v>0</v>
      </c>
      <c r="K287" s="99">
        <v>0</v>
      </c>
      <c r="L287" s="941" t="s">
        <v>295</v>
      </c>
    </row>
    <row r="288" spans="1:12" s="75" customFormat="1" ht="13.5" customHeight="1">
      <c r="A288" s="936"/>
      <c r="B288" s="939"/>
      <c r="C288" s="939"/>
      <c r="D288" s="942"/>
      <c r="E288" s="936"/>
      <c r="F288" s="120" t="s">
        <v>6</v>
      </c>
      <c r="G288" s="99">
        <v>129766</v>
      </c>
      <c r="H288" s="107">
        <f>83577+39700</f>
        <v>123277</v>
      </c>
      <c r="I288" s="99">
        <f>J288+K288</f>
        <v>6489</v>
      </c>
      <c r="J288" s="99">
        <v>6489</v>
      </c>
      <c r="K288" s="99"/>
      <c r="L288" s="942"/>
    </row>
    <row r="289" spans="1:12" s="75" customFormat="1" ht="13.5" customHeight="1">
      <c r="A289" s="937"/>
      <c r="B289" s="940"/>
      <c r="C289" s="940"/>
      <c r="D289" s="943"/>
      <c r="E289" s="937"/>
      <c r="F289" s="122" t="s">
        <v>7</v>
      </c>
      <c r="G289" s="99">
        <f>G287+G288</f>
        <v>129766</v>
      </c>
      <c r="H289" s="99">
        <f>H287+H288</f>
        <v>123277</v>
      </c>
      <c r="I289" s="99">
        <f>I287+I288</f>
        <v>6489</v>
      </c>
      <c r="J289" s="99">
        <f>J287+J288</f>
        <v>6489</v>
      </c>
      <c r="K289" s="99">
        <f>K287+K288</f>
        <v>0</v>
      </c>
      <c r="L289" s="943"/>
    </row>
    <row r="290" spans="1:12" s="75" customFormat="1">
      <c r="A290" s="935">
        <v>11</v>
      </c>
      <c r="B290" s="938"/>
      <c r="C290" s="938" t="s">
        <v>13</v>
      </c>
      <c r="D290" s="941" t="s">
        <v>384</v>
      </c>
      <c r="E290" s="935" t="s">
        <v>305</v>
      </c>
      <c r="F290" s="120" t="s">
        <v>5</v>
      </c>
      <c r="G290" s="99">
        <v>0</v>
      </c>
      <c r="H290" s="107">
        <v>0</v>
      </c>
      <c r="I290" s="99">
        <f>J290+K290</f>
        <v>0</v>
      </c>
      <c r="J290" s="99">
        <v>0</v>
      </c>
      <c r="K290" s="99">
        <v>0</v>
      </c>
      <c r="L290" s="941" t="s">
        <v>295</v>
      </c>
    </row>
    <row r="291" spans="1:12" s="75" customFormat="1">
      <c r="A291" s="936"/>
      <c r="B291" s="939"/>
      <c r="C291" s="939"/>
      <c r="D291" s="942"/>
      <c r="E291" s="936"/>
      <c r="F291" s="120" t="s">
        <v>6</v>
      </c>
      <c r="G291" s="99">
        <v>8500000</v>
      </c>
      <c r="H291" s="107">
        <v>0</v>
      </c>
      <c r="I291" s="99">
        <f>J291+K291</f>
        <v>6500000</v>
      </c>
      <c r="J291" s="99">
        <v>6500000</v>
      </c>
      <c r="K291" s="99"/>
      <c r="L291" s="942"/>
    </row>
    <row r="292" spans="1:12" s="75" customFormat="1">
      <c r="A292" s="937"/>
      <c r="B292" s="940"/>
      <c r="C292" s="940"/>
      <c r="D292" s="943"/>
      <c r="E292" s="937"/>
      <c r="F292" s="122" t="s">
        <v>7</v>
      </c>
      <c r="G292" s="99">
        <f>G290+G291</f>
        <v>8500000</v>
      </c>
      <c r="H292" s="99">
        <f>H290+H291</f>
        <v>0</v>
      </c>
      <c r="I292" s="99">
        <f>I290+I291</f>
        <v>6500000</v>
      </c>
      <c r="J292" s="99">
        <f>J290+J291</f>
        <v>6500000</v>
      </c>
      <c r="K292" s="99">
        <f>K290+K291</f>
        <v>0</v>
      </c>
      <c r="L292" s="943"/>
    </row>
    <row r="293" spans="1:12" s="75" customFormat="1" ht="26.25" customHeight="1">
      <c r="A293" s="935">
        <v>12</v>
      </c>
      <c r="B293" s="938"/>
      <c r="C293" s="938" t="s">
        <v>65</v>
      </c>
      <c r="D293" s="941" t="s">
        <v>311</v>
      </c>
      <c r="E293" s="935" t="s">
        <v>312</v>
      </c>
      <c r="F293" s="120" t="s">
        <v>5</v>
      </c>
      <c r="G293" s="99">
        <v>19691803</v>
      </c>
      <c r="H293" s="107">
        <v>11291803</v>
      </c>
      <c r="I293" s="99">
        <f>J293+K293</f>
        <v>4800000</v>
      </c>
      <c r="J293" s="99">
        <v>4800000</v>
      </c>
      <c r="K293" s="99">
        <v>0</v>
      </c>
      <c r="L293" s="941" t="s">
        <v>226</v>
      </c>
    </row>
    <row r="294" spans="1:12" s="75" customFormat="1" ht="26.25" customHeight="1">
      <c r="A294" s="936"/>
      <c r="B294" s="939"/>
      <c r="C294" s="939"/>
      <c r="D294" s="942"/>
      <c r="E294" s="936"/>
      <c r="F294" s="120" t="s">
        <v>6</v>
      </c>
      <c r="G294" s="99">
        <v>-114704</v>
      </c>
      <c r="H294" s="107">
        <v>-114704</v>
      </c>
      <c r="I294" s="99">
        <f>J294+K294</f>
        <v>0</v>
      </c>
      <c r="J294" s="99"/>
      <c r="K294" s="99"/>
      <c r="L294" s="942"/>
    </row>
    <row r="295" spans="1:12" s="75" customFormat="1" ht="26.25" customHeight="1">
      <c r="A295" s="937"/>
      <c r="B295" s="940"/>
      <c r="C295" s="940"/>
      <c r="D295" s="943"/>
      <c r="E295" s="937"/>
      <c r="F295" s="122" t="s">
        <v>7</v>
      </c>
      <c r="G295" s="99">
        <f>G293+G294</f>
        <v>19577099</v>
      </c>
      <c r="H295" s="99">
        <f>H293+H294</f>
        <v>11177099</v>
      </c>
      <c r="I295" s="99">
        <f>I293+I294</f>
        <v>4800000</v>
      </c>
      <c r="J295" s="99">
        <f>J293+J294</f>
        <v>4800000</v>
      </c>
      <c r="K295" s="99">
        <f>K293+K294</f>
        <v>0</v>
      </c>
      <c r="L295" s="943"/>
    </row>
    <row r="296" spans="1:12" s="75" customFormat="1" hidden="1">
      <c r="A296" s="935">
        <v>14</v>
      </c>
      <c r="B296" s="938"/>
      <c r="C296" s="938" t="s">
        <v>313</v>
      </c>
      <c r="D296" s="941" t="s">
        <v>314</v>
      </c>
      <c r="E296" s="935" t="s">
        <v>297</v>
      </c>
      <c r="F296" s="98" t="s">
        <v>5</v>
      </c>
      <c r="G296" s="99">
        <v>325202</v>
      </c>
      <c r="H296" s="107">
        <v>0</v>
      </c>
      <c r="I296" s="99">
        <f>J296+K296</f>
        <v>325202</v>
      </c>
      <c r="J296" s="99">
        <v>325202</v>
      </c>
      <c r="K296" s="99">
        <v>0</v>
      </c>
      <c r="L296" s="941" t="s">
        <v>226</v>
      </c>
    </row>
    <row r="297" spans="1:12" s="75" customFormat="1" hidden="1">
      <c r="A297" s="936"/>
      <c r="B297" s="939"/>
      <c r="C297" s="939"/>
      <c r="D297" s="942"/>
      <c r="E297" s="936"/>
      <c r="F297" s="98" t="s">
        <v>6</v>
      </c>
      <c r="G297" s="99"/>
      <c r="H297" s="107"/>
      <c r="I297" s="99">
        <f>J297+K297</f>
        <v>0</v>
      </c>
      <c r="J297" s="99"/>
      <c r="K297" s="99"/>
      <c r="L297" s="942"/>
    </row>
    <row r="298" spans="1:12" s="75" customFormat="1" hidden="1">
      <c r="A298" s="937"/>
      <c r="B298" s="940"/>
      <c r="C298" s="940"/>
      <c r="D298" s="943"/>
      <c r="E298" s="937"/>
      <c r="F298" s="98" t="s">
        <v>7</v>
      </c>
      <c r="G298" s="99">
        <f>G296+G297</f>
        <v>325202</v>
      </c>
      <c r="H298" s="99">
        <f>H296+H297</f>
        <v>0</v>
      </c>
      <c r="I298" s="99">
        <f>I296+I297</f>
        <v>325202</v>
      </c>
      <c r="J298" s="99">
        <f>J296+J297</f>
        <v>325202</v>
      </c>
      <c r="K298" s="99">
        <f>K296+K297</f>
        <v>0</v>
      </c>
      <c r="L298" s="943"/>
    </row>
    <row r="299" spans="1:12" s="75" customFormat="1" hidden="1">
      <c r="A299" s="935">
        <v>11</v>
      </c>
      <c r="B299" s="938"/>
      <c r="C299" s="938" t="s">
        <v>313</v>
      </c>
      <c r="D299" s="941" t="s">
        <v>365</v>
      </c>
      <c r="E299" s="935" t="s">
        <v>362</v>
      </c>
      <c r="F299" s="98" t="s">
        <v>5</v>
      </c>
      <c r="G299" s="99">
        <v>12504676</v>
      </c>
      <c r="H299" s="107">
        <v>0</v>
      </c>
      <c r="I299" s="99">
        <f>J299+K299</f>
        <v>6014</v>
      </c>
      <c r="J299" s="99">
        <v>6014</v>
      </c>
      <c r="K299" s="99">
        <v>0</v>
      </c>
      <c r="L299" s="941" t="s">
        <v>264</v>
      </c>
    </row>
    <row r="300" spans="1:12" s="75" customFormat="1" hidden="1">
      <c r="A300" s="936"/>
      <c r="B300" s="939"/>
      <c r="C300" s="939"/>
      <c r="D300" s="942"/>
      <c r="E300" s="936"/>
      <c r="F300" s="98" t="s">
        <v>6</v>
      </c>
      <c r="G300" s="99"/>
      <c r="H300" s="107"/>
      <c r="I300" s="99">
        <f>J300+K300</f>
        <v>0</v>
      </c>
      <c r="J300" s="99"/>
      <c r="K300" s="99"/>
      <c r="L300" s="942"/>
    </row>
    <row r="301" spans="1:12" s="75" customFormat="1" hidden="1">
      <c r="A301" s="937"/>
      <c r="B301" s="940"/>
      <c r="C301" s="940"/>
      <c r="D301" s="943"/>
      <c r="E301" s="937"/>
      <c r="F301" s="98" t="s">
        <v>7</v>
      </c>
      <c r="G301" s="99">
        <f>G299+G300</f>
        <v>12504676</v>
      </c>
      <c r="H301" s="99">
        <f>H299+H300</f>
        <v>0</v>
      </c>
      <c r="I301" s="99">
        <f>I299+I300</f>
        <v>6014</v>
      </c>
      <c r="J301" s="99">
        <f>J299+J300</f>
        <v>6014</v>
      </c>
      <c r="K301" s="99">
        <f>K299+K300</f>
        <v>0</v>
      </c>
      <c r="L301" s="943"/>
    </row>
    <row r="302" spans="1:12" s="97" customFormat="1" ht="12.2" customHeight="1">
      <c r="A302" s="926"/>
      <c r="B302" s="929" t="s">
        <v>14</v>
      </c>
      <c r="C302" s="929"/>
      <c r="D302" s="944" t="s">
        <v>15</v>
      </c>
      <c r="E302" s="926" t="s">
        <v>210</v>
      </c>
      <c r="F302" s="121" t="s">
        <v>5</v>
      </c>
      <c r="G302" s="96">
        <f t="shared" ref="G302:K303" si="16">G305+G308</f>
        <v>1119600</v>
      </c>
      <c r="H302" s="96">
        <f t="shared" si="16"/>
        <v>94340</v>
      </c>
      <c r="I302" s="96">
        <f t="shared" si="16"/>
        <v>82640</v>
      </c>
      <c r="J302" s="96">
        <f t="shared" si="16"/>
        <v>82640</v>
      </c>
      <c r="K302" s="96">
        <f t="shared" si="16"/>
        <v>0</v>
      </c>
      <c r="L302" s="926" t="s">
        <v>210</v>
      </c>
    </row>
    <row r="303" spans="1:12" s="97" customFormat="1" ht="12.2" customHeight="1">
      <c r="A303" s="927"/>
      <c r="B303" s="930"/>
      <c r="C303" s="930"/>
      <c r="D303" s="945"/>
      <c r="E303" s="927"/>
      <c r="F303" s="121" t="s">
        <v>6</v>
      </c>
      <c r="G303" s="96">
        <f t="shared" si="16"/>
        <v>79930</v>
      </c>
      <c r="H303" s="96">
        <f t="shared" si="16"/>
        <v>0</v>
      </c>
      <c r="I303" s="96">
        <f t="shared" si="16"/>
        <v>34993</v>
      </c>
      <c r="J303" s="96">
        <f t="shared" si="16"/>
        <v>34993</v>
      </c>
      <c r="K303" s="96">
        <f t="shared" si="16"/>
        <v>0</v>
      </c>
      <c r="L303" s="927"/>
    </row>
    <row r="304" spans="1:12" s="97" customFormat="1" ht="12.2" customHeight="1">
      <c r="A304" s="928"/>
      <c r="B304" s="931"/>
      <c r="C304" s="931"/>
      <c r="D304" s="946"/>
      <c r="E304" s="928"/>
      <c r="F304" s="124" t="s">
        <v>7</v>
      </c>
      <c r="G304" s="96">
        <f>G302+G303</f>
        <v>1199530</v>
      </c>
      <c r="H304" s="96">
        <f>H302+H303</f>
        <v>94340</v>
      </c>
      <c r="I304" s="96">
        <f>I302+I303</f>
        <v>117633</v>
      </c>
      <c r="J304" s="96">
        <f>J302+J303</f>
        <v>117633</v>
      </c>
      <c r="K304" s="96">
        <f>K302+K303</f>
        <v>0</v>
      </c>
      <c r="L304" s="928"/>
    </row>
    <row r="305" spans="1:12" s="75" customFormat="1" hidden="1">
      <c r="A305" s="935">
        <v>15</v>
      </c>
      <c r="B305" s="938"/>
      <c r="C305" s="938" t="s">
        <v>16</v>
      </c>
      <c r="D305" s="941" t="s">
        <v>315</v>
      </c>
      <c r="E305" s="935" t="s">
        <v>316</v>
      </c>
      <c r="F305" s="98" t="s">
        <v>5</v>
      </c>
      <c r="G305" s="99">
        <v>339600</v>
      </c>
      <c r="H305" s="107">
        <f>3780+22640+22640+22640+22640</f>
        <v>94340</v>
      </c>
      <c r="I305" s="99">
        <f>J305+K305</f>
        <v>22640</v>
      </c>
      <c r="J305" s="99">
        <v>22640</v>
      </c>
      <c r="K305" s="99">
        <v>0</v>
      </c>
      <c r="L305" s="941" t="s">
        <v>226</v>
      </c>
    </row>
    <row r="306" spans="1:12" s="75" customFormat="1" hidden="1">
      <c r="A306" s="936"/>
      <c r="B306" s="939"/>
      <c r="C306" s="939"/>
      <c r="D306" s="942"/>
      <c r="E306" s="936"/>
      <c r="F306" s="98" t="s">
        <v>6</v>
      </c>
      <c r="G306" s="99"/>
      <c r="H306" s="107"/>
      <c r="I306" s="99">
        <f>J306+K306</f>
        <v>0</v>
      </c>
      <c r="J306" s="99"/>
      <c r="K306" s="99"/>
      <c r="L306" s="942"/>
    </row>
    <row r="307" spans="1:12" s="75" customFormat="1" hidden="1">
      <c r="A307" s="937"/>
      <c r="B307" s="940"/>
      <c r="C307" s="940"/>
      <c r="D307" s="943"/>
      <c r="E307" s="937"/>
      <c r="F307" s="98" t="s">
        <v>7</v>
      </c>
      <c r="G307" s="99">
        <f>G305+G306</f>
        <v>339600</v>
      </c>
      <c r="H307" s="99">
        <f>H305+H306</f>
        <v>94340</v>
      </c>
      <c r="I307" s="99">
        <f>I305+I306</f>
        <v>22640</v>
      </c>
      <c r="J307" s="99">
        <f>J305+J306</f>
        <v>22640</v>
      </c>
      <c r="K307" s="99">
        <f>K305+K306</f>
        <v>0</v>
      </c>
      <c r="L307" s="943"/>
    </row>
    <row r="308" spans="1:12" s="75" customFormat="1" ht="12.6" customHeight="1">
      <c r="A308" s="935">
        <v>13</v>
      </c>
      <c r="B308" s="938"/>
      <c r="C308" s="938" t="s">
        <v>16</v>
      </c>
      <c r="D308" s="941" t="s">
        <v>352</v>
      </c>
      <c r="E308" s="935" t="s">
        <v>350</v>
      </c>
      <c r="F308" s="98" t="s">
        <v>5</v>
      </c>
      <c r="G308" s="99">
        <v>780000</v>
      </c>
      <c r="H308" s="107">
        <v>0</v>
      </c>
      <c r="I308" s="99">
        <f>J308+K308</f>
        <v>60000</v>
      </c>
      <c r="J308" s="99">
        <v>60000</v>
      </c>
      <c r="K308" s="99">
        <v>0</v>
      </c>
      <c r="L308" s="941" t="s">
        <v>226</v>
      </c>
    </row>
    <row r="309" spans="1:12" s="75" customFormat="1" ht="12.6" customHeight="1">
      <c r="A309" s="936"/>
      <c r="B309" s="939"/>
      <c r="C309" s="939"/>
      <c r="D309" s="942"/>
      <c r="E309" s="936"/>
      <c r="F309" s="98" t="s">
        <v>6</v>
      </c>
      <c r="G309" s="99">
        <v>79930</v>
      </c>
      <c r="H309" s="107"/>
      <c r="I309" s="99">
        <f>J309+K309</f>
        <v>34993</v>
      </c>
      <c r="J309" s="99">
        <v>34993</v>
      </c>
      <c r="K309" s="99"/>
      <c r="L309" s="942"/>
    </row>
    <row r="310" spans="1:12" s="75" customFormat="1" ht="12.6" customHeight="1">
      <c r="A310" s="937"/>
      <c r="B310" s="940"/>
      <c r="C310" s="940"/>
      <c r="D310" s="943"/>
      <c r="E310" s="937"/>
      <c r="F310" s="98" t="s">
        <v>7</v>
      </c>
      <c r="G310" s="99">
        <f>G308+G309</f>
        <v>859930</v>
      </c>
      <c r="H310" s="99">
        <f>H308+H309</f>
        <v>0</v>
      </c>
      <c r="I310" s="99">
        <f>I308+I309</f>
        <v>94993</v>
      </c>
      <c r="J310" s="99">
        <f>J308+J309</f>
        <v>94993</v>
      </c>
      <c r="K310" s="99">
        <f>K308+K309</f>
        <v>0</v>
      </c>
      <c r="L310" s="943"/>
    </row>
    <row r="311" spans="1:12" s="97" customFormat="1" ht="15" hidden="1" customHeight="1">
      <c r="A311" s="926"/>
      <c r="B311" s="929" t="s">
        <v>61</v>
      </c>
      <c r="C311" s="929"/>
      <c r="D311" s="944" t="s">
        <v>62</v>
      </c>
      <c r="E311" s="926" t="s">
        <v>210</v>
      </c>
      <c r="F311" s="95" t="s">
        <v>5</v>
      </c>
      <c r="G311" s="108">
        <f t="shared" ref="G311:K312" si="17">G314</f>
        <v>914225</v>
      </c>
      <c r="H311" s="108">
        <f t="shared" si="17"/>
        <v>188577</v>
      </c>
      <c r="I311" s="108">
        <f t="shared" si="17"/>
        <v>715996</v>
      </c>
      <c r="J311" s="108">
        <f t="shared" si="17"/>
        <v>715996</v>
      </c>
      <c r="K311" s="108">
        <f t="shared" si="17"/>
        <v>0</v>
      </c>
      <c r="L311" s="950" t="s">
        <v>210</v>
      </c>
    </row>
    <row r="312" spans="1:12" s="97" customFormat="1" ht="15" hidden="1" customHeight="1">
      <c r="A312" s="927"/>
      <c r="B312" s="930"/>
      <c r="C312" s="930"/>
      <c r="D312" s="945"/>
      <c r="E312" s="927"/>
      <c r="F312" s="95" t="s">
        <v>6</v>
      </c>
      <c r="G312" s="108">
        <f t="shared" si="17"/>
        <v>0</v>
      </c>
      <c r="H312" s="108">
        <f t="shared" si="17"/>
        <v>0</v>
      </c>
      <c r="I312" s="108">
        <f t="shared" si="17"/>
        <v>0</v>
      </c>
      <c r="J312" s="108">
        <f t="shared" si="17"/>
        <v>0</v>
      </c>
      <c r="K312" s="108">
        <f t="shared" si="17"/>
        <v>0</v>
      </c>
      <c r="L312" s="951"/>
    </row>
    <row r="313" spans="1:12" s="97" customFormat="1" ht="15" hidden="1" customHeight="1">
      <c r="A313" s="928"/>
      <c r="B313" s="931"/>
      <c r="C313" s="931"/>
      <c r="D313" s="946"/>
      <c r="E313" s="928"/>
      <c r="F313" s="95" t="s">
        <v>7</v>
      </c>
      <c r="G313" s="108">
        <f>G311+G312</f>
        <v>914225</v>
      </c>
      <c r="H313" s="108">
        <f>H311+H312</f>
        <v>188577</v>
      </c>
      <c r="I313" s="108">
        <f>I311+I312</f>
        <v>715996</v>
      </c>
      <c r="J313" s="108">
        <f>J311+J312</f>
        <v>715996</v>
      </c>
      <c r="K313" s="108">
        <f>K311+K312</f>
        <v>0</v>
      </c>
      <c r="L313" s="952"/>
    </row>
    <row r="314" spans="1:12" s="75" customFormat="1" hidden="1">
      <c r="A314" s="935">
        <v>13</v>
      </c>
      <c r="B314" s="938"/>
      <c r="C314" s="938" t="s">
        <v>63</v>
      </c>
      <c r="D314" s="941" t="s">
        <v>317</v>
      </c>
      <c r="E314" s="935" t="s">
        <v>319</v>
      </c>
      <c r="F314" s="98" t="s">
        <v>5</v>
      </c>
      <c r="G314" s="99">
        <v>914225</v>
      </c>
      <c r="H314" s="107">
        <v>188577</v>
      </c>
      <c r="I314" s="99">
        <f>J314+K314</f>
        <v>715996</v>
      </c>
      <c r="J314" s="99">
        <v>715996</v>
      </c>
      <c r="K314" s="99">
        <v>0</v>
      </c>
      <c r="L314" s="941" t="s">
        <v>226</v>
      </c>
    </row>
    <row r="315" spans="1:12" s="75" customFormat="1" hidden="1">
      <c r="A315" s="936"/>
      <c r="B315" s="939"/>
      <c r="C315" s="939"/>
      <c r="D315" s="942"/>
      <c r="E315" s="936"/>
      <c r="F315" s="98" t="s">
        <v>6</v>
      </c>
      <c r="G315" s="99"/>
      <c r="H315" s="107"/>
      <c r="I315" s="99">
        <f>J315+K315</f>
        <v>0</v>
      </c>
      <c r="J315" s="99"/>
      <c r="K315" s="99"/>
      <c r="L315" s="942"/>
    </row>
    <row r="316" spans="1:12" s="75" customFormat="1" hidden="1">
      <c r="A316" s="937"/>
      <c r="B316" s="940"/>
      <c r="C316" s="940"/>
      <c r="D316" s="943"/>
      <c r="E316" s="937"/>
      <c r="F316" s="101" t="s">
        <v>7</v>
      </c>
      <c r="G316" s="99">
        <f>G314+G315</f>
        <v>914225</v>
      </c>
      <c r="H316" s="99">
        <f>H314+H315</f>
        <v>188577</v>
      </c>
      <c r="I316" s="99">
        <f>I314+I315</f>
        <v>715996</v>
      </c>
      <c r="J316" s="99">
        <f>J314+J315</f>
        <v>715996</v>
      </c>
      <c r="K316" s="99">
        <f>K314+K315</f>
        <v>0</v>
      </c>
      <c r="L316" s="943"/>
    </row>
    <row r="317" spans="1:12" s="97" customFormat="1" hidden="1">
      <c r="A317" s="926"/>
      <c r="B317" s="929" t="s">
        <v>190</v>
      </c>
      <c r="C317" s="929"/>
      <c r="D317" s="944" t="s">
        <v>191</v>
      </c>
      <c r="E317" s="926" t="s">
        <v>210</v>
      </c>
      <c r="F317" s="95" t="s">
        <v>5</v>
      </c>
      <c r="G317" s="96">
        <f t="shared" ref="G317:K318" si="18">G320</f>
        <v>9978062</v>
      </c>
      <c r="H317" s="96">
        <f t="shared" si="18"/>
        <v>2825075</v>
      </c>
      <c r="I317" s="96">
        <f t="shared" si="18"/>
        <v>3450000</v>
      </c>
      <c r="J317" s="96">
        <f t="shared" si="18"/>
        <v>3450000</v>
      </c>
      <c r="K317" s="96">
        <f t="shared" si="18"/>
        <v>0</v>
      </c>
      <c r="L317" s="926" t="s">
        <v>210</v>
      </c>
    </row>
    <row r="318" spans="1:12" s="97" customFormat="1" hidden="1">
      <c r="A318" s="927"/>
      <c r="B318" s="930"/>
      <c r="C318" s="930"/>
      <c r="D318" s="945"/>
      <c r="E318" s="927"/>
      <c r="F318" s="95" t="s">
        <v>6</v>
      </c>
      <c r="G318" s="96">
        <f t="shared" si="18"/>
        <v>0</v>
      </c>
      <c r="H318" s="96">
        <f t="shared" si="18"/>
        <v>0</v>
      </c>
      <c r="I318" s="96">
        <f t="shared" si="18"/>
        <v>0</v>
      </c>
      <c r="J318" s="96">
        <f t="shared" si="18"/>
        <v>0</v>
      </c>
      <c r="K318" s="96">
        <f t="shared" si="18"/>
        <v>0</v>
      </c>
      <c r="L318" s="927"/>
    </row>
    <row r="319" spans="1:12" s="97" customFormat="1" hidden="1">
      <c r="A319" s="928"/>
      <c r="B319" s="931"/>
      <c r="C319" s="931"/>
      <c r="D319" s="946"/>
      <c r="E319" s="928"/>
      <c r="F319" s="95" t="s">
        <v>7</v>
      </c>
      <c r="G319" s="96">
        <f>G317+G318</f>
        <v>9978062</v>
      </c>
      <c r="H319" s="96">
        <f>H317+H318</f>
        <v>2825075</v>
      </c>
      <c r="I319" s="96">
        <f>I317+I318</f>
        <v>3450000</v>
      </c>
      <c r="J319" s="96">
        <f>J317+J318</f>
        <v>3450000</v>
      </c>
      <c r="K319" s="96">
        <f>K317+K318</f>
        <v>0</v>
      </c>
      <c r="L319" s="928"/>
    </row>
    <row r="320" spans="1:12" s="75" customFormat="1" hidden="1">
      <c r="A320" s="935">
        <v>17</v>
      </c>
      <c r="B320" s="938"/>
      <c r="C320" s="938" t="s">
        <v>194</v>
      </c>
      <c r="D320" s="941" t="s">
        <v>318</v>
      </c>
      <c r="E320" s="935" t="s">
        <v>319</v>
      </c>
      <c r="F320" s="98" t="s">
        <v>5</v>
      </c>
      <c r="G320" s="99">
        <v>9978062</v>
      </c>
      <c r="H320" s="107">
        <f>15000+202781+2607294</f>
        <v>2825075</v>
      </c>
      <c r="I320" s="99">
        <f>J320+K320</f>
        <v>3450000</v>
      </c>
      <c r="J320" s="99">
        <v>3450000</v>
      </c>
      <c r="K320" s="99">
        <v>0</v>
      </c>
      <c r="L320" s="941" t="s">
        <v>226</v>
      </c>
    </row>
    <row r="321" spans="1:12" s="75" customFormat="1" hidden="1">
      <c r="A321" s="936"/>
      <c r="B321" s="939"/>
      <c r="C321" s="939"/>
      <c r="D321" s="942"/>
      <c r="E321" s="936"/>
      <c r="F321" s="98" t="s">
        <v>6</v>
      </c>
      <c r="G321" s="99"/>
      <c r="H321" s="107"/>
      <c r="I321" s="99">
        <f>J321+K321</f>
        <v>0</v>
      </c>
      <c r="J321" s="99"/>
      <c r="K321" s="99"/>
      <c r="L321" s="942"/>
    </row>
    <row r="322" spans="1:12" s="75" customFormat="1" hidden="1">
      <c r="A322" s="937"/>
      <c r="B322" s="940"/>
      <c r="C322" s="940"/>
      <c r="D322" s="943"/>
      <c r="E322" s="937"/>
      <c r="F322" s="98" t="s">
        <v>7</v>
      </c>
      <c r="G322" s="99">
        <f>G320+G321</f>
        <v>9978062</v>
      </c>
      <c r="H322" s="99">
        <f>H320+H321</f>
        <v>2825075</v>
      </c>
      <c r="I322" s="99">
        <f>I320+I321</f>
        <v>3450000</v>
      </c>
      <c r="J322" s="99">
        <f>J320+J321</f>
        <v>3450000</v>
      </c>
      <c r="K322" s="99">
        <f>K320+K321</f>
        <v>0</v>
      </c>
      <c r="L322" s="943"/>
    </row>
    <row r="323" spans="1:12" s="97" customFormat="1" hidden="1">
      <c r="A323" s="926"/>
      <c r="B323" s="929" t="s">
        <v>20</v>
      </c>
      <c r="C323" s="929"/>
      <c r="D323" s="944" t="s">
        <v>21</v>
      </c>
      <c r="E323" s="926" t="s">
        <v>210</v>
      </c>
      <c r="F323" s="95" t="s">
        <v>5</v>
      </c>
      <c r="G323" s="96">
        <f t="shared" ref="G323:K324" si="19">G326</f>
        <v>27625259</v>
      </c>
      <c r="H323" s="96">
        <f t="shared" si="19"/>
        <v>2459934</v>
      </c>
      <c r="I323" s="96">
        <f t="shared" si="19"/>
        <v>4165325</v>
      </c>
      <c r="J323" s="96">
        <f t="shared" si="19"/>
        <v>4165325</v>
      </c>
      <c r="K323" s="96">
        <f t="shared" si="19"/>
        <v>0</v>
      </c>
      <c r="L323" s="926" t="s">
        <v>210</v>
      </c>
    </row>
    <row r="324" spans="1:12" s="97" customFormat="1" hidden="1">
      <c r="A324" s="927"/>
      <c r="B324" s="930"/>
      <c r="C324" s="930"/>
      <c r="D324" s="945"/>
      <c r="E324" s="927"/>
      <c r="F324" s="95" t="s">
        <v>6</v>
      </c>
      <c r="G324" s="96">
        <f t="shared" si="19"/>
        <v>0</v>
      </c>
      <c r="H324" s="96">
        <f t="shared" si="19"/>
        <v>0</v>
      </c>
      <c r="I324" s="96">
        <f t="shared" si="19"/>
        <v>0</v>
      </c>
      <c r="J324" s="96">
        <f t="shared" si="19"/>
        <v>0</v>
      </c>
      <c r="K324" s="96">
        <f t="shared" si="19"/>
        <v>0</v>
      </c>
      <c r="L324" s="927"/>
    </row>
    <row r="325" spans="1:12" s="97" customFormat="1" hidden="1">
      <c r="A325" s="928"/>
      <c r="B325" s="931"/>
      <c r="C325" s="931"/>
      <c r="D325" s="946"/>
      <c r="E325" s="928"/>
      <c r="F325" s="95" t="s">
        <v>7</v>
      </c>
      <c r="G325" s="96">
        <f>G323+G324</f>
        <v>27625259</v>
      </c>
      <c r="H325" s="96">
        <f>H323+H324</f>
        <v>2459934</v>
      </c>
      <c r="I325" s="96">
        <f>I323+I324</f>
        <v>4165325</v>
      </c>
      <c r="J325" s="96">
        <f>J323+J324</f>
        <v>4165325</v>
      </c>
      <c r="K325" s="96">
        <f>K323+K324</f>
        <v>0</v>
      </c>
      <c r="L325" s="928"/>
    </row>
    <row r="326" spans="1:12" s="75" customFormat="1" hidden="1">
      <c r="A326" s="935">
        <v>18</v>
      </c>
      <c r="B326" s="938"/>
      <c r="C326" s="938" t="s">
        <v>22</v>
      </c>
      <c r="D326" s="941" t="s">
        <v>320</v>
      </c>
      <c r="E326" s="935" t="s">
        <v>321</v>
      </c>
      <c r="F326" s="98" t="s">
        <v>5</v>
      </c>
      <c r="G326" s="99">
        <v>27625259</v>
      </c>
      <c r="H326" s="107">
        <f>849330+476748+406397+4428+29624+108732+584675</f>
        <v>2459934</v>
      </c>
      <c r="I326" s="99">
        <f>J326+K326</f>
        <v>4165325</v>
      </c>
      <c r="J326" s="99">
        <v>4165325</v>
      </c>
      <c r="K326" s="99">
        <v>0</v>
      </c>
      <c r="L326" s="947" t="s">
        <v>226</v>
      </c>
    </row>
    <row r="327" spans="1:12" s="75" customFormat="1" hidden="1">
      <c r="A327" s="936"/>
      <c r="B327" s="939"/>
      <c r="C327" s="939"/>
      <c r="D327" s="942"/>
      <c r="E327" s="936"/>
      <c r="F327" s="98" t="s">
        <v>6</v>
      </c>
      <c r="G327" s="99"/>
      <c r="H327" s="107"/>
      <c r="I327" s="99">
        <f>J327+K327</f>
        <v>0</v>
      </c>
      <c r="J327" s="99"/>
      <c r="K327" s="99"/>
      <c r="L327" s="948"/>
    </row>
    <row r="328" spans="1:12" s="75" customFormat="1" hidden="1">
      <c r="A328" s="937"/>
      <c r="B328" s="940"/>
      <c r="C328" s="940"/>
      <c r="D328" s="943"/>
      <c r="E328" s="937"/>
      <c r="F328" s="98" t="s">
        <v>7</v>
      </c>
      <c r="G328" s="99">
        <f>G326+G327</f>
        <v>27625259</v>
      </c>
      <c r="H328" s="99">
        <f>H326+H327</f>
        <v>2459934</v>
      </c>
      <c r="I328" s="99">
        <f>I326+I327</f>
        <v>4165325</v>
      </c>
      <c r="J328" s="99">
        <f>J326+J327</f>
        <v>4165325</v>
      </c>
      <c r="K328" s="99">
        <f>K326+K327</f>
        <v>0</v>
      </c>
      <c r="L328" s="949"/>
    </row>
    <row r="329" spans="1:12" s="97" customFormat="1" hidden="1">
      <c r="A329" s="926"/>
      <c r="B329" s="929" t="s">
        <v>23</v>
      </c>
      <c r="C329" s="929"/>
      <c r="D329" s="944" t="s">
        <v>24</v>
      </c>
      <c r="E329" s="926" t="s">
        <v>210</v>
      </c>
      <c r="F329" s="95" t="s">
        <v>5</v>
      </c>
      <c r="G329" s="96">
        <f t="shared" ref="G329:K330" si="20">G332</f>
        <v>7500000</v>
      </c>
      <c r="H329" s="96">
        <f t="shared" si="20"/>
        <v>0</v>
      </c>
      <c r="I329" s="96">
        <f t="shared" si="20"/>
        <v>750000</v>
      </c>
      <c r="J329" s="96">
        <f t="shared" si="20"/>
        <v>750000</v>
      </c>
      <c r="K329" s="96">
        <f t="shared" si="20"/>
        <v>0</v>
      </c>
      <c r="L329" s="926" t="s">
        <v>210</v>
      </c>
    </row>
    <row r="330" spans="1:12" s="97" customFormat="1" hidden="1">
      <c r="A330" s="927"/>
      <c r="B330" s="930"/>
      <c r="C330" s="930"/>
      <c r="D330" s="945"/>
      <c r="E330" s="927"/>
      <c r="F330" s="95" t="s">
        <v>6</v>
      </c>
      <c r="G330" s="96">
        <f t="shared" si="20"/>
        <v>0</v>
      </c>
      <c r="H330" s="96">
        <f t="shared" si="20"/>
        <v>0</v>
      </c>
      <c r="I330" s="96">
        <f t="shared" si="20"/>
        <v>0</v>
      </c>
      <c r="J330" s="96">
        <f t="shared" si="20"/>
        <v>0</v>
      </c>
      <c r="K330" s="96">
        <f t="shared" si="20"/>
        <v>0</v>
      </c>
      <c r="L330" s="927"/>
    </row>
    <row r="331" spans="1:12" s="97" customFormat="1" hidden="1">
      <c r="A331" s="928"/>
      <c r="B331" s="931"/>
      <c r="C331" s="931"/>
      <c r="D331" s="946"/>
      <c r="E331" s="928"/>
      <c r="F331" s="95" t="s">
        <v>7</v>
      </c>
      <c r="G331" s="96">
        <f>G329+G330</f>
        <v>7500000</v>
      </c>
      <c r="H331" s="96">
        <f>H329+H330</f>
        <v>0</v>
      </c>
      <c r="I331" s="96">
        <f>I329+I330</f>
        <v>750000</v>
      </c>
      <c r="J331" s="96">
        <f>J329+J330</f>
        <v>750000</v>
      </c>
      <c r="K331" s="96">
        <f>K329+K330</f>
        <v>0</v>
      </c>
      <c r="L331" s="928"/>
    </row>
    <row r="332" spans="1:12" s="75" customFormat="1" hidden="1">
      <c r="A332" s="935">
        <v>19</v>
      </c>
      <c r="B332" s="938"/>
      <c r="C332" s="938" t="s">
        <v>64</v>
      </c>
      <c r="D332" s="941" t="s">
        <v>322</v>
      </c>
      <c r="E332" s="935" t="s">
        <v>323</v>
      </c>
      <c r="F332" s="98" t="s">
        <v>5</v>
      </c>
      <c r="G332" s="99">
        <v>7500000</v>
      </c>
      <c r="H332" s="107">
        <v>0</v>
      </c>
      <c r="I332" s="99">
        <f>J332+K332</f>
        <v>750000</v>
      </c>
      <c r="J332" s="99">
        <v>750000</v>
      </c>
      <c r="K332" s="99">
        <v>0</v>
      </c>
      <c r="L332" s="941" t="s">
        <v>226</v>
      </c>
    </row>
    <row r="333" spans="1:12" s="75" customFormat="1" hidden="1">
      <c r="A333" s="936"/>
      <c r="B333" s="939"/>
      <c r="C333" s="939"/>
      <c r="D333" s="942"/>
      <c r="E333" s="936"/>
      <c r="F333" s="98" t="s">
        <v>6</v>
      </c>
      <c r="G333" s="99"/>
      <c r="H333" s="107"/>
      <c r="I333" s="99">
        <f>J333+K333</f>
        <v>0</v>
      </c>
      <c r="J333" s="99"/>
      <c r="K333" s="99"/>
      <c r="L333" s="942"/>
    </row>
    <row r="334" spans="1:12" s="75" customFormat="1" hidden="1">
      <c r="A334" s="937"/>
      <c r="B334" s="940"/>
      <c r="C334" s="940"/>
      <c r="D334" s="943"/>
      <c r="E334" s="937"/>
      <c r="F334" s="98" t="s">
        <v>7</v>
      </c>
      <c r="G334" s="99">
        <f>G332+G333</f>
        <v>7500000</v>
      </c>
      <c r="H334" s="99">
        <f>H332+H333</f>
        <v>0</v>
      </c>
      <c r="I334" s="99">
        <f>I332+I333</f>
        <v>750000</v>
      </c>
      <c r="J334" s="99">
        <f>J332+J333</f>
        <v>750000</v>
      </c>
      <c r="K334" s="99">
        <f>K332+K333</f>
        <v>0</v>
      </c>
      <c r="L334" s="943"/>
    </row>
    <row r="335" spans="1:12" s="97" customFormat="1" ht="14.1" customHeight="1">
      <c r="A335" s="926"/>
      <c r="B335" s="929" t="s">
        <v>261</v>
      </c>
      <c r="C335" s="929"/>
      <c r="D335" s="932" t="s">
        <v>31</v>
      </c>
      <c r="E335" s="926" t="s">
        <v>210</v>
      </c>
      <c r="F335" s="95" t="s">
        <v>5</v>
      </c>
      <c r="G335" s="96">
        <f t="shared" ref="G335:K336" si="21">G338+G341+G344+G359+G362+G356+G347+G365+G350+G353</f>
        <v>90925386</v>
      </c>
      <c r="H335" s="96">
        <f t="shared" si="21"/>
        <v>18175547</v>
      </c>
      <c r="I335" s="96">
        <f t="shared" si="21"/>
        <v>7651979</v>
      </c>
      <c r="J335" s="96">
        <f t="shared" si="21"/>
        <v>7651979</v>
      </c>
      <c r="K335" s="96">
        <f t="shared" si="21"/>
        <v>0</v>
      </c>
      <c r="L335" s="926" t="s">
        <v>210</v>
      </c>
    </row>
    <row r="336" spans="1:12" s="97" customFormat="1" ht="14.1" customHeight="1">
      <c r="A336" s="927"/>
      <c r="B336" s="930"/>
      <c r="C336" s="930"/>
      <c r="D336" s="933"/>
      <c r="E336" s="927"/>
      <c r="F336" s="95" t="s">
        <v>6</v>
      </c>
      <c r="G336" s="96">
        <f t="shared" si="21"/>
        <v>44796182</v>
      </c>
      <c r="H336" s="96">
        <f t="shared" si="21"/>
        <v>-3525519</v>
      </c>
      <c r="I336" s="96">
        <f t="shared" si="21"/>
        <v>3534505</v>
      </c>
      <c r="J336" s="96">
        <f t="shared" si="21"/>
        <v>3513019</v>
      </c>
      <c r="K336" s="96">
        <f t="shared" si="21"/>
        <v>21486</v>
      </c>
      <c r="L336" s="927"/>
    </row>
    <row r="337" spans="1:12" s="97" customFormat="1" ht="14.1" customHeight="1">
      <c r="A337" s="928"/>
      <c r="B337" s="931"/>
      <c r="C337" s="931"/>
      <c r="D337" s="934"/>
      <c r="E337" s="928"/>
      <c r="F337" s="95" t="s">
        <v>7</v>
      </c>
      <c r="G337" s="96">
        <f>G335+G336</f>
        <v>135721568</v>
      </c>
      <c r="H337" s="96">
        <f>H335+H336</f>
        <v>14650028</v>
      </c>
      <c r="I337" s="96">
        <f>I335+I336</f>
        <v>11186484</v>
      </c>
      <c r="J337" s="96">
        <f>J335+J336</f>
        <v>11164998</v>
      </c>
      <c r="K337" s="96">
        <f>K335+K336</f>
        <v>21486</v>
      </c>
      <c r="L337" s="928"/>
    </row>
    <row r="338" spans="1:12" s="75" customFormat="1" ht="22.9" hidden="1" customHeight="1">
      <c r="A338" s="935">
        <v>20</v>
      </c>
      <c r="B338" s="938"/>
      <c r="C338" s="938" t="s">
        <v>262</v>
      </c>
      <c r="D338" s="941" t="s">
        <v>359</v>
      </c>
      <c r="E338" s="935" t="s">
        <v>324</v>
      </c>
      <c r="F338" s="98" t="s">
        <v>5</v>
      </c>
      <c r="G338" s="99">
        <v>9575438</v>
      </c>
      <c r="H338" s="107">
        <f>116783+1183093</f>
        <v>1299876</v>
      </c>
      <c r="I338" s="99">
        <f>J338+K338</f>
        <v>1148001</v>
      </c>
      <c r="J338" s="99">
        <v>1148001</v>
      </c>
      <c r="K338" s="99">
        <v>0</v>
      </c>
      <c r="L338" s="941" t="s">
        <v>325</v>
      </c>
    </row>
    <row r="339" spans="1:12" s="75" customFormat="1" ht="22.9" hidden="1" customHeight="1">
      <c r="A339" s="936"/>
      <c r="B339" s="939"/>
      <c r="C339" s="939"/>
      <c r="D339" s="942"/>
      <c r="E339" s="936"/>
      <c r="F339" s="98" t="s">
        <v>6</v>
      </c>
      <c r="G339" s="99"/>
      <c r="H339" s="107"/>
      <c r="I339" s="99">
        <f>J339+K339</f>
        <v>0</v>
      </c>
      <c r="J339" s="99"/>
      <c r="K339" s="99"/>
      <c r="L339" s="942"/>
    </row>
    <row r="340" spans="1:12" s="75" customFormat="1" ht="22.9" hidden="1" customHeight="1">
      <c r="A340" s="937"/>
      <c r="B340" s="940"/>
      <c r="C340" s="940"/>
      <c r="D340" s="943"/>
      <c r="E340" s="937"/>
      <c r="F340" s="98" t="s">
        <v>7</v>
      </c>
      <c r="G340" s="99">
        <f>G338+G339</f>
        <v>9575438</v>
      </c>
      <c r="H340" s="99">
        <f>H338+H339</f>
        <v>1299876</v>
      </c>
      <c r="I340" s="99">
        <f>I338+I339</f>
        <v>1148001</v>
      </c>
      <c r="J340" s="99">
        <f>J338+J339</f>
        <v>1148001</v>
      </c>
      <c r="K340" s="99">
        <f>K338+K339</f>
        <v>0</v>
      </c>
      <c r="L340" s="943"/>
    </row>
    <row r="341" spans="1:12" s="75" customFormat="1" ht="12.6" customHeight="1">
      <c r="A341" s="935">
        <v>14</v>
      </c>
      <c r="B341" s="938"/>
      <c r="C341" s="938" t="s">
        <v>262</v>
      </c>
      <c r="D341" s="941" t="s">
        <v>326</v>
      </c>
      <c r="E341" s="935" t="s">
        <v>327</v>
      </c>
      <c r="F341" s="98" t="s">
        <v>5</v>
      </c>
      <c r="G341" s="99">
        <v>6883153</v>
      </c>
      <c r="H341" s="107">
        <f>12300+110700+1005427+3024677+2398251+274768</f>
        <v>6826123</v>
      </c>
      <c r="I341" s="99">
        <f>J341+K341</f>
        <v>28515</v>
      </c>
      <c r="J341" s="99">
        <v>28515</v>
      </c>
      <c r="K341" s="99">
        <v>0</v>
      </c>
      <c r="L341" s="941" t="s">
        <v>325</v>
      </c>
    </row>
    <row r="342" spans="1:12" s="75" customFormat="1" ht="12.6" customHeight="1">
      <c r="A342" s="936"/>
      <c r="B342" s="939"/>
      <c r="C342" s="939"/>
      <c r="D342" s="942"/>
      <c r="E342" s="936"/>
      <c r="F342" s="98" t="s">
        <v>6</v>
      </c>
      <c r="G342" s="99"/>
      <c r="H342" s="107">
        <v>-174798</v>
      </c>
      <c r="I342" s="99">
        <f>J342+K342</f>
        <v>174798</v>
      </c>
      <c r="J342" s="99">
        <v>174798</v>
      </c>
      <c r="K342" s="99"/>
      <c r="L342" s="942"/>
    </row>
    <row r="343" spans="1:12" s="75" customFormat="1" ht="12.6" customHeight="1">
      <c r="A343" s="937"/>
      <c r="B343" s="940"/>
      <c r="C343" s="940"/>
      <c r="D343" s="943"/>
      <c r="E343" s="937"/>
      <c r="F343" s="98" t="s">
        <v>7</v>
      </c>
      <c r="G343" s="99">
        <f>G341+G342</f>
        <v>6883153</v>
      </c>
      <c r="H343" s="99">
        <f>H341+H342</f>
        <v>6651325</v>
      </c>
      <c r="I343" s="99">
        <f>I341+I342</f>
        <v>203313</v>
      </c>
      <c r="J343" s="99">
        <f>J341+J342</f>
        <v>203313</v>
      </c>
      <c r="K343" s="99">
        <f>K341+K342</f>
        <v>0</v>
      </c>
      <c r="L343" s="943"/>
    </row>
    <row r="344" spans="1:12" s="113" customFormat="1" ht="22.15" customHeight="1">
      <c r="A344" s="935">
        <v>15</v>
      </c>
      <c r="B344" s="938"/>
      <c r="C344" s="938" t="s">
        <v>262</v>
      </c>
      <c r="D344" s="941" t="s">
        <v>328</v>
      </c>
      <c r="E344" s="935" t="s">
        <v>301</v>
      </c>
      <c r="F344" s="120" t="s">
        <v>5</v>
      </c>
      <c r="G344" s="99">
        <v>9311702</v>
      </c>
      <c r="H344" s="107">
        <f>548706+6814127</f>
        <v>7362833</v>
      </c>
      <c r="I344" s="99">
        <f>J344+K344</f>
        <v>1948869</v>
      </c>
      <c r="J344" s="99">
        <v>1948869</v>
      </c>
      <c r="K344" s="99">
        <v>0</v>
      </c>
      <c r="L344" s="941" t="s">
        <v>325</v>
      </c>
    </row>
    <row r="345" spans="1:12" s="113" customFormat="1" ht="22.15" customHeight="1">
      <c r="A345" s="936"/>
      <c r="B345" s="939"/>
      <c r="C345" s="939"/>
      <c r="D345" s="942"/>
      <c r="E345" s="936"/>
      <c r="F345" s="120" t="s">
        <v>6</v>
      </c>
      <c r="G345" s="99">
        <v>-68472</v>
      </c>
      <c r="H345" s="107">
        <v>-3350721</v>
      </c>
      <c r="I345" s="99">
        <f>J345+K345</f>
        <v>3282249</v>
      </c>
      <c r="J345" s="99">
        <v>3282249</v>
      </c>
      <c r="K345" s="99"/>
      <c r="L345" s="942"/>
    </row>
    <row r="346" spans="1:12" s="113" customFormat="1" ht="22.15" customHeight="1">
      <c r="A346" s="937"/>
      <c r="B346" s="940"/>
      <c r="C346" s="940"/>
      <c r="D346" s="943"/>
      <c r="E346" s="937"/>
      <c r="F346" s="122" t="s">
        <v>7</v>
      </c>
      <c r="G346" s="99">
        <f>G344+G345</f>
        <v>9243230</v>
      </c>
      <c r="H346" s="99">
        <f>H344+H345</f>
        <v>4012112</v>
      </c>
      <c r="I346" s="99">
        <f>I344+I345</f>
        <v>5231118</v>
      </c>
      <c r="J346" s="99">
        <f>J344+J345</f>
        <v>5231118</v>
      </c>
      <c r="K346" s="99">
        <f>K344+K345</f>
        <v>0</v>
      </c>
      <c r="L346" s="943"/>
    </row>
    <row r="347" spans="1:12" s="75" customFormat="1" ht="12.6" customHeight="1">
      <c r="A347" s="936">
        <v>16</v>
      </c>
      <c r="B347" s="939"/>
      <c r="C347" s="939" t="s">
        <v>262</v>
      </c>
      <c r="D347" s="993" t="s">
        <v>363</v>
      </c>
      <c r="E347" s="936" t="s">
        <v>362</v>
      </c>
      <c r="F347" s="114" t="s">
        <v>5</v>
      </c>
      <c r="G347" s="115">
        <v>44679407</v>
      </c>
      <c r="H347" s="116">
        <v>0</v>
      </c>
      <c r="I347" s="115">
        <f>J347+K347</f>
        <v>21486</v>
      </c>
      <c r="J347" s="115">
        <v>21486</v>
      </c>
      <c r="K347" s="115">
        <v>0</v>
      </c>
      <c r="L347" s="942" t="s">
        <v>264</v>
      </c>
    </row>
    <row r="348" spans="1:12" s="75" customFormat="1" ht="12.6" customHeight="1">
      <c r="A348" s="936"/>
      <c r="B348" s="939"/>
      <c r="C348" s="939"/>
      <c r="D348" s="993"/>
      <c r="E348" s="936"/>
      <c r="F348" s="98" t="s">
        <v>6</v>
      </c>
      <c r="G348" s="99">
        <v>44679407</v>
      </c>
      <c r="H348" s="107">
        <v>0</v>
      </c>
      <c r="I348" s="99">
        <f>J348+K348</f>
        <v>21486</v>
      </c>
      <c r="J348" s="99"/>
      <c r="K348" s="99">
        <v>21486</v>
      </c>
      <c r="L348" s="942"/>
    </row>
    <row r="349" spans="1:12" s="75" customFormat="1" ht="12.6" customHeight="1">
      <c r="A349" s="937"/>
      <c r="B349" s="940"/>
      <c r="C349" s="940"/>
      <c r="D349" s="994"/>
      <c r="E349" s="937"/>
      <c r="F349" s="98" t="s">
        <v>7</v>
      </c>
      <c r="G349" s="99">
        <f>G347+G348</f>
        <v>89358814</v>
      </c>
      <c r="H349" s="99">
        <f>H347+H348</f>
        <v>0</v>
      </c>
      <c r="I349" s="99">
        <f>I347+I348</f>
        <v>42972</v>
      </c>
      <c r="J349" s="99">
        <f>J347+J348</f>
        <v>21486</v>
      </c>
      <c r="K349" s="99">
        <f>K347+K348</f>
        <v>21486</v>
      </c>
      <c r="L349" s="943"/>
    </row>
    <row r="350" spans="1:12" s="75" customFormat="1" ht="13.15" hidden="1" customHeight="1">
      <c r="A350" s="935">
        <v>16</v>
      </c>
      <c r="B350" s="938"/>
      <c r="C350" s="938" t="s">
        <v>262</v>
      </c>
      <c r="D350" s="992" t="s">
        <v>373</v>
      </c>
      <c r="E350" s="935" t="s">
        <v>305</v>
      </c>
      <c r="F350" s="98" t="s">
        <v>5</v>
      </c>
      <c r="G350" s="99">
        <v>882765</v>
      </c>
      <c r="H350" s="107">
        <v>0</v>
      </c>
      <c r="I350" s="99">
        <f>J350+K350</f>
        <v>498765</v>
      </c>
      <c r="J350" s="99">
        <v>498765</v>
      </c>
      <c r="K350" s="99">
        <v>0</v>
      </c>
      <c r="L350" s="941" t="s">
        <v>325</v>
      </c>
    </row>
    <row r="351" spans="1:12" s="75" customFormat="1" hidden="1">
      <c r="A351" s="936"/>
      <c r="B351" s="939"/>
      <c r="C351" s="939"/>
      <c r="D351" s="993"/>
      <c r="E351" s="936"/>
      <c r="F351" s="98" t="s">
        <v>6</v>
      </c>
      <c r="G351" s="99"/>
      <c r="H351" s="107">
        <v>0</v>
      </c>
      <c r="I351" s="99">
        <f>J351+K351</f>
        <v>0</v>
      </c>
      <c r="J351" s="99"/>
      <c r="K351" s="99"/>
      <c r="L351" s="942"/>
    </row>
    <row r="352" spans="1:12" s="75" customFormat="1" hidden="1">
      <c r="A352" s="937"/>
      <c r="B352" s="940"/>
      <c r="C352" s="940"/>
      <c r="D352" s="994"/>
      <c r="E352" s="937"/>
      <c r="F352" s="98" t="s">
        <v>7</v>
      </c>
      <c r="G352" s="99">
        <f>G350+G351</f>
        <v>882765</v>
      </c>
      <c r="H352" s="99">
        <f>H350+H351</f>
        <v>0</v>
      </c>
      <c r="I352" s="99">
        <f>I350+I351</f>
        <v>498765</v>
      </c>
      <c r="J352" s="99">
        <f>J350+J351</f>
        <v>498765</v>
      </c>
      <c r="K352" s="99">
        <f>K350+K351</f>
        <v>0</v>
      </c>
      <c r="L352" s="943"/>
    </row>
    <row r="353" spans="1:12" s="75" customFormat="1" ht="13.15" hidden="1" customHeight="1">
      <c r="A353" s="935">
        <v>17</v>
      </c>
      <c r="B353" s="938"/>
      <c r="C353" s="938" t="s">
        <v>262</v>
      </c>
      <c r="D353" s="992" t="s">
        <v>368</v>
      </c>
      <c r="E353" s="935" t="s">
        <v>323</v>
      </c>
      <c r="F353" s="98" t="s">
        <v>5</v>
      </c>
      <c r="G353" s="99">
        <v>4271718</v>
      </c>
      <c r="H353" s="107">
        <v>1155000</v>
      </c>
      <c r="I353" s="99">
        <f>J353+K353</f>
        <v>1294375</v>
      </c>
      <c r="J353" s="99">
        <v>1294375</v>
      </c>
      <c r="K353" s="99">
        <v>0</v>
      </c>
      <c r="L353" s="941" t="s">
        <v>325</v>
      </c>
    </row>
    <row r="354" spans="1:12" s="75" customFormat="1" hidden="1">
      <c r="A354" s="936"/>
      <c r="B354" s="939"/>
      <c r="C354" s="939"/>
      <c r="D354" s="993"/>
      <c r="E354" s="936"/>
      <c r="F354" s="98" t="s">
        <v>6</v>
      </c>
      <c r="G354" s="99"/>
      <c r="H354" s="107"/>
      <c r="I354" s="99">
        <f>J354+K354</f>
        <v>0</v>
      </c>
      <c r="J354" s="99"/>
      <c r="K354" s="99"/>
      <c r="L354" s="942"/>
    </row>
    <row r="355" spans="1:12" s="75" customFormat="1" hidden="1">
      <c r="A355" s="937"/>
      <c r="B355" s="940"/>
      <c r="C355" s="940"/>
      <c r="D355" s="994"/>
      <c r="E355" s="937"/>
      <c r="F355" s="98" t="s">
        <v>7</v>
      </c>
      <c r="G355" s="99">
        <f>G353+G354</f>
        <v>4271718</v>
      </c>
      <c r="H355" s="99">
        <f>H353+H354</f>
        <v>1155000</v>
      </c>
      <c r="I355" s="99">
        <f>I353+I354</f>
        <v>1294375</v>
      </c>
      <c r="J355" s="99">
        <f>J353+J354</f>
        <v>1294375</v>
      </c>
      <c r="K355" s="99">
        <f>K353+K354</f>
        <v>0</v>
      </c>
      <c r="L355" s="943"/>
    </row>
    <row r="356" spans="1:12" s="75" customFormat="1" ht="13.15" hidden="1" customHeight="1">
      <c r="A356" s="935">
        <v>18</v>
      </c>
      <c r="B356" s="938"/>
      <c r="C356" s="938" t="s">
        <v>360</v>
      </c>
      <c r="D356" s="992" t="s">
        <v>369</v>
      </c>
      <c r="E356" s="935" t="s">
        <v>361</v>
      </c>
      <c r="F356" s="98" t="s">
        <v>5</v>
      </c>
      <c r="G356" s="99">
        <v>13651901</v>
      </c>
      <c r="H356" s="107">
        <v>1377844</v>
      </c>
      <c r="I356" s="99">
        <f>J356+K356</f>
        <v>1920475</v>
      </c>
      <c r="J356" s="99">
        <v>1920475</v>
      </c>
      <c r="K356" s="99">
        <v>0</v>
      </c>
      <c r="L356" s="941" t="s">
        <v>357</v>
      </c>
    </row>
    <row r="357" spans="1:12" s="75" customFormat="1" hidden="1">
      <c r="A357" s="936"/>
      <c r="B357" s="939"/>
      <c r="C357" s="939"/>
      <c r="D357" s="993"/>
      <c r="E357" s="936"/>
      <c r="F357" s="98" t="s">
        <v>6</v>
      </c>
      <c r="G357" s="99"/>
      <c r="H357" s="107"/>
      <c r="I357" s="99">
        <f>J357+K357</f>
        <v>0</v>
      </c>
      <c r="J357" s="99"/>
      <c r="K357" s="99"/>
      <c r="L357" s="942"/>
    </row>
    <row r="358" spans="1:12" s="75" customFormat="1" hidden="1">
      <c r="A358" s="937"/>
      <c r="B358" s="940"/>
      <c r="C358" s="940"/>
      <c r="D358" s="994"/>
      <c r="E358" s="937"/>
      <c r="F358" s="98" t="s">
        <v>7</v>
      </c>
      <c r="G358" s="99">
        <f>G356+G357</f>
        <v>13651901</v>
      </c>
      <c r="H358" s="99">
        <f>H356+H357</f>
        <v>1377844</v>
      </c>
      <c r="I358" s="99">
        <f>I356+I357</f>
        <v>1920475</v>
      </c>
      <c r="J358" s="99">
        <f>J356+J357</f>
        <v>1920475</v>
      </c>
      <c r="K358" s="99">
        <f>K356+K357</f>
        <v>0</v>
      </c>
      <c r="L358" s="943"/>
    </row>
    <row r="359" spans="1:12" s="75" customFormat="1" ht="12.6" customHeight="1">
      <c r="A359" s="935">
        <v>17</v>
      </c>
      <c r="B359" s="938"/>
      <c r="C359" s="938" t="s">
        <v>267</v>
      </c>
      <c r="D359" s="992" t="s">
        <v>329</v>
      </c>
      <c r="E359" s="935" t="s">
        <v>305</v>
      </c>
      <c r="F359" s="98" t="s">
        <v>5</v>
      </c>
      <c r="G359" s="99">
        <v>889163</v>
      </c>
      <c r="H359" s="107">
        <v>0</v>
      </c>
      <c r="I359" s="99">
        <f>J359+K359</f>
        <v>165225</v>
      </c>
      <c r="J359" s="99">
        <v>165225</v>
      </c>
      <c r="K359" s="99">
        <v>0</v>
      </c>
      <c r="L359" s="941" t="s">
        <v>330</v>
      </c>
    </row>
    <row r="360" spans="1:12" s="75" customFormat="1" ht="12.6" customHeight="1">
      <c r="A360" s="936"/>
      <c r="B360" s="939"/>
      <c r="C360" s="939"/>
      <c r="D360" s="993"/>
      <c r="E360" s="936"/>
      <c r="F360" s="98" t="s">
        <v>6</v>
      </c>
      <c r="G360" s="99"/>
      <c r="H360" s="107"/>
      <c r="I360" s="99">
        <f>J360+K360</f>
        <v>-129275</v>
      </c>
      <c r="J360" s="99">
        <v>-129275</v>
      </c>
      <c r="K360" s="99"/>
      <c r="L360" s="942"/>
    </row>
    <row r="361" spans="1:12" s="75" customFormat="1" ht="12.6" customHeight="1">
      <c r="A361" s="937"/>
      <c r="B361" s="940"/>
      <c r="C361" s="940"/>
      <c r="D361" s="994"/>
      <c r="E361" s="937"/>
      <c r="F361" s="98" t="s">
        <v>7</v>
      </c>
      <c r="G361" s="99">
        <f>G359+G360</f>
        <v>889163</v>
      </c>
      <c r="H361" s="99">
        <f>H359+H360</f>
        <v>0</v>
      </c>
      <c r="I361" s="99">
        <f>I359+I360</f>
        <v>35950</v>
      </c>
      <c r="J361" s="99">
        <f>J359+J360</f>
        <v>35950</v>
      </c>
      <c r="K361" s="99">
        <f>K359+K360</f>
        <v>0</v>
      </c>
      <c r="L361" s="943"/>
    </row>
    <row r="362" spans="1:12" s="75" customFormat="1" ht="12.6" customHeight="1">
      <c r="A362" s="935">
        <v>18</v>
      </c>
      <c r="B362" s="938"/>
      <c r="C362" s="938" t="s">
        <v>278</v>
      </c>
      <c r="D362" s="992" t="s">
        <v>331</v>
      </c>
      <c r="E362" s="935" t="s">
        <v>297</v>
      </c>
      <c r="F362" s="98" t="s">
        <v>5</v>
      </c>
      <c r="G362" s="99">
        <v>350000</v>
      </c>
      <c r="H362" s="107">
        <v>22504</v>
      </c>
      <c r="I362" s="99">
        <f>J362+K362</f>
        <v>327496</v>
      </c>
      <c r="J362" s="99">
        <v>327496</v>
      </c>
      <c r="K362" s="99">
        <v>0</v>
      </c>
      <c r="L362" s="941" t="s">
        <v>280</v>
      </c>
    </row>
    <row r="363" spans="1:12" s="75" customFormat="1" ht="12.6" customHeight="1">
      <c r="A363" s="936"/>
      <c r="B363" s="939"/>
      <c r="C363" s="939"/>
      <c r="D363" s="993"/>
      <c r="E363" s="936"/>
      <c r="F363" s="98" t="s">
        <v>6</v>
      </c>
      <c r="G363" s="99">
        <v>64044</v>
      </c>
      <c r="H363" s="107"/>
      <c r="I363" s="99">
        <f>J363+K363</f>
        <v>64044</v>
      </c>
      <c r="J363" s="99">
        <v>64044</v>
      </c>
      <c r="K363" s="99"/>
      <c r="L363" s="942"/>
    </row>
    <row r="364" spans="1:12" s="75" customFormat="1" ht="12.6" customHeight="1">
      <c r="A364" s="936"/>
      <c r="B364" s="939"/>
      <c r="C364" s="939"/>
      <c r="D364" s="993"/>
      <c r="E364" s="936"/>
      <c r="F364" s="98" t="s">
        <v>7</v>
      </c>
      <c r="G364" s="99">
        <f>G362+G363</f>
        <v>414044</v>
      </c>
      <c r="H364" s="99">
        <f>H362+H363</f>
        <v>22504</v>
      </c>
      <c r="I364" s="99">
        <f>I362+I363</f>
        <v>391540</v>
      </c>
      <c r="J364" s="99">
        <f>J362+J363</f>
        <v>391540</v>
      </c>
      <c r="K364" s="99">
        <f>K362+K363</f>
        <v>0</v>
      </c>
      <c r="L364" s="942"/>
    </row>
    <row r="365" spans="1:12" s="75" customFormat="1" ht="12.6" customHeight="1">
      <c r="A365" s="935">
        <v>19</v>
      </c>
      <c r="B365" s="938"/>
      <c r="C365" s="938" t="s">
        <v>278</v>
      </c>
      <c r="D365" s="992" t="s">
        <v>364</v>
      </c>
      <c r="E365" s="935" t="s">
        <v>294</v>
      </c>
      <c r="F365" s="98" t="s">
        <v>5</v>
      </c>
      <c r="G365" s="99">
        <v>430139</v>
      </c>
      <c r="H365" s="107">
        <v>131367</v>
      </c>
      <c r="I365" s="99">
        <f>J365+K365</f>
        <v>298772</v>
      </c>
      <c r="J365" s="99">
        <v>298772</v>
      </c>
      <c r="K365" s="99">
        <v>0</v>
      </c>
      <c r="L365" s="941" t="s">
        <v>282</v>
      </c>
    </row>
    <row r="366" spans="1:12" s="75" customFormat="1" ht="12.6" customHeight="1">
      <c r="A366" s="936"/>
      <c r="B366" s="939"/>
      <c r="C366" s="939"/>
      <c r="D366" s="993"/>
      <c r="E366" s="936"/>
      <c r="F366" s="98" t="s">
        <v>6</v>
      </c>
      <c r="G366" s="99">
        <v>121203</v>
      </c>
      <c r="H366" s="107"/>
      <c r="I366" s="99">
        <f>J366+K366</f>
        <v>121203</v>
      </c>
      <c r="J366" s="99">
        <v>121203</v>
      </c>
      <c r="K366" s="99"/>
      <c r="L366" s="942"/>
    </row>
    <row r="367" spans="1:12" s="75" customFormat="1" ht="12.6" customHeight="1">
      <c r="A367" s="936"/>
      <c r="B367" s="939"/>
      <c r="C367" s="939"/>
      <c r="D367" s="993"/>
      <c r="E367" s="936"/>
      <c r="F367" s="98" t="s">
        <v>7</v>
      </c>
      <c r="G367" s="99">
        <f>G365+G366</f>
        <v>551342</v>
      </c>
      <c r="H367" s="99">
        <f>H365+H366</f>
        <v>131367</v>
      </c>
      <c r="I367" s="99">
        <f>I365+I366</f>
        <v>419975</v>
      </c>
      <c r="J367" s="99">
        <f>J365+J366</f>
        <v>419975</v>
      </c>
      <c r="K367" s="99">
        <f>K365+K366</f>
        <v>0</v>
      </c>
      <c r="L367" s="942"/>
    </row>
    <row r="368" spans="1:12" s="75" customFormat="1" ht="5.0999999999999996" customHeight="1">
      <c r="A368" s="101"/>
      <c r="B368" s="102"/>
      <c r="C368" s="102"/>
      <c r="D368" s="103"/>
      <c r="E368" s="101"/>
      <c r="F368" s="101"/>
      <c r="G368" s="99"/>
      <c r="H368" s="107"/>
      <c r="I368" s="99"/>
      <c r="J368" s="99"/>
      <c r="K368" s="99"/>
      <c r="L368" s="105"/>
    </row>
    <row r="369" spans="1:12" s="97" customFormat="1" ht="15.95" customHeight="1">
      <c r="A369" s="957" t="s">
        <v>290</v>
      </c>
      <c r="B369" s="958"/>
      <c r="C369" s="958"/>
      <c r="D369" s="959"/>
      <c r="E369" s="966" t="s">
        <v>210</v>
      </c>
      <c r="F369" s="86" t="s">
        <v>5</v>
      </c>
      <c r="G369" s="106">
        <f t="shared" ref="G369:K370" si="22">G221+G302+G311+G317+G323+G329+G335</f>
        <v>514014984</v>
      </c>
      <c r="H369" s="106">
        <f t="shared" si="22"/>
        <v>82154793</v>
      </c>
      <c r="I369" s="106">
        <f t="shared" si="22"/>
        <v>82053218</v>
      </c>
      <c r="J369" s="106">
        <f t="shared" si="22"/>
        <v>79668759</v>
      </c>
      <c r="K369" s="106">
        <f t="shared" si="22"/>
        <v>2384459</v>
      </c>
      <c r="L369" s="972" t="s">
        <v>210</v>
      </c>
    </row>
    <row r="370" spans="1:12" s="97" customFormat="1" ht="15.95" customHeight="1">
      <c r="A370" s="960"/>
      <c r="B370" s="961"/>
      <c r="C370" s="961"/>
      <c r="D370" s="962"/>
      <c r="E370" s="967"/>
      <c r="F370" s="86" t="s">
        <v>6</v>
      </c>
      <c r="G370" s="106">
        <f t="shared" si="22"/>
        <v>69742263</v>
      </c>
      <c r="H370" s="106">
        <f t="shared" si="22"/>
        <v>-14421601</v>
      </c>
      <c r="I370" s="106">
        <f t="shared" si="22"/>
        <v>22321905</v>
      </c>
      <c r="J370" s="106">
        <f t="shared" si="22"/>
        <v>23300419</v>
      </c>
      <c r="K370" s="106">
        <f t="shared" si="22"/>
        <v>-978514</v>
      </c>
      <c r="L370" s="973"/>
    </row>
    <row r="371" spans="1:12" s="97" customFormat="1" ht="15.95" customHeight="1">
      <c r="A371" s="963"/>
      <c r="B371" s="964"/>
      <c r="C371" s="964"/>
      <c r="D371" s="965"/>
      <c r="E371" s="968"/>
      <c r="F371" s="86" t="s">
        <v>7</v>
      </c>
      <c r="G371" s="106">
        <f>G369+G370</f>
        <v>583757247</v>
      </c>
      <c r="H371" s="106">
        <f>H369+H370</f>
        <v>67733192</v>
      </c>
      <c r="I371" s="106">
        <f>I369+I370</f>
        <v>104375123</v>
      </c>
      <c r="J371" s="106">
        <f>J369+J370</f>
        <v>102969178</v>
      </c>
      <c r="K371" s="106">
        <f>K369+K370</f>
        <v>1405945</v>
      </c>
      <c r="L371" s="974"/>
    </row>
    <row r="372" spans="1:12" s="75" customFormat="1" ht="5.0999999999999996" customHeight="1">
      <c r="A372" s="1003"/>
      <c r="B372" s="1003"/>
      <c r="C372" s="1003"/>
      <c r="D372" s="1003"/>
      <c r="E372" s="1003"/>
      <c r="F372" s="1003"/>
      <c r="G372" s="1003"/>
      <c r="H372" s="1003"/>
      <c r="I372" s="1003"/>
      <c r="J372" s="1003"/>
      <c r="K372" s="1003"/>
      <c r="L372" s="1003"/>
    </row>
    <row r="373" spans="1:12" s="109" customFormat="1" ht="18" customHeight="1">
      <c r="A373" s="92" t="s">
        <v>332</v>
      </c>
      <c r="B373" s="976" t="s">
        <v>333</v>
      </c>
      <c r="C373" s="976"/>
      <c r="D373" s="976"/>
      <c r="E373" s="976"/>
      <c r="F373" s="976"/>
      <c r="G373" s="976"/>
      <c r="H373" s="976"/>
      <c r="I373" s="976"/>
      <c r="J373" s="976"/>
      <c r="K373" s="976"/>
      <c r="L373" s="976"/>
    </row>
    <row r="374" spans="1:12" s="97" customFormat="1" ht="5.0999999999999996" customHeight="1">
      <c r="A374" s="1001"/>
      <c r="B374" s="1001"/>
      <c r="C374" s="1001"/>
      <c r="D374" s="1001"/>
      <c r="E374" s="1001"/>
      <c r="F374" s="1001"/>
      <c r="G374" s="1001"/>
      <c r="H374" s="1001"/>
      <c r="I374" s="1001"/>
      <c r="J374" s="1001"/>
      <c r="K374" s="1001"/>
      <c r="L374" s="1001"/>
    </row>
    <row r="375" spans="1:12" s="97" customFormat="1" ht="14.45" customHeight="1">
      <c r="A375" s="926" t="s">
        <v>210</v>
      </c>
      <c r="B375" s="926" t="s">
        <v>210</v>
      </c>
      <c r="C375" s="926" t="s">
        <v>210</v>
      </c>
      <c r="D375" s="926" t="s">
        <v>210</v>
      </c>
      <c r="E375" s="926" t="s">
        <v>210</v>
      </c>
      <c r="F375" s="95" t="s">
        <v>5</v>
      </c>
      <c r="G375" s="926" t="s">
        <v>210</v>
      </c>
      <c r="H375" s="926" t="s">
        <v>210</v>
      </c>
      <c r="I375" s="108">
        <f>J375+K375</f>
        <v>465193084</v>
      </c>
      <c r="J375" s="108">
        <v>46296824</v>
      </c>
      <c r="K375" s="108">
        <v>418896260</v>
      </c>
      <c r="L375" s="926" t="s">
        <v>210</v>
      </c>
    </row>
    <row r="376" spans="1:12" s="97" customFormat="1" ht="14.45" customHeight="1">
      <c r="A376" s="927"/>
      <c r="B376" s="927"/>
      <c r="C376" s="927"/>
      <c r="D376" s="927"/>
      <c r="E376" s="927"/>
      <c r="F376" s="95" t="s">
        <v>6</v>
      </c>
      <c r="G376" s="927"/>
      <c r="H376" s="927"/>
      <c r="I376" s="108">
        <f>J376+K376</f>
        <v>9148997</v>
      </c>
      <c r="J376" s="108">
        <v>3029695</v>
      </c>
      <c r="K376" s="108">
        <v>6119302</v>
      </c>
      <c r="L376" s="927"/>
    </row>
    <row r="377" spans="1:12" s="97" customFormat="1" ht="14.45" customHeight="1">
      <c r="A377" s="928"/>
      <c r="B377" s="928"/>
      <c r="C377" s="928"/>
      <c r="D377" s="928"/>
      <c r="E377" s="928"/>
      <c r="F377" s="95" t="s">
        <v>7</v>
      </c>
      <c r="G377" s="928"/>
      <c r="H377" s="928"/>
      <c r="I377" s="108">
        <f>I375+I376</f>
        <v>474342081</v>
      </c>
      <c r="J377" s="108">
        <f>J375+J376</f>
        <v>49326519</v>
      </c>
      <c r="K377" s="108">
        <f>K375+K376</f>
        <v>425015562</v>
      </c>
      <c r="L377" s="928"/>
    </row>
    <row r="378" spans="1:12" s="97" customFormat="1" hidden="1">
      <c r="A378" s="1000" t="s">
        <v>334</v>
      </c>
      <c r="B378" s="1000"/>
      <c r="C378" s="1000"/>
      <c r="D378" s="1000"/>
      <c r="E378" s="1000"/>
      <c r="F378" s="1000"/>
      <c r="G378" s="1000"/>
      <c r="H378" s="1000"/>
      <c r="I378" s="1000"/>
      <c r="J378" s="1000"/>
      <c r="K378" s="1000"/>
      <c r="L378" s="1000"/>
    </row>
    <row r="379" spans="1:12" s="109" customFormat="1" ht="15.75" hidden="1">
      <c r="A379" s="92" t="s">
        <v>335</v>
      </c>
      <c r="B379" s="976" t="s">
        <v>336</v>
      </c>
      <c r="C379" s="976"/>
      <c r="D379" s="976"/>
      <c r="E379" s="976"/>
      <c r="F379" s="976"/>
      <c r="G379" s="976"/>
      <c r="H379" s="976"/>
      <c r="I379" s="976"/>
      <c r="J379" s="976"/>
      <c r="K379" s="976"/>
      <c r="L379" s="976"/>
    </row>
    <row r="380" spans="1:12" s="97" customFormat="1" hidden="1">
      <c r="A380" s="1001"/>
      <c r="B380" s="1001"/>
      <c r="C380" s="1001"/>
      <c r="D380" s="1001"/>
      <c r="E380" s="1001"/>
      <c r="F380" s="1001"/>
      <c r="G380" s="1001"/>
      <c r="H380" s="1001"/>
      <c r="I380" s="1001"/>
      <c r="J380" s="1001"/>
      <c r="K380" s="1001"/>
      <c r="L380" s="1001"/>
    </row>
    <row r="381" spans="1:12" s="97" customFormat="1" hidden="1">
      <c r="A381" s="1002" t="s">
        <v>210</v>
      </c>
      <c r="B381" s="1002" t="s">
        <v>210</v>
      </c>
      <c r="C381" s="1002" t="s">
        <v>210</v>
      </c>
      <c r="D381" s="1002" t="s">
        <v>210</v>
      </c>
      <c r="E381" s="1002" t="s">
        <v>210</v>
      </c>
      <c r="F381" s="95" t="s">
        <v>5</v>
      </c>
      <c r="G381" s="1002" t="s">
        <v>210</v>
      </c>
      <c r="H381" s="1002" t="s">
        <v>210</v>
      </c>
      <c r="I381" s="108">
        <f>J381+K381</f>
        <v>19350381</v>
      </c>
      <c r="J381" s="108">
        <v>10390202</v>
      </c>
      <c r="K381" s="108">
        <v>8960179</v>
      </c>
      <c r="L381" s="1002" t="s">
        <v>210</v>
      </c>
    </row>
    <row r="382" spans="1:12" s="97" customFormat="1" hidden="1">
      <c r="A382" s="1002"/>
      <c r="B382" s="1002"/>
      <c r="C382" s="1002"/>
      <c r="D382" s="1002"/>
      <c r="E382" s="1002"/>
      <c r="F382" s="95" t="s">
        <v>6</v>
      </c>
      <c r="G382" s="1002"/>
      <c r="H382" s="1002"/>
      <c r="I382" s="108">
        <f>J382+K382</f>
        <v>0</v>
      </c>
      <c r="J382" s="108"/>
      <c r="K382" s="108"/>
      <c r="L382" s="1002"/>
    </row>
    <row r="383" spans="1:12" s="97" customFormat="1" hidden="1">
      <c r="A383" s="1002"/>
      <c r="B383" s="1002"/>
      <c r="C383" s="1002"/>
      <c r="D383" s="1002"/>
      <c r="E383" s="1002"/>
      <c r="F383" s="95" t="s">
        <v>7</v>
      </c>
      <c r="G383" s="1002"/>
      <c r="H383" s="1002"/>
      <c r="I383" s="108">
        <f>I381+I382</f>
        <v>19350381</v>
      </c>
      <c r="J383" s="108">
        <f>J381+J382</f>
        <v>10390202</v>
      </c>
      <c r="K383" s="108">
        <f>K381+K382</f>
        <v>8960179</v>
      </c>
      <c r="L383" s="1002"/>
    </row>
    <row r="384" spans="1:12" s="97" customFormat="1" ht="5.0999999999999996" customHeight="1">
      <c r="A384" s="995" t="s">
        <v>334</v>
      </c>
      <c r="B384" s="996"/>
      <c r="C384" s="996"/>
      <c r="D384" s="996"/>
      <c r="E384" s="996"/>
      <c r="F384" s="996"/>
      <c r="G384" s="996"/>
      <c r="H384" s="996"/>
      <c r="I384" s="996"/>
      <c r="J384" s="996"/>
      <c r="K384" s="996"/>
      <c r="L384" s="997"/>
    </row>
    <row r="385" spans="1:12" s="88" customFormat="1" ht="15.95" customHeight="1">
      <c r="A385" s="998" t="s">
        <v>4</v>
      </c>
      <c r="B385" s="998"/>
      <c r="C385" s="998"/>
      <c r="D385" s="998"/>
      <c r="E385" s="999" t="s">
        <v>210</v>
      </c>
      <c r="F385" s="95" t="s">
        <v>5</v>
      </c>
      <c r="G385" s="999" t="s">
        <v>210</v>
      </c>
      <c r="H385" s="999" t="s">
        <v>210</v>
      </c>
      <c r="I385" s="87">
        <f t="shared" ref="I385:K386" si="23">I13</f>
        <v>632852761</v>
      </c>
      <c r="J385" s="87">
        <f t="shared" si="23"/>
        <v>200683621</v>
      </c>
      <c r="K385" s="87">
        <f t="shared" si="23"/>
        <v>432169140</v>
      </c>
      <c r="L385" s="998" t="s">
        <v>210</v>
      </c>
    </row>
    <row r="386" spans="1:12" s="88" customFormat="1" ht="15.95" customHeight="1">
      <c r="A386" s="998"/>
      <c r="B386" s="998"/>
      <c r="C386" s="998"/>
      <c r="D386" s="998"/>
      <c r="E386" s="999"/>
      <c r="F386" s="95" t="s">
        <v>6</v>
      </c>
      <c r="G386" s="999"/>
      <c r="H386" s="999"/>
      <c r="I386" s="87">
        <f t="shared" si="23"/>
        <v>28407989</v>
      </c>
      <c r="J386" s="87">
        <f t="shared" si="23"/>
        <v>23267201</v>
      </c>
      <c r="K386" s="87">
        <f t="shared" si="23"/>
        <v>5140788</v>
      </c>
      <c r="L386" s="998"/>
    </row>
    <row r="387" spans="1:12" s="88" customFormat="1" ht="15.95" customHeight="1">
      <c r="A387" s="998"/>
      <c r="B387" s="998"/>
      <c r="C387" s="998"/>
      <c r="D387" s="998"/>
      <c r="E387" s="999"/>
      <c r="F387" s="110" t="s">
        <v>7</v>
      </c>
      <c r="G387" s="999"/>
      <c r="H387" s="999"/>
      <c r="I387" s="87">
        <f>I385+I386</f>
        <v>661260750</v>
      </c>
      <c r="J387" s="87">
        <f>J385+J386</f>
        <v>223950822</v>
      </c>
      <c r="K387" s="87">
        <f>K385+K386</f>
        <v>437309928</v>
      </c>
      <c r="L387" s="998"/>
    </row>
    <row r="388" spans="1:12" ht="11.25" customHeight="1">
      <c r="A388" s="70" t="s">
        <v>3</v>
      </c>
      <c r="F388" s="71"/>
    </row>
    <row r="389" spans="1:12" ht="11.25" customHeight="1">
      <c r="A389" s="70" t="s">
        <v>33</v>
      </c>
      <c r="F389" s="71"/>
    </row>
    <row r="390" spans="1:12" ht="11.25" customHeight="1">
      <c r="A390" s="70" t="s">
        <v>34</v>
      </c>
      <c r="F390" s="71"/>
    </row>
    <row r="391" spans="1:12" ht="11.25" customHeight="1">
      <c r="A391" s="70" t="s">
        <v>35</v>
      </c>
      <c r="F391" s="71"/>
      <c r="I391" s="78"/>
    </row>
    <row r="392" spans="1:12">
      <c r="F392" s="71"/>
    </row>
    <row r="393" spans="1:12">
      <c r="F393" s="71"/>
    </row>
  </sheetData>
  <sheetProtection password="C25B" sheet="1" objects="1" scenarios="1"/>
  <mergeCells count="808">
    <mergeCell ref="E142:E144"/>
    <mergeCell ref="L142:L144"/>
    <mergeCell ref="A139:A141"/>
    <mergeCell ref="B139:B141"/>
    <mergeCell ref="C139:C141"/>
    <mergeCell ref="D139:D141"/>
    <mergeCell ref="E139:E141"/>
    <mergeCell ref="H139:H141"/>
    <mergeCell ref="A148:A150"/>
    <mergeCell ref="B148:B150"/>
    <mergeCell ref="C148:C150"/>
    <mergeCell ref="D148:D150"/>
    <mergeCell ref="A145:A147"/>
    <mergeCell ref="B145:B147"/>
    <mergeCell ref="E55:E57"/>
    <mergeCell ref="H55:H57"/>
    <mergeCell ref="L55:L57"/>
    <mergeCell ref="A64:A66"/>
    <mergeCell ref="B64:B66"/>
    <mergeCell ref="C64:C66"/>
    <mergeCell ref="D64:D66"/>
    <mergeCell ref="E64:E66"/>
    <mergeCell ref="H64:H66"/>
    <mergeCell ref="H61:H63"/>
    <mergeCell ref="L61:L63"/>
    <mergeCell ref="A58:A60"/>
    <mergeCell ref="B58:B60"/>
    <mergeCell ref="C58:C60"/>
    <mergeCell ref="D58:D60"/>
    <mergeCell ref="E58:E60"/>
    <mergeCell ref="L58:L60"/>
    <mergeCell ref="A61:A63"/>
    <mergeCell ref="B61:B63"/>
    <mergeCell ref="C61:C63"/>
    <mergeCell ref="A290:A292"/>
    <mergeCell ref="B290:B292"/>
    <mergeCell ref="C290:C292"/>
    <mergeCell ref="D290:D292"/>
    <mergeCell ref="E290:E292"/>
    <mergeCell ref="L290:L292"/>
    <mergeCell ref="A287:A289"/>
    <mergeCell ref="B287:B289"/>
    <mergeCell ref="C287:C289"/>
    <mergeCell ref="D287:D289"/>
    <mergeCell ref="E287:E289"/>
    <mergeCell ref="L287:L289"/>
    <mergeCell ref="A284:A286"/>
    <mergeCell ref="B284:B286"/>
    <mergeCell ref="C284:C286"/>
    <mergeCell ref="D284:D286"/>
    <mergeCell ref="E284:E286"/>
    <mergeCell ref="L284:L286"/>
    <mergeCell ref="C181:C183"/>
    <mergeCell ref="D181:D183"/>
    <mergeCell ref="E181:E183"/>
    <mergeCell ref="H181:H183"/>
    <mergeCell ref="L181:L183"/>
    <mergeCell ref="L190:L192"/>
    <mergeCell ref="A202:A204"/>
    <mergeCell ref="B202:B204"/>
    <mergeCell ref="C202:C204"/>
    <mergeCell ref="C193:C195"/>
    <mergeCell ref="D193:D195"/>
    <mergeCell ref="E193:E195"/>
    <mergeCell ref="H193:H195"/>
    <mergeCell ref="L193:L195"/>
    <mergeCell ref="A196:A198"/>
    <mergeCell ref="B196:B198"/>
    <mergeCell ref="C196:C198"/>
    <mergeCell ref="D196:D198"/>
    <mergeCell ref="E196:E198"/>
    <mergeCell ref="H196:H198"/>
    <mergeCell ref="G381:G383"/>
    <mergeCell ref="H381:H383"/>
    <mergeCell ref="H375:H377"/>
    <mergeCell ref="H199:H201"/>
    <mergeCell ref="C205:C207"/>
    <mergeCell ref="D205:D207"/>
    <mergeCell ref="L381:L383"/>
    <mergeCell ref="A369:D371"/>
    <mergeCell ref="E369:E371"/>
    <mergeCell ref="L369:L371"/>
    <mergeCell ref="A372:L372"/>
    <mergeCell ref="B373:L373"/>
    <mergeCell ref="A374:L374"/>
    <mergeCell ref="A365:A367"/>
    <mergeCell ref="B365:B367"/>
    <mergeCell ref="C365:C367"/>
    <mergeCell ref="D365:D367"/>
    <mergeCell ref="E365:E367"/>
    <mergeCell ref="L365:L367"/>
    <mergeCell ref="A362:A364"/>
    <mergeCell ref="B362:B364"/>
    <mergeCell ref="C362:C364"/>
    <mergeCell ref="A384:L384"/>
    <mergeCell ref="A385:D387"/>
    <mergeCell ref="E385:E387"/>
    <mergeCell ref="G385:G387"/>
    <mergeCell ref="H385:H387"/>
    <mergeCell ref="L385:L387"/>
    <mergeCell ref="L375:L377"/>
    <mergeCell ref="A378:L378"/>
    <mergeCell ref="B379:L379"/>
    <mergeCell ref="A380:L380"/>
    <mergeCell ref="A381:A383"/>
    <mergeCell ref="B381:B383"/>
    <mergeCell ref="C381:C383"/>
    <mergeCell ref="D381:D383"/>
    <mergeCell ref="E381:E383"/>
    <mergeCell ref="A375:A377"/>
    <mergeCell ref="B375:B377"/>
    <mergeCell ref="C375:C377"/>
    <mergeCell ref="D375:D377"/>
    <mergeCell ref="E375:E377"/>
    <mergeCell ref="G375:G377"/>
    <mergeCell ref="D362:D364"/>
    <mergeCell ref="E362:E364"/>
    <mergeCell ref="L362:L364"/>
    <mergeCell ref="A359:A361"/>
    <mergeCell ref="B359:B361"/>
    <mergeCell ref="C359:C361"/>
    <mergeCell ref="D359:D361"/>
    <mergeCell ref="E359:E361"/>
    <mergeCell ref="L359:L361"/>
    <mergeCell ref="A356:A358"/>
    <mergeCell ref="B356:B358"/>
    <mergeCell ref="C356:C358"/>
    <mergeCell ref="D356:D358"/>
    <mergeCell ref="E356:E358"/>
    <mergeCell ref="L356:L358"/>
    <mergeCell ref="A353:A355"/>
    <mergeCell ref="B353:B355"/>
    <mergeCell ref="C353:C355"/>
    <mergeCell ref="D353:D355"/>
    <mergeCell ref="E353:E355"/>
    <mergeCell ref="L353:L355"/>
    <mergeCell ref="A350:A352"/>
    <mergeCell ref="B350:B352"/>
    <mergeCell ref="C350:C352"/>
    <mergeCell ref="D350:D352"/>
    <mergeCell ref="E350:E352"/>
    <mergeCell ref="L350:L352"/>
    <mergeCell ref="A347:A349"/>
    <mergeCell ref="B347:B349"/>
    <mergeCell ref="C347:C349"/>
    <mergeCell ref="D347:D349"/>
    <mergeCell ref="E347:E349"/>
    <mergeCell ref="L347:L349"/>
    <mergeCell ref="A344:A346"/>
    <mergeCell ref="B344:B346"/>
    <mergeCell ref="C344:C346"/>
    <mergeCell ref="D344:D346"/>
    <mergeCell ref="E344:E346"/>
    <mergeCell ref="L344:L346"/>
    <mergeCell ref="A341:A343"/>
    <mergeCell ref="B341:B343"/>
    <mergeCell ref="C341:C343"/>
    <mergeCell ref="D341:D343"/>
    <mergeCell ref="E341:E343"/>
    <mergeCell ref="L341:L343"/>
    <mergeCell ref="A338:A340"/>
    <mergeCell ref="B338:B340"/>
    <mergeCell ref="C338:C340"/>
    <mergeCell ref="D338:D340"/>
    <mergeCell ref="E338:E340"/>
    <mergeCell ref="L338:L340"/>
    <mergeCell ref="L7:L10"/>
    <mergeCell ref="I8:I10"/>
    <mergeCell ref="J8:K8"/>
    <mergeCell ref="J9:J10"/>
    <mergeCell ref="K9:K10"/>
    <mergeCell ref="A13:A15"/>
    <mergeCell ref="B13:B15"/>
    <mergeCell ref="C13:C15"/>
    <mergeCell ref="D13:D15"/>
    <mergeCell ref="E13:E15"/>
    <mergeCell ref="G13:G15"/>
    <mergeCell ref="H13:H15"/>
    <mergeCell ref="L13:L15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B17:L17"/>
    <mergeCell ref="L19:L21"/>
    <mergeCell ref="L22:L24"/>
    <mergeCell ref="A25:A27"/>
    <mergeCell ref="B25:B27"/>
    <mergeCell ref="C25:C27"/>
    <mergeCell ref="D25:D27"/>
    <mergeCell ref="E25:E27"/>
    <mergeCell ref="H25:H27"/>
    <mergeCell ref="L25:L27"/>
    <mergeCell ref="A22:A24"/>
    <mergeCell ref="B22:B24"/>
    <mergeCell ref="A19:A21"/>
    <mergeCell ref="B19:B21"/>
    <mergeCell ref="C19:C21"/>
    <mergeCell ref="D19:D21"/>
    <mergeCell ref="E19:E21"/>
    <mergeCell ref="H19:H21"/>
    <mergeCell ref="C22:C24"/>
    <mergeCell ref="D22:D24"/>
    <mergeCell ref="L28:L30"/>
    <mergeCell ref="A31:A33"/>
    <mergeCell ref="B31:B33"/>
    <mergeCell ref="C31:C33"/>
    <mergeCell ref="D31:D33"/>
    <mergeCell ref="E31:E33"/>
    <mergeCell ref="L34:L36"/>
    <mergeCell ref="E22:E24"/>
    <mergeCell ref="H22:H24"/>
    <mergeCell ref="H31:H33"/>
    <mergeCell ref="L31:L33"/>
    <mergeCell ref="A28:A30"/>
    <mergeCell ref="B28:B30"/>
    <mergeCell ref="C28:C30"/>
    <mergeCell ref="D28:D30"/>
    <mergeCell ref="E28:E30"/>
    <mergeCell ref="H28:H30"/>
    <mergeCell ref="A37:A39"/>
    <mergeCell ref="B37:B39"/>
    <mergeCell ref="C37:C39"/>
    <mergeCell ref="D37:D39"/>
    <mergeCell ref="E37:E39"/>
    <mergeCell ref="H37:H39"/>
    <mergeCell ref="L37:L39"/>
    <mergeCell ref="A34:A36"/>
    <mergeCell ref="B34:B36"/>
    <mergeCell ref="C34:C36"/>
    <mergeCell ref="D34:D36"/>
    <mergeCell ref="E34:E36"/>
    <mergeCell ref="H34:H36"/>
    <mergeCell ref="A46:A48"/>
    <mergeCell ref="B46:B48"/>
    <mergeCell ref="H43:H45"/>
    <mergeCell ref="L43:L45"/>
    <mergeCell ref="A40:A42"/>
    <mergeCell ref="B40:B42"/>
    <mergeCell ref="C40:C42"/>
    <mergeCell ref="D40:D42"/>
    <mergeCell ref="E40:E42"/>
    <mergeCell ref="H40:H42"/>
    <mergeCell ref="C46:C48"/>
    <mergeCell ref="D46:D48"/>
    <mergeCell ref="E46:E48"/>
    <mergeCell ref="H46:H48"/>
    <mergeCell ref="L40:L42"/>
    <mergeCell ref="A43:A45"/>
    <mergeCell ref="B43:B45"/>
    <mergeCell ref="C43:C45"/>
    <mergeCell ref="D43:D45"/>
    <mergeCell ref="E43:E45"/>
    <mergeCell ref="L46:L48"/>
    <mergeCell ref="D61:D63"/>
    <mergeCell ref="E61:E63"/>
    <mergeCell ref="L67:L69"/>
    <mergeCell ref="A49:A51"/>
    <mergeCell ref="B49:B51"/>
    <mergeCell ref="C49:C51"/>
    <mergeCell ref="D49:D51"/>
    <mergeCell ref="E49:E51"/>
    <mergeCell ref="H49:H51"/>
    <mergeCell ref="L49:L51"/>
    <mergeCell ref="H52:H54"/>
    <mergeCell ref="L52:L54"/>
    <mergeCell ref="A52:A54"/>
    <mergeCell ref="B52:B54"/>
    <mergeCell ref="C52:C54"/>
    <mergeCell ref="D52:D54"/>
    <mergeCell ref="E52:E54"/>
    <mergeCell ref="H58:H60"/>
    <mergeCell ref="C67:C69"/>
    <mergeCell ref="L64:L66"/>
    <mergeCell ref="A55:A57"/>
    <mergeCell ref="B55:B57"/>
    <mergeCell ref="C55:C57"/>
    <mergeCell ref="D55:D57"/>
    <mergeCell ref="A70:A72"/>
    <mergeCell ref="B70:B72"/>
    <mergeCell ref="C70:C72"/>
    <mergeCell ref="D70:D72"/>
    <mergeCell ref="E70:E72"/>
    <mergeCell ref="H70:H72"/>
    <mergeCell ref="L70:L72"/>
    <mergeCell ref="A67:A69"/>
    <mergeCell ref="B67:B69"/>
    <mergeCell ref="D67:D69"/>
    <mergeCell ref="E67:E69"/>
    <mergeCell ref="H67:H69"/>
    <mergeCell ref="H76:H78"/>
    <mergeCell ref="L76:L78"/>
    <mergeCell ref="A73:A75"/>
    <mergeCell ref="B73:B75"/>
    <mergeCell ref="C73:C75"/>
    <mergeCell ref="D73:D75"/>
    <mergeCell ref="E73:E75"/>
    <mergeCell ref="H73:H75"/>
    <mergeCell ref="C79:C81"/>
    <mergeCell ref="D79:D81"/>
    <mergeCell ref="E79:E81"/>
    <mergeCell ref="H79:H81"/>
    <mergeCell ref="L73:L75"/>
    <mergeCell ref="A76:A78"/>
    <mergeCell ref="B76:B78"/>
    <mergeCell ref="C76:C78"/>
    <mergeCell ref="D76:D78"/>
    <mergeCell ref="E76:E78"/>
    <mergeCell ref="L79:L81"/>
    <mergeCell ref="A82:A84"/>
    <mergeCell ref="B82:B84"/>
    <mergeCell ref="C82:C84"/>
    <mergeCell ref="D82:D84"/>
    <mergeCell ref="E82:E84"/>
    <mergeCell ref="H82:H84"/>
    <mergeCell ref="L82:L84"/>
    <mergeCell ref="A79:A81"/>
    <mergeCell ref="B79:B81"/>
    <mergeCell ref="H88:H90"/>
    <mergeCell ref="L88:L90"/>
    <mergeCell ref="A85:A87"/>
    <mergeCell ref="B85:B87"/>
    <mergeCell ref="C85:C87"/>
    <mergeCell ref="D85:D87"/>
    <mergeCell ref="E85:E87"/>
    <mergeCell ref="H85:H87"/>
    <mergeCell ref="C91:C93"/>
    <mergeCell ref="D91:D93"/>
    <mergeCell ref="E91:E93"/>
    <mergeCell ref="H91:H93"/>
    <mergeCell ref="L85:L87"/>
    <mergeCell ref="A88:A90"/>
    <mergeCell ref="B88:B90"/>
    <mergeCell ref="C88:C90"/>
    <mergeCell ref="D88:D90"/>
    <mergeCell ref="E88:E90"/>
    <mergeCell ref="L91:L93"/>
    <mergeCell ref="A94:A96"/>
    <mergeCell ref="B94:B96"/>
    <mergeCell ref="C94:C96"/>
    <mergeCell ref="D94:D96"/>
    <mergeCell ref="E94:E96"/>
    <mergeCell ref="H94:H96"/>
    <mergeCell ref="L94:L96"/>
    <mergeCell ref="A91:A93"/>
    <mergeCell ref="B91:B93"/>
    <mergeCell ref="H100:H102"/>
    <mergeCell ref="L100:L102"/>
    <mergeCell ref="A97:A99"/>
    <mergeCell ref="B97:B99"/>
    <mergeCell ref="C97:C99"/>
    <mergeCell ref="D97:D99"/>
    <mergeCell ref="E97:E99"/>
    <mergeCell ref="H97:H99"/>
    <mergeCell ref="C103:C105"/>
    <mergeCell ref="D103:D105"/>
    <mergeCell ref="E103:E105"/>
    <mergeCell ref="H103:H105"/>
    <mergeCell ref="L97:L99"/>
    <mergeCell ref="A100:A102"/>
    <mergeCell ref="B100:B102"/>
    <mergeCell ref="C100:C102"/>
    <mergeCell ref="D100:D102"/>
    <mergeCell ref="E100:E102"/>
    <mergeCell ref="L103:L105"/>
    <mergeCell ref="A106:A108"/>
    <mergeCell ref="B106:B108"/>
    <mergeCell ref="C106:C108"/>
    <mergeCell ref="D106:D108"/>
    <mergeCell ref="E106:E108"/>
    <mergeCell ref="H106:H108"/>
    <mergeCell ref="L106:L108"/>
    <mergeCell ref="A103:A105"/>
    <mergeCell ref="B103:B105"/>
    <mergeCell ref="H112:H114"/>
    <mergeCell ref="L112:L114"/>
    <mergeCell ref="A109:A111"/>
    <mergeCell ref="B109:B111"/>
    <mergeCell ref="C109:C111"/>
    <mergeCell ref="D109:D111"/>
    <mergeCell ref="E109:E111"/>
    <mergeCell ref="H109:H111"/>
    <mergeCell ref="C115:C117"/>
    <mergeCell ref="D115:D117"/>
    <mergeCell ref="E115:E117"/>
    <mergeCell ref="H115:H117"/>
    <mergeCell ref="L109:L111"/>
    <mergeCell ref="A112:A114"/>
    <mergeCell ref="B112:B114"/>
    <mergeCell ref="C112:C114"/>
    <mergeCell ref="D112:D114"/>
    <mergeCell ref="E112:E114"/>
    <mergeCell ref="L115:L117"/>
    <mergeCell ref="A118:A120"/>
    <mergeCell ref="B118:B120"/>
    <mergeCell ref="C118:C120"/>
    <mergeCell ref="D118:D120"/>
    <mergeCell ref="E118:E120"/>
    <mergeCell ref="H118:H120"/>
    <mergeCell ref="L118:L120"/>
    <mergeCell ref="A115:A117"/>
    <mergeCell ref="B115:B117"/>
    <mergeCell ref="L124:L126"/>
    <mergeCell ref="A121:A123"/>
    <mergeCell ref="B121:B123"/>
    <mergeCell ref="C121:C123"/>
    <mergeCell ref="D121:D123"/>
    <mergeCell ref="E121:E123"/>
    <mergeCell ref="H121:H123"/>
    <mergeCell ref="C127:C129"/>
    <mergeCell ref="D127:D129"/>
    <mergeCell ref="E127:E129"/>
    <mergeCell ref="H127:H129"/>
    <mergeCell ref="L121:L123"/>
    <mergeCell ref="A124:A126"/>
    <mergeCell ref="B124:B126"/>
    <mergeCell ref="C124:C126"/>
    <mergeCell ref="D124:D126"/>
    <mergeCell ref="E124:E126"/>
    <mergeCell ref="L127:L129"/>
    <mergeCell ref="A130:A132"/>
    <mergeCell ref="B130:B132"/>
    <mergeCell ref="C130:C132"/>
    <mergeCell ref="D130:D132"/>
    <mergeCell ref="E130:E132"/>
    <mergeCell ref="H130:H132"/>
    <mergeCell ref="L130:L132"/>
    <mergeCell ref="A127:A129"/>
    <mergeCell ref="B127:B129"/>
    <mergeCell ref="H136:H138"/>
    <mergeCell ref="L136:L138"/>
    <mergeCell ref="A133:A135"/>
    <mergeCell ref="B133:B135"/>
    <mergeCell ref="C133:C135"/>
    <mergeCell ref="D133:D135"/>
    <mergeCell ref="E133:E135"/>
    <mergeCell ref="H133:H135"/>
    <mergeCell ref="C145:C147"/>
    <mergeCell ref="D145:D147"/>
    <mergeCell ref="E145:E147"/>
    <mergeCell ref="H145:H147"/>
    <mergeCell ref="L133:L135"/>
    <mergeCell ref="A136:A138"/>
    <mergeCell ref="B136:B138"/>
    <mergeCell ref="C136:C138"/>
    <mergeCell ref="D136:D138"/>
    <mergeCell ref="E136:E138"/>
    <mergeCell ref="L145:L147"/>
    <mergeCell ref="L139:L141"/>
    <mergeCell ref="A142:A144"/>
    <mergeCell ref="B142:B144"/>
    <mergeCell ref="C142:C144"/>
    <mergeCell ref="D142:D144"/>
    <mergeCell ref="H154:H156"/>
    <mergeCell ref="L154:L156"/>
    <mergeCell ref="A151:A153"/>
    <mergeCell ref="B151:B153"/>
    <mergeCell ref="C151:C153"/>
    <mergeCell ref="D151:D153"/>
    <mergeCell ref="E151:E153"/>
    <mergeCell ref="H151:H153"/>
    <mergeCell ref="L151:L153"/>
    <mergeCell ref="A154:A156"/>
    <mergeCell ref="B154:B156"/>
    <mergeCell ref="C154:C156"/>
    <mergeCell ref="D154:D156"/>
    <mergeCell ref="E154:E156"/>
    <mergeCell ref="L157:L159"/>
    <mergeCell ref="E148:E150"/>
    <mergeCell ref="H148:H150"/>
    <mergeCell ref="L148:L150"/>
    <mergeCell ref="A163:A165"/>
    <mergeCell ref="B163:B165"/>
    <mergeCell ref="C163:C165"/>
    <mergeCell ref="D163:D165"/>
    <mergeCell ref="E163:E165"/>
    <mergeCell ref="H163:H165"/>
    <mergeCell ref="L163:L165"/>
    <mergeCell ref="A157:A159"/>
    <mergeCell ref="B157:B159"/>
    <mergeCell ref="C157:C159"/>
    <mergeCell ref="D157:D159"/>
    <mergeCell ref="E157:E159"/>
    <mergeCell ref="H157:H159"/>
    <mergeCell ref="L160:L162"/>
    <mergeCell ref="A160:A162"/>
    <mergeCell ref="B160:B162"/>
    <mergeCell ref="C160:C162"/>
    <mergeCell ref="D160:D162"/>
    <mergeCell ref="E160:E162"/>
    <mergeCell ref="H160:H162"/>
    <mergeCell ref="H169:H171"/>
    <mergeCell ref="L169:L171"/>
    <mergeCell ref="A166:A168"/>
    <mergeCell ref="B166:B168"/>
    <mergeCell ref="C166:C168"/>
    <mergeCell ref="D166:D168"/>
    <mergeCell ref="E166:E168"/>
    <mergeCell ref="H166:H168"/>
    <mergeCell ref="C172:C174"/>
    <mergeCell ref="D172:D174"/>
    <mergeCell ref="E172:E174"/>
    <mergeCell ref="H172:H174"/>
    <mergeCell ref="L166:L168"/>
    <mergeCell ref="A169:A171"/>
    <mergeCell ref="B169:B171"/>
    <mergeCell ref="C169:C171"/>
    <mergeCell ref="D169:D171"/>
    <mergeCell ref="E169:E171"/>
    <mergeCell ref="L172:L174"/>
    <mergeCell ref="A175:A177"/>
    <mergeCell ref="B175:B177"/>
    <mergeCell ref="C175:C177"/>
    <mergeCell ref="D175:D177"/>
    <mergeCell ref="E175:E177"/>
    <mergeCell ref="H175:H177"/>
    <mergeCell ref="L175:L177"/>
    <mergeCell ref="A172:A174"/>
    <mergeCell ref="B172:B174"/>
    <mergeCell ref="L178:L180"/>
    <mergeCell ref="A184:A186"/>
    <mergeCell ref="B184:B186"/>
    <mergeCell ref="C184:C186"/>
    <mergeCell ref="D184:D186"/>
    <mergeCell ref="E184:E186"/>
    <mergeCell ref="L187:L189"/>
    <mergeCell ref="A187:A189"/>
    <mergeCell ref="B187:B189"/>
    <mergeCell ref="H184:H186"/>
    <mergeCell ref="L184:L186"/>
    <mergeCell ref="A178:A180"/>
    <mergeCell ref="B178:B180"/>
    <mergeCell ref="C178:C180"/>
    <mergeCell ref="D178:D180"/>
    <mergeCell ref="E178:E180"/>
    <mergeCell ref="H178:H180"/>
    <mergeCell ref="A181:A183"/>
    <mergeCell ref="B181:B183"/>
    <mergeCell ref="L196:L198"/>
    <mergeCell ref="A199:A201"/>
    <mergeCell ref="B199:B201"/>
    <mergeCell ref="C199:C201"/>
    <mergeCell ref="D199:D201"/>
    <mergeCell ref="E199:E201"/>
    <mergeCell ref="L205:L207"/>
    <mergeCell ref="L199:L201"/>
    <mergeCell ref="C187:C189"/>
    <mergeCell ref="D187:D189"/>
    <mergeCell ref="E187:E189"/>
    <mergeCell ref="H187:H189"/>
    <mergeCell ref="D202:D204"/>
    <mergeCell ref="E202:E204"/>
    <mergeCell ref="H202:H204"/>
    <mergeCell ref="L202:L204"/>
    <mergeCell ref="A190:A192"/>
    <mergeCell ref="B190:B192"/>
    <mergeCell ref="C190:C192"/>
    <mergeCell ref="D190:D192"/>
    <mergeCell ref="E190:E192"/>
    <mergeCell ref="H190:H192"/>
    <mergeCell ref="A193:A195"/>
    <mergeCell ref="B193:B195"/>
    <mergeCell ref="A208:A210"/>
    <mergeCell ref="B208:B210"/>
    <mergeCell ref="C208:C210"/>
    <mergeCell ref="D208:D210"/>
    <mergeCell ref="E208:E210"/>
    <mergeCell ref="H208:H210"/>
    <mergeCell ref="L208:L210"/>
    <mergeCell ref="A205:A207"/>
    <mergeCell ref="B205:B207"/>
    <mergeCell ref="E205:E207"/>
    <mergeCell ref="H205:H207"/>
    <mergeCell ref="A215:D217"/>
    <mergeCell ref="E215:E217"/>
    <mergeCell ref="H215:H217"/>
    <mergeCell ref="L215:L217"/>
    <mergeCell ref="A211:A213"/>
    <mergeCell ref="B211:B213"/>
    <mergeCell ref="C211:C213"/>
    <mergeCell ref="A218:L218"/>
    <mergeCell ref="B219:L219"/>
    <mergeCell ref="A221:A223"/>
    <mergeCell ref="B221:B223"/>
    <mergeCell ref="C221:C223"/>
    <mergeCell ref="D221:D223"/>
    <mergeCell ref="E221:E223"/>
    <mergeCell ref="L221:L223"/>
    <mergeCell ref="A227:A229"/>
    <mergeCell ref="B227:B229"/>
    <mergeCell ref="C227:C229"/>
    <mergeCell ref="D227:D229"/>
    <mergeCell ref="E227:E229"/>
    <mergeCell ref="L227:L229"/>
    <mergeCell ref="A230:A232"/>
    <mergeCell ref="B230:B232"/>
    <mergeCell ref="C230:C232"/>
    <mergeCell ref="D230:D232"/>
    <mergeCell ref="E230:E232"/>
    <mergeCell ref="L230:L232"/>
    <mergeCell ref="A233:A235"/>
    <mergeCell ref="B233:B235"/>
    <mergeCell ref="C233:C235"/>
    <mergeCell ref="D233:D235"/>
    <mergeCell ref="E233:E235"/>
    <mergeCell ref="L233:L235"/>
    <mergeCell ref="A236:A238"/>
    <mergeCell ref="B236:B238"/>
    <mergeCell ref="C236:C238"/>
    <mergeCell ref="D236:D238"/>
    <mergeCell ref="E236:E238"/>
    <mergeCell ref="L236:L238"/>
    <mergeCell ref="A239:A241"/>
    <mergeCell ref="B239:B241"/>
    <mergeCell ref="C239:C241"/>
    <mergeCell ref="D239:D241"/>
    <mergeCell ref="E239:E241"/>
    <mergeCell ref="L239:L241"/>
    <mergeCell ref="A242:A244"/>
    <mergeCell ref="B242:B244"/>
    <mergeCell ref="C242:C244"/>
    <mergeCell ref="D242:D244"/>
    <mergeCell ref="E242:E244"/>
    <mergeCell ref="L242:L244"/>
    <mergeCell ref="A245:A247"/>
    <mergeCell ref="B245:B247"/>
    <mergeCell ref="C245:C247"/>
    <mergeCell ref="D245:D247"/>
    <mergeCell ref="E245:E247"/>
    <mergeCell ref="L245:L247"/>
    <mergeCell ref="A248:A250"/>
    <mergeCell ref="B248:B250"/>
    <mergeCell ref="C248:C250"/>
    <mergeCell ref="D248:D250"/>
    <mergeCell ref="E248:E250"/>
    <mergeCell ref="L248:L250"/>
    <mergeCell ref="A251:A253"/>
    <mergeCell ref="B251:B253"/>
    <mergeCell ref="C251:C253"/>
    <mergeCell ref="D251:D253"/>
    <mergeCell ref="E251:E253"/>
    <mergeCell ref="L251:L253"/>
    <mergeCell ref="A254:A256"/>
    <mergeCell ref="B254:B256"/>
    <mergeCell ref="C254:C256"/>
    <mergeCell ref="D254:D256"/>
    <mergeCell ref="E254:E256"/>
    <mergeCell ref="L254:L256"/>
    <mergeCell ref="A257:A259"/>
    <mergeCell ref="B257:B259"/>
    <mergeCell ref="C257:C259"/>
    <mergeCell ref="D257:D259"/>
    <mergeCell ref="E257:E259"/>
    <mergeCell ref="L257:L259"/>
    <mergeCell ref="A260:A262"/>
    <mergeCell ref="B260:B262"/>
    <mergeCell ref="C260:C262"/>
    <mergeCell ref="D260:D262"/>
    <mergeCell ref="E260:E262"/>
    <mergeCell ref="L260:L262"/>
    <mergeCell ref="A263:A265"/>
    <mergeCell ref="B263:B265"/>
    <mergeCell ref="C263:C265"/>
    <mergeCell ref="D263:D265"/>
    <mergeCell ref="E263:E265"/>
    <mergeCell ref="L263:L265"/>
    <mergeCell ref="A266:A268"/>
    <mergeCell ref="B266:B268"/>
    <mergeCell ref="C266:C268"/>
    <mergeCell ref="D266:D268"/>
    <mergeCell ref="E266:E268"/>
    <mergeCell ref="L266:L268"/>
    <mergeCell ref="A269:A271"/>
    <mergeCell ref="B269:B271"/>
    <mergeCell ref="C269:C271"/>
    <mergeCell ref="D269:D271"/>
    <mergeCell ref="E269:E271"/>
    <mergeCell ref="L269:L271"/>
    <mergeCell ref="A272:A274"/>
    <mergeCell ref="B272:B274"/>
    <mergeCell ref="C272:C274"/>
    <mergeCell ref="D272:D274"/>
    <mergeCell ref="E272:E274"/>
    <mergeCell ref="L272:L274"/>
    <mergeCell ref="A275:A277"/>
    <mergeCell ref="B275:B277"/>
    <mergeCell ref="C275:C277"/>
    <mergeCell ref="D275:D277"/>
    <mergeCell ref="E275:E277"/>
    <mergeCell ref="L275:L277"/>
    <mergeCell ref="A278:A280"/>
    <mergeCell ref="B278:B280"/>
    <mergeCell ref="C278:C280"/>
    <mergeCell ref="D278:D280"/>
    <mergeCell ref="E278:E280"/>
    <mergeCell ref="L278:L280"/>
    <mergeCell ref="A281:A283"/>
    <mergeCell ref="B281:B283"/>
    <mergeCell ref="C281:C283"/>
    <mergeCell ref="D281:D283"/>
    <mergeCell ref="E281:E283"/>
    <mergeCell ref="L281:L283"/>
    <mergeCell ref="B302:B304"/>
    <mergeCell ref="C302:C304"/>
    <mergeCell ref="D302:D304"/>
    <mergeCell ref="E302:E304"/>
    <mergeCell ref="L302:L304"/>
    <mergeCell ref="A293:A295"/>
    <mergeCell ref="B293:B295"/>
    <mergeCell ref="C293:C295"/>
    <mergeCell ref="D293:D295"/>
    <mergeCell ref="E293:E295"/>
    <mergeCell ref="L293:L295"/>
    <mergeCell ref="A296:A298"/>
    <mergeCell ref="B296:B298"/>
    <mergeCell ref="C296:C298"/>
    <mergeCell ref="D296:D298"/>
    <mergeCell ref="E296:E298"/>
    <mergeCell ref="L296:L298"/>
    <mergeCell ref="A5:L5"/>
    <mergeCell ref="A308:A310"/>
    <mergeCell ref="B308:B310"/>
    <mergeCell ref="C308:C310"/>
    <mergeCell ref="D308:D310"/>
    <mergeCell ref="E308:E310"/>
    <mergeCell ref="L308:L310"/>
    <mergeCell ref="A305:A307"/>
    <mergeCell ref="B305:B307"/>
    <mergeCell ref="C305:C307"/>
    <mergeCell ref="D211:D213"/>
    <mergeCell ref="E211:E213"/>
    <mergeCell ref="H211:H213"/>
    <mergeCell ref="L211:L213"/>
    <mergeCell ref="A299:A301"/>
    <mergeCell ref="B299:B301"/>
    <mergeCell ref="C299:C301"/>
    <mergeCell ref="D299:D301"/>
    <mergeCell ref="E299:E301"/>
    <mergeCell ref="L299:L301"/>
    <mergeCell ref="D305:D307"/>
    <mergeCell ref="E305:E307"/>
    <mergeCell ref="L305:L307"/>
    <mergeCell ref="A302:A304"/>
    <mergeCell ref="A311:A313"/>
    <mergeCell ref="B311:B313"/>
    <mergeCell ref="C311:C313"/>
    <mergeCell ref="D311:D313"/>
    <mergeCell ref="E311:E313"/>
    <mergeCell ref="L311:L313"/>
    <mergeCell ref="A314:A316"/>
    <mergeCell ref="B314:B316"/>
    <mergeCell ref="C314:C316"/>
    <mergeCell ref="D314:D316"/>
    <mergeCell ref="E314:E316"/>
    <mergeCell ref="L314:L316"/>
    <mergeCell ref="A317:A319"/>
    <mergeCell ref="B317:B319"/>
    <mergeCell ref="C317:C319"/>
    <mergeCell ref="D317:D319"/>
    <mergeCell ref="E317:E319"/>
    <mergeCell ref="L317:L319"/>
    <mergeCell ref="A320:A322"/>
    <mergeCell ref="B320:B322"/>
    <mergeCell ref="C320:C322"/>
    <mergeCell ref="D320:D322"/>
    <mergeCell ref="E320:E322"/>
    <mergeCell ref="L320:L322"/>
    <mergeCell ref="A323:A325"/>
    <mergeCell ref="B323:B325"/>
    <mergeCell ref="C323:C325"/>
    <mergeCell ref="D323:D325"/>
    <mergeCell ref="E323:E325"/>
    <mergeCell ref="L323:L325"/>
    <mergeCell ref="A326:A328"/>
    <mergeCell ref="B326:B328"/>
    <mergeCell ref="C326:C328"/>
    <mergeCell ref="D326:D328"/>
    <mergeCell ref="E326:E328"/>
    <mergeCell ref="L326:L328"/>
    <mergeCell ref="A335:A337"/>
    <mergeCell ref="B335:B337"/>
    <mergeCell ref="C335:C337"/>
    <mergeCell ref="D335:D337"/>
    <mergeCell ref="E335:E337"/>
    <mergeCell ref="L335:L337"/>
    <mergeCell ref="A224:A226"/>
    <mergeCell ref="B224:B226"/>
    <mergeCell ref="C224:C226"/>
    <mergeCell ref="D224:D226"/>
    <mergeCell ref="E224:E226"/>
    <mergeCell ref="L224:L226"/>
    <mergeCell ref="A329:A331"/>
    <mergeCell ref="B329:B331"/>
    <mergeCell ref="C329:C331"/>
    <mergeCell ref="D329:D331"/>
    <mergeCell ref="E329:E331"/>
    <mergeCell ref="L329:L331"/>
    <mergeCell ref="A332:A334"/>
    <mergeCell ref="B332:B334"/>
    <mergeCell ref="C332:C334"/>
    <mergeCell ref="D332:D334"/>
    <mergeCell ref="E332:E334"/>
    <mergeCell ref="L332:L334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57"/>
  <sheetViews>
    <sheetView view="pageBreakPreview" zoomScaleNormal="75" zoomScaleSheetLayoutView="100" workbookViewId="0">
      <selection activeCell="H60" sqref="H60"/>
    </sheetView>
  </sheetViews>
  <sheetFormatPr defaultColWidth="8" defaultRowHeight="15"/>
  <cols>
    <col min="1" max="1" width="2.25" style="594" customWidth="1"/>
    <col min="2" max="2" width="3.375" style="594" customWidth="1"/>
    <col min="3" max="3" width="3.5" style="594" customWidth="1"/>
    <col min="4" max="4" width="5.375" style="594" customWidth="1"/>
    <col min="5" max="5" width="9.625" style="587" customWidth="1"/>
    <col min="6" max="6" width="49.375" style="586" customWidth="1"/>
    <col min="7" max="7" width="2.125" style="587" customWidth="1"/>
    <col min="8" max="8" width="12.375" style="588" customWidth="1"/>
    <col min="9" max="9" width="12.625" style="589" customWidth="1"/>
    <col min="10" max="14" width="12.25" style="589" customWidth="1"/>
    <col min="15" max="256" width="8" style="590"/>
    <col min="257" max="257" width="2.25" style="590" customWidth="1"/>
    <col min="258" max="258" width="3.375" style="590" customWidth="1"/>
    <col min="259" max="259" width="3.5" style="590" customWidth="1"/>
    <col min="260" max="260" width="5.375" style="590" customWidth="1"/>
    <col min="261" max="261" width="9.625" style="590" customWidth="1"/>
    <col min="262" max="262" width="49.375" style="590" customWidth="1"/>
    <col min="263" max="263" width="2.125" style="590" customWidth="1"/>
    <col min="264" max="264" width="12.375" style="590" customWidth="1"/>
    <col min="265" max="265" width="12.625" style="590" customWidth="1"/>
    <col min="266" max="270" width="12.25" style="590" customWidth="1"/>
    <col min="271" max="512" width="8" style="590"/>
    <col min="513" max="513" width="2.25" style="590" customWidth="1"/>
    <col min="514" max="514" width="3.375" style="590" customWidth="1"/>
    <col min="515" max="515" width="3.5" style="590" customWidth="1"/>
    <col min="516" max="516" width="5.375" style="590" customWidth="1"/>
    <col min="517" max="517" width="9.625" style="590" customWidth="1"/>
    <col min="518" max="518" width="49.375" style="590" customWidth="1"/>
    <col min="519" max="519" width="2.125" style="590" customWidth="1"/>
    <col min="520" max="520" width="12.375" style="590" customWidth="1"/>
    <col min="521" max="521" width="12.625" style="590" customWidth="1"/>
    <col min="522" max="526" width="12.25" style="590" customWidth="1"/>
    <col min="527" max="768" width="8" style="590"/>
    <col min="769" max="769" width="2.25" style="590" customWidth="1"/>
    <col min="770" max="770" width="3.375" style="590" customWidth="1"/>
    <col min="771" max="771" width="3.5" style="590" customWidth="1"/>
    <col min="772" max="772" width="5.375" style="590" customWidth="1"/>
    <col min="773" max="773" width="9.625" style="590" customWidth="1"/>
    <col min="774" max="774" width="49.375" style="590" customWidth="1"/>
    <col min="775" max="775" width="2.125" style="590" customWidth="1"/>
    <col min="776" max="776" width="12.375" style="590" customWidth="1"/>
    <col min="777" max="777" width="12.625" style="590" customWidth="1"/>
    <col min="778" max="782" width="12.25" style="590" customWidth="1"/>
    <col min="783" max="1024" width="8" style="590"/>
    <col min="1025" max="1025" width="2.25" style="590" customWidth="1"/>
    <col min="1026" max="1026" width="3.375" style="590" customWidth="1"/>
    <col min="1027" max="1027" width="3.5" style="590" customWidth="1"/>
    <col min="1028" max="1028" width="5.375" style="590" customWidth="1"/>
    <col min="1029" max="1029" width="9.625" style="590" customWidth="1"/>
    <col min="1030" max="1030" width="49.375" style="590" customWidth="1"/>
    <col min="1031" max="1031" width="2.125" style="590" customWidth="1"/>
    <col min="1032" max="1032" width="12.375" style="590" customWidth="1"/>
    <col min="1033" max="1033" width="12.625" style="590" customWidth="1"/>
    <col min="1034" max="1038" width="12.25" style="590" customWidth="1"/>
    <col min="1039" max="1280" width="8" style="590"/>
    <col min="1281" max="1281" width="2.25" style="590" customWidth="1"/>
    <col min="1282" max="1282" width="3.375" style="590" customWidth="1"/>
    <col min="1283" max="1283" width="3.5" style="590" customWidth="1"/>
    <col min="1284" max="1284" width="5.375" style="590" customWidth="1"/>
    <col min="1285" max="1285" width="9.625" style="590" customWidth="1"/>
    <col min="1286" max="1286" width="49.375" style="590" customWidth="1"/>
    <col min="1287" max="1287" width="2.125" style="590" customWidth="1"/>
    <col min="1288" max="1288" width="12.375" style="590" customWidth="1"/>
    <col min="1289" max="1289" width="12.625" style="590" customWidth="1"/>
    <col min="1290" max="1294" width="12.25" style="590" customWidth="1"/>
    <col min="1295" max="1536" width="8" style="590"/>
    <col min="1537" max="1537" width="2.25" style="590" customWidth="1"/>
    <col min="1538" max="1538" width="3.375" style="590" customWidth="1"/>
    <col min="1539" max="1539" width="3.5" style="590" customWidth="1"/>
    <col min="1540" max="1540" width="5.375" style="590" customWidth="1"/>
    <col min="1541" max="1541" width="9.625" style="590" customWidth="1"/>
    <col min="1542" max="1542" width="49.375" style="590" customWidth="1"/>
    <col min="1543" max="1543" width="2.125" style="590" customWidth="1"/>
    <col min="1544" max="1544" width="12.375" style="590" customWidth="1"/>
    <col min="1545" max="1545" width="12.625" style="590" customWidth="1"/>
    <col min="1546" max="1550" width="12.25" style="590" customWidth="1"/>
    <col min="1551" max="1792" width="8" style="590"/>
    <col min="1793" max="1793" width="2.25" style="590" customWidth="1"/>
    <col min="1794" max="1794" width="3.375" style="590" customWidth="1"/>
    <col min="1795" max="1795" width="3.5" style="590" customWidth="1"/>
    <col min="1796" max="1796" width="5.375" style="590" customWidth="1"/>
    <col min="1797" max="1797" width="9.625" style="590" customWidth="1"/>
    <col min="1798" max="1798" width="49.375" style="590" customWidth="1"/>
    <col min="1799" max="1799" width="2.125" style="590" customWidth="1"/>
    <col min="1800" max="1800" width="12.375" style="590" customWidth="1"/>
    <col min="1801" max="1801" width="12.625" style="590" customWidth="1"/>
    <col min="1802" max="1806" width="12.25" style="590" customWidth="1"/>
    <col min="1807" max="2048" width="8" style="590"/>
    <col min="2049" max="2049" width="2.25" style="590" customWidth="1"/>
    <col min="2050" max="2050" width="3.375" style="590" customWidth="1"/>
    <col min="2051" max="2051" width="3.5" style="590" customWidth="1"/>
    <col min="2052" max="2052" width="5.375" style="590" customWidth="1"/>
    <col min="2053" max="2053" width="9.625" style="590" customWidth="1"/>
    <col min="2054" max="2054" width="49.375" style="590" customWidth="1"/>
    <col min="2055" max="2055" width="2.125" style="590" customWidth="1"/>
    <col min="2056" max="2056" width="12.375" style="590" customWidth="1"/>
    <col min="2057" max="2057" width="12.625" style="590" customWidth="1"/>
    <col min="2058" max="2062" width="12.25" style="590" customWidth="1"/>
    <col min="2063" max="2304" width="8" style="590"/>
    <col min="2305" max="2305" width="2.25" style="590" customWidth="1"/>
    <col min="2306" max="2306" width="3.375" style="590" customWidth="1"/>
    <col min="2307" max="2307" width="3.5" style="590" customWidth="1"/>
    <col min="2308" max="2308" width="5.375" style="590" customWidth="1"/>
    <col min="2309" max="2309" width="9.625" style="590" customWidth="1"/>
    <col min="2310" max="2310" width="49.375" style="590" customWidth="1"/>
    <col min="2311" max="2311" width="2.125" style="590" customWidth="1"/>
    <col min="2312" max="2312" width="12.375" style="590" customWidth="1"/>
    <col min="2313" max="2313" width="12.625" style="590" customWidth="1"/>
    <col min="2314" max="2318" width="12.25" style="590" customWidth="1"/>
    <col min="2319" max="2560" width="8" style="590"/>
    <col min="2561" max="2561" width="2.25" style="590" customWidth="1"/>
    <col min="2562" max="2562" width="3.375" style="590" customWidth="1"/>
    <col min="2563" max="2563" width="3.5" style="590" customWidth="1"/>
    <col min="2564" max="2564" width="5.375" style="590" customWidth="1"/>
    <col min="2565" max="2565" width="9.625" style="590" customWidth="1"/>
    <col min="2566" max="2566" width="49.375" style="590" customWidth="1"/>
    <col min="2567" max="2567" width="2.125" style="590" customWidth="1"/>
    <col min="2568" max="2568" width="12.375" style="590" customWidth="1"/>
    <col min="2569" max="2569" width="12.625" style="590" customWidth="1"/>
    <col min="2570" max="2574" width="12.25" style="590" customWidth="1"/>
    <col min="2575" max="2816" width="8" style="590"/>
    <col min="2817" max="2817" width="2.25" style="590" customWidth="1"/>
    <col min="2818" max="2818" width="3.375" style="590" customWidth="1"/>
    <col min="2819" max="2819" width="3.5" style="590" customWidth="1"/>
    <col min="2820" max="2820" width="5.375" style="590" customWidth="1"/>
    <col min="2821" max="2821" width="9.625" style="590" customWidth="1"/>
    <col min="2822" max="2822" width="49.375" style="590" customWidth="1"/>
    <col min="2823" max="2823" width="2.125" style="590" customWidth="1"/>
    <col min="2824" max="2824" width="12.375" style="590" customWidth="1"/>
    <col min="2825" max="2825" width="12.625" style="590" customWidth="1"/>
    <col min="2826" max="2830" width="12.25" style="590" customWidth="1"/>
    <col min="2831" max="3072" width="8" style="590"/>
    <col min="3073" max="3073" width="2.25" style="590" customWidth="1"/>
    <col min="3074" max="3074" width="3.375" style="590" customWidth="1"/>
    <col min="3075" max="3075" width="3.5" style="590" customWidth="1"/>
    <col min="3076" max="3076" width="5.375" style="590" customWidth="1"/>
    <col min="3077" max="3077" width="9.625" style="590" customWidth="1"/>
    <col min="3078" max="3078" width="49.375" style="590" customWidth="1"/>
    <col min="3079" max="3079" width="2.125" style="590" customWidth="1"/>
    <col min="3080" max="3080" width="12.375" style="590" customWidth="1"/>
    <col min="3081" max="3081" width="12.625" style="590" customWidth="1"/>
    <col min="3082" max="3086" width="12.25" style="590" customWidth="1"/>
    <col min="3087" max="3328" width="8" style="590"/>
    <col min="3329" max="3329" width="2.25" style="590" customWidth="1"/>
    <col min="3330" max="3330" width="3.375" style="590" customWidth="1"/>
    <col min="3331" max="3331" width="3.5" style="590" customWidth="1"/>
    <col min="3332" max="3332" width="5.375" style="590" customWidth="1"/>
    <col min="3333" max="3333" width="9.625" style="590" customWidth="1"/>
    <col min="3334" max="3334" width="49.375" style="590" customWidth="1"/>
    <col min="3335" max="3335" width="2.125" style="590" customWidth="1"/>
    <col min="3336" max="3336" width="12.375" style="590" customWidth="1"/>
    <col min="3337" max="3337" width="12.625" style="590" customWidth="1"/>
    <col min="3338" max="3342" width="12.25" style="590" customWidth="1"/>
    <col min="3343" max="3584" width="8" style="590"/>
    <col min="3585" max="3585" width="2.25" style="590" customWidth="1"/>
    <col min="3586" max="3586" width="3.375" style="590" customWidth="1"/>
    <col min="3587" max="3587" width="3.5" style="590" customWidth="1"/>
    <col min="3588" max="3588" width="5.375" style="590" customWidth="1"/>
    <col min="3589" max="3589" width="9.625" style="590" customWidth="1"/>
    <col min="3590" max="3590" width="49.375" style="590" customWidth="1"/>
    <col min="3591" max="3591" width="2.125" style="590" customWidth="1"/>
    <col min="3592" max="3592" width="12.375" style="590" customWidth="1"/>
    <col min="3593" max="3593" width="12.625" style="590" customWidth="1"/>
    <col min="3594" max="3598" width="12.25" style="590" customWidth="1"/>
    <col min="3599" max="3840" width="8" style="590"/>
    <col min="3841" max="3841" width="2.25" style="590" customWidth="1"/>
    <col min="3842" max="3842" width="3.375" style="590" customWidth="1"/>
    <col min="3843" max="3843" width="3.5" style="590" customWidth="1"/>
    <col min="3844" max="3844" width="5.375" style="590" customWidth="1"/>
    <col min="3845" max="3845" width="9.625" style="590" customWidth="1"/>
    <col min="3846" max="3846" width="49.375" style="590" customWidth="1"/>
    <col min="3847" max="3847" width="2.125" style="590" customWidth="1"/>
    <col min="3848" max="3848" width="12.375" style="590" customWidth="1"/>
    <col min="3849" max="3849" width="12.625" style="590" customWidth="1"/>
    <col min="3850" max="3854" width="12.25" style="590" customWidth="1"/>
    <col min="3855" max="4096" width="8" style="590"/>
    <col min="4097" max="4097" width="2.25" style="590" customWidth="1"/>
    <col min="4098" max="4098" width="3.375" style="590" customWidth="1"/>
    <col min="4099" max="4099" width="3.5" style="590" customWidth="1"/>
    <col min="4100" max="4100" width="5.375" style="590" customWidth="1"/>
    <col min="4101" max="4101" width="9.625" style="590" customWidth="1"/>
    <col min="4102" max="4102" width="49.375" style="590" customWidth="1"/>
    <col min="4103" max="4103" width="2.125" style="590" customWidth="1"/>
    <col min="4104" max="4104" width="12.375" style="590" customWidth="1"/>
    <col min="4105" max="4105" width="12.625" style="590" customWidth="1"/>
    <col min="4106" max="4110" width="12.25" style="590" customWidth="1"/>
    <col min="4111" max="4352" width="8" style="590"/>
    <col min="4353" max="4353" width="2.25" style="590" customWidth="1"/>
    <col min="4354" max="4354" width="3.375" style="590" customWidth="1"/>
    <col min="4355" max="4355" width="3.5" style="590" customWidth="1"/>
    <col min="4356" max="4356" width="5.375" style="590" customWidth="1"/>
    <col min="4357" max="4357" width="9.625" style="590" customWidth="1"/>
    <col min="4358" max="4358" width="49.375" style="590" customWidth="1"/>
    <col min="4359" max="4359" width="2.125" style="590" customWidth="1"/>
    <col min="4360" max="4360" width="12.375" style="590" customWidth="1"/>
    <col min="4361" max="4361" width="12.625" style="590" customWidth="1"/>
    <col min="4362" max="4366" width="12.25" style="590" customWidth="1"/>
    <col min="4367" max="4608" width="8" style="590"/>
    <col min="4609" max="4609" width="2.25" style="590" customWidth="1"/>
    <col min="4610" max="4610" width="3.375" style="590" customWidth="1"/>
    <col min="4611" max="4611" width="3.5" style="590" customWidth="1"/>
    <col min="4612" max="4612" width="5.375" style="590" customWidth="1"/>
    <col min="4613" max="4613" width="9.625" style="590" customWidth="1"/>
    <col min="4614" max="4614" width="49.375" style="590" customWidth="1"/>
    <col min="4615" max="4615" width="2.125" style="590" customWidth="1"/>
    <col min="4616" max="4616" width="12.375" style="590" customWidth="1"/>
    <col min="4617" max="4617" width="12.625" style="590" customWidth="1"/>
    <col min="4618" max="4622" width="12.25" style="590" customWidth="1"/>
    <col min="4623" max="4864" width="8" style="590"/>
    <col min="4865" max="4865" width="2.25" style="590" customWidth="1"/>
    <col min="4866" max="4866" width="3.375" style="590" customWidth="1"/>
    <col min="4867" max="4867" width="3.5" style="590" customWidth="1"/>
    <col min="4868" max="4868" width="5.375" style="590" customWidth="1"/>
    <col min="4869" max="4869" width="9.625" style="590" customWidth="1"/>
    <col min="4870" max="4870" width="49.375" style="590" customWidth="1"/>
    <col min="4871" max="4871" width="2.125" style="590" customWidth="1"/>
    <col min="4872" max="4872" width="12.375" style="590" customWidth="1"/>
    <col min="4873" max="4873" width="12.625" style="590" customWidth="1"/>
    <col min="4874" max="4878" width="12.25" style="590" customWidth="1"/>
    <col min="4879" max="5120" width="8" style="590"/>
    <col min="5121" max="5121" width="2.25" style="590" customWidth="1"/>
    <col min="5122" max="5122" width="3.375" style="590" customWidth="1"/>
    <col min="5123" max="5123" width="3.5" style="590" customWidth="1"/>
    <col min="5124" max="5124" width="5.375" style="590" customWidth="1"/>
    <col min="5125" max="5125" width="9.625" style="590" customWidth="1"/>
    <col min="5126" max="5126" width="49.375" style="590" customWidth="1"/>
    <col min="5127" max="5127" width="2.125" style="590" customWidth="1"/>
    <col min="5128" max="5128" width="12.375" style="590" customWidth="1"/>
    <col min="5129" max="5129" width="12.625" style="590" customWidth="1"/>
    <col min="5130" max="5134" width="12.25" style="590" customWidth="1"/>
    <col min="5135" max="5376" width="8" style="590"/>
    <col min="5377" max="5377" width="2.25" style="590" customWidth="1"/>
    <col min="5378" max="5378" width="3.375" style="590" customWidth="1"/>
    <col min="5379" max="5379" width="3.5" style="590" customWidth="1"/>
    <col min="5380" max="5380" width="5.375" style="590" customWidth="1"/>
    <col min="5381" max="5381" width="9.625" style="590" customWidth="1"/>
    <col min="5382" max="5382" width="49.375" style="590" customWidth="1"/>
    <col min="5383" max="5383" width="2.125" style="590" customWidth="1"/>
    <col min="5384" max="5384" width="12.375" style="590" customWidth="1"/>
    <col min="5385" max="5385" width="12.625" style="590" customWidth="1"/>
    <col min="5386" max="5390" width="12.25" style="590" customWidth="1"/>
    <col min="5391" max="5632" width="8" style="590"/>
    <col min="5633" max="5633" width="2.25" style="590" customWidth="1"/>
    <col min="5634" max="5634" width="3.375" style="590" customWidth="1"/>
    <col min="5635" max="5635" width="3.5" style="590" customWidth="1"/>
    <col min="5636" max="5636" width="5.375" style="590" customWidth="1"/>
    <col min="5637" max="5637" width="9.625" style="590" customWidth="1"/>
    <col min="5638" max="5638" width="49.375" style="590" customWidth="1"/>
    <col min="5639" max="5639" width="2.125" style="590" customWidth="1"/>
    <col min="5640" max="5640" width="12.375" style="590" customWidth="1"/>
    <col min="5641" max="5641" width="12.625" style="590" customWidth="1"/>
    <col min="5642" max="5646" width="12.25" style="590" customWidth="1"/>
    <col min="5647" max="5888" width="8" style="590"/>
    <col min="5889" max="5889" width="2.25" style="590" customWidth="1"/>
    <col min="5890" max="5890" width="3.375" style="590" customWidth="1"/>
    <col min="5891" max="5891" width="3.5" style="590" customWidth="1"/>
    <col min="5892" max="5892" width="5.375" style="590" customWidth="1"/>
    <col min="5893" max="5893" width="9.625" style="590" customWidth="1"/>
    <col min="5894" max="5894" width="49.375" style="590" customWidth="1"/>
    <col min="5895" max="5895" width="2.125" style="590" customWidth="1"/>
    <col min="5896" max="5896" width="12.375" style="590" customWidth="1"/>
    <col min="5897" max="5897" width="12.625" style="590" customWidth="1"/>
    <col min="5898" max="5902" width="12.25" style="590" customWidth="1"/>
    <col min="5903" max="6144" width="8" style="590"/>
    <col min="6145" max="6145" width="2.25" style="590" customWidth="1"/>
    <col min="6146" max="6146" width="3.375" style="590" customWidth="1"/>
    <col min="6147" max="6147" width="3.5" style="590" customWidth="1"/>
    <col min="6148" max="6148" width="5.375" style="590" customWidth="1"/>
    <col min="6149" max="6149" width="9.625" style="590" customWidth="1"/>
    <col min="6150" max="6150" width="49.375" style="590" customWidth="1"/>
    <col min="6151" max="6151" width="2.125" style="590" customWidth="1"/>
    <col min="6152" max="6152" width="12.375" style="590" customWidth="1"/>
    <col min="6153" max="6153" width="12.625" style="590" customWidth="1"/>
    <col min="6154" max="6158" width="12.25" style="590" customWidth="1"/>
    <col min="6159" max="6400" width="8" style="590"/>
    <col min="6401" max="6401" width="2.25" style="590" customWidth="1"/>
    <col min="6402" max="6402" width="3.375" style="590" customWidth="1"/>
    <col min="6403" max="6403" width="3.5" style="590" customWidth="1"/>
    <col min="6404" max="6404" width="5.375" style="590" customWidth="1"/>
    <col min="6405" max="6405" width="9.625" style="590" customWidth="1"/>
    <col min="6406" max="6406" width="49.375" style="590" customWidth="1"/>
    <col min="6407" max="6407" width="2.125" style="590" customWidth="1"/>
    <col min="6408" max="6408" width="12.375" style="590" customWidth="1"/>
    <col min="6409" max="6409" width="12.625" style="590" customWidth="1"/>
    <col min="6410" max="6414" width="12.25" style="590" customWidth="1"/>
    <col min="6415" max="6656" width="8" style="590"/>
    <col min="6657" max="6657" width="2.25" style="590" customWidth="1"/>
    <col min="6658" max="6658" width="3.375" style="590" customWidth="1"/>
    <col min="6659" max="6659" width="3.5" style="590" customWidth="1"/>
    <col min="6660" max="6660" width="5.375" style="590" customWidth="1"/>
    <col min="6661" max="6661" width="9.625" style="590" customWidth="1"/>
    <col min="6662" max="6662" width="49.375" style="590" customWidth="1"/>
    <col min="6663" max="6663" width="2.125" style="590" customWidth="1"/>
    <col min="6664" max="6664" width="12.375" style="590" customWidth="1"/>
    <col min="6665" max="6665" width="12.625" style="590" customWidth="1"/>
    <col min="6666" max="6670" width="12.25" style="590" customWidth="1"/>
    <col min="6671" max="6912" width="8" style="590"/>
    <col min="6913" max="6913" width="2.25" style="590" customWidth="1"/>
    <col min="6914" max="6914" width="3.375" style="590" customWidth="1"/>
    <col min="6915" max="6915" width="3.5" style="590" customWidth="1"/>
    <col min="6916" max="6916" width="5.375" style="590" customWidth="1"/>
    <col min="6917" max="6917" width="9.625" style="590" customWidth="1"/>
    <col min="6918" max="6918" width="49.375" style="590" customWidth="1"/>
    <col min="6919" max="6919" width="2.125" style="590" customWidth="1"/>
    <col min="6920" max="6920" width="12.375" style="590" customWidth="1"/>
    <col min="6921" max="6921" width="12.625" style="590" customWidth="1"/>
    <col min="6922" max="6926" width="12.25" style="590" customWidth="1"/>
    <col min="6927" max="7168" width="8" style="590"/>
    <col min="7169" max="7169" width="2.25" style="590" customWidth="1"/>
    <col min="7170" max="7170" width="3.375" style="590" customWidth="1"/>
    <col min="7171" max="7171" width="3.5" style="590" customWidth="1"/>
    <col min="7172" max="7172" width="5.375" style="590" customWidth="1"/>
    <col min="7173" max="7173" width="9.625" style="590" customWidth="1"/>
    <col min="7174" max="7174" width="49.375" style="590" customWidth="1"/>
    <col min="7175" max="7175" width="2.125" style="590" customWidth="1"/>
    <col min="7176" max="7176" width="12.375" style="590" customWidth="1"/>
    <col min="7177" max="7177" width="12.625" style="590" customWidth="1"/>
    <col min="7178" max="7182" width="12.25" style="590" customWidth="1"/>
    <col min="7183" max="7424" width="8" style="590"/>
    <col min="7425" max="7425" width="2.25" style="590" customWidth="1"/>
    <col min="7426" max="7426" width="3.375" style="590" customWidth="1"/>
    <col min="7427" max="7427" width="3.5" style="590" customWidth="1"/>
    <col min="7428" max="7428" width="5.375" style="590" customWidth="1"/>
    <col min="7429" max="7429" width="9.625" style="590" customWidth="1"/>
    <col min="7430" max="7430" width="49.375" style="590" customWidth="1"/>
    <col min="7431" max="7431" width="2.125" style="590" customWidth="1"/>
    <col min="7432" max="7432" width="12.375" style="590" customWidth="1"/>
    <col min="7433" max="7433" width="12.625" style="590" customWidth="1"/>
    <col min="7434" max="7438" width="12.25" style="590" customWidth="1"/>
    <col min="7439" max="7680" width="8" style="590"/>
    <col min="7681" max="7681" width="2.25" style="590" customWidth="1"/>
    <col min="7682" max="7682" width="3.375" style="590" customWidth="1"/>
    <col min="7683" max="7683" width="3.5" style="590" customWidth="1"/>
    <col min="7684" max="7684" width="5.375" style="590" customWidth="1"/>
    <col min="7685" max="7685" width="9.625" style="590" customWidth="1"/>
    <col min="7686" max="7686" width="49.375" style="590" customWidth="1"/>
    <col min="7687" max="7687" width="2.125" style="590" customWidth="1"/>
    <col min="7688" max="7688" width="12.375" style="590" customWidth="1"/>
    <col min="7689" max="7689" width="12.625" style="590" customWidth="1"/>
    <col min="7690" max="7694" width="12.25" style="590" customWidth="1"/>
    <col min="7695" max="7936" width="8" style="590"/>
    <col min="7937" max="7937" width="2.25" style="590" customWidth="1"/>
    <col min="7938" max="7938" width="3.375" style="590" customWidth="1"/>
    <col min="7939" max="7939" width="3.5" style="590" customWidth="1"/>
    <col min="7940" max="7940" width="5.375" style="590" customWidth="1"/>
    <col min="7941" max="7941" width="9.625" style="590" customWidth="1"/>
    <col min="7942" max="7942" width="49.375" style="590" customWidth="1"/>
    <col min="7943" max="7943" width="2.125" style="590" customWidth="1"/>
    <col min="7944" max="7944" width="12.375" style="590" customWidth="1"/>
    <col min="7945" max="7945" width="12.625" style="590" customWidth="1"/>
    <col min="7946" max="7950" width="12.25" style="590" customWidth="1"/>
    <col min="7951" max="8192" width="8" style="590"/>
    <col min="8193" max="8193" width="2.25" style="590" customWidth="1"/>
    <col min="8194" max="8194" width="3.375" style="590" customWidth="1"/>
    <col min="8195" max="8195" width="3.5" style="590" customWidth="1"/>
    <col min="8196" max="8196" width="5.375" style="590" customWidth="1"/>
    <col min="8197" max="8197" width="9.625" style="590" customWidth="1"/>
    <col min="8198" max="8198" width="49.375" style="590" customWidth="1"/>
    <col min="8199" max="8199" width="2.125" style="590" customWidth="1"/>
    <col min="8200" max="8200" width="12.375" style="590" customWidth="1"/>
    <col min="8201" max="8201" width="12.625" style="590" customWidth="1"/>
    <col min="8202" max="8206" width="12.25" style="590" customWidth="1"/>
    <col min="8207" max="8448" width="8" style="590"/>
    <col min="8449" max="8449" width="2.25" style="590" customWidth="1"/>
    <col min="8450" max="8450" width="3.375" style="590" customWidth="1"/>
    <col min="8451" max="8451" width="3.5" style="590" customWidth="1"/>
    <col min="8452" max="8452" width="5.375" style="590" customWidth="1"/>
    <col min="8453" max="8453" width="9.625" style="590" customWidth="1"/>
    <col min="8454" max="8454" width="49.375" style="590" customWidth="1"/>
    <col min="8455" max="8455" width="2.125" style="590" customWidth="1"/>
    <col min="8456" max="8456" width="12.375" style="590" customWidth="1"/>
    <col min="8457" max="8457" width="12.625" style="590" customWidth="1"/>
    <col min="8458" max="8462" width="12.25" style="590" customWidth="1"/>
    <col min="8463" max="8704" width="8" style="590"/>
    <col min="8705" max="8705" width="2.25" style="590" customWidth="1"/>
    <col min="8706" max="8706" width="3.375" style="590" customWidth="1"/>
    <col min="8707" max="8707" width="3.5" style="590" customWidth="1"/>
    <col min="8708" max="8708" width="5.375" style="590" customWidth="1"/>
    <col min="8709" max="8709" width="9.625" style="590" customWidth="1"/>
    <col min="8710" max="8710" width="49.375" style="590" customWidth="1"/>
    <col min="8711" max="8711" width="2.125" style="590" customWidth="1"/>
    <col min="8712" max="8712" width="12.375" style="590" customWidth="1"/>
    <col min="8713" max="8713" width="12.625" style="590" customWidth="1"/>
    <col min="8714" max="8718" width="12.25" style="590" customWidth="1"/>
    <col min="8719" max="8960" width="8" style="590"/>
    <col min="8961" max="8961" width="2.25" style="590" customWidth="1"/>
    <col min="8962" max="8962" width="3.375" style="590" customWidth="1"/>
    <col min="8963" max="8963" width="3.5" style="590" customWidth="1"/>
    <col min="8964" max="8964" width="5.375" style="590" customWidth="1"/>
    <col min="8965" max="8965" width="9.625" style="590" customWidth="1"/>
    <col min="8966" max="8966" width="49.375" style="590" customWidth="1"/>
    <col min="8967" max="8967" width="2.125" style="590" customWidth="1"/>
    <col min="8968" max="8968" width="12.375" style="590" customWidth="1"/>
    <col min="8969" max="8969" width="12.625" style="590" customWidth="1"/>
    <col min="8970" max="8974" width="12.25" style="590" customWidth="1"/>
    <col min="8975" max="9216" width="8" style="590"/>
    <col min="9217" max="9217" width="2.25" style="590" customWidth="1"/>
    <col min="9218" max="9218" width="3.375" style="590" customWidth="1"/>
    <col min="9219" max="9219" width="3.5" style="590" customWidth="1"/>
    <col min="9220" max="9220" width="5.375" style="590" customWidth="1"/>
    <col min="9221" max="9221" width="9.625" style="590" customWidth="1"/>
    <col min="9222" max="9222" width="49.375" style="590" customWidth="1"/>
    <col min="9223" max="9223" width="2.125" style="590" customWidth="1"/>
    <col min="9224" max="9224" width="12.375" style="590" customWidth="1"/>
    <col min="9225" max="9225" width="12.625" style="590" customWidth="1"/>
    <col min="9226" max="9230" width="12.25" style="590" customWidth="1"/>
    <col min="9231" max="9472" width="8" style="590"/>
    <col min="9473" max="9473" width="2.25" style="590" customWidth="1"/>
    <col min="9474" max="9474" width="3.375" style="590" customWidth="1"/>
    <col min="9475" max="9475" width="3.5" style="590" customWidth="1"/>
    <col min="9476" max="9476" width="5.375" style="590" customWidth="1"/>
    <col min="9477" max="9477" width="9.625" style="590" customWidth="1"/>
    <col min="9478" max="9478" width="49.375" style="590" customWidth="1"/>
    <col min="9479" max="9479" width="2.125" style="590" customWidth="1"/>
    <col min="9480" max="9480" width="12.375" style="590" customWidth="1"/>
    <col min="9481" max="9481" width="12.625" style="590" customWidth="1"/>
    <col min="9482" max="9486" width="12.25" style="590" customWidth="1"/>
    <col min="9487" max="9728" width="8" style="590"/>
    <col min="9729" max="9729" width="2.25" style="590" customWidth="1"/>
    <col min="9730" max="9730" width="3.375" style="590" customWidth="1"/>
    <col min="9731" max="9731" width="3.5" style="590" customWidth="1"/>
    <col min="9732" max="9732" width="5.375" style="590" customWidth="1"/>
    <col min="9733" max="9733" width="9.625" style="590" customWidth="1"/>
    <col min="9734" max="9734" width="49.375" style="590" customWidth="1"/>
    <col min="9735" max="9735" width="2.125" style="590" customWidth="1"/>
    <col min="9736" max="9736" width="12.375" style="590" customWidth="1"/>
    <col min="9737" max="9737" width="12.625" style="590" customWidth="1"/>
    <col min="9738" max="9742" width="12.25" style="590" customWidth="1"/>
    <col min="9743" max="9984" width="8" style="590"/>
    <col min="9985" max="9985" width="2.25" style="590" customWidth="1"/>
    <col min="9986" max="9986" width="3.375" style="590" customWidth="1"/>
    <col min="9987" max="9987" width="3.5" style="590" customWidth="1"/>
    <col min="9988" max="9988" width="5.375" style="590" customWidth="1"/>
    <col min="9989" max="9989" width="9.625" style="590" customWidth="1"/>
    <col min="9990" max="9990" width="49.375" style="590" customWidth="1"/>
    <col min="9991" max="9991" width="2.125" style="590" customWidth="1"/>
    <col min="9992" max="9992" width="12.375" style="590" customWidth="1"/>
    <col min="9993" max="9993" width="12.625" style="590" customWidth="1"/>
    <col min="9994" max="9998" width="12.25" style="590" customWidth="1"/>
    <col min="9999" max="10240" width="8" style="590"/>
    <col min="10241" max="10241" width="2.25" style="590" customWidth="1"/>
    <col min="10242" max="10242" width="3.375" style="590" customWidth="1"/>
    <col min="10243" max="10243" width="3.5" style="590" customWidth="1"/>
    <col min="10244" max="10244" width="5.375" style="590" customWidth="1"/>
    <col min="10245" max="10245" width="9.625" style="590" customWidth="1"/>
    <col min="10246" max="10246" width="49.375" style="590" customWidth="1"/>
    <col min="10247" max="10247" width="2.125" style="590" customWidth="1"/>
    <col min="10248" max="10248" width="12.375" style="590" customWidth="1"/>
    <col min="10249" max="10249" width="12.625" style="590" customWidth="1"/>
    <col min="10250" max="10254" width="12.25" style="590" customWidth="1"/>
    <col min="10255" max="10496" width="8" style="590"/>
    <col min="10497" max="10497" width="2.25" style="590" customWidth="1"/>
    <col min="10498" max="10498" width="3.375" style="590" customWidth="1"/>
    <col min="10499" max="10499" width="3.5" style="590" customWidth="1"/>
    <col min="10500" max="10500" width="5.375" style="590" customWidth="1"/>
    <col min="10501" max="10501" width="9.625" style="590" customWidth="1"/>
    <col min="10502" max="10502" width="49.375" style="590" customWidth="1"/>
    <col min="10503" max="10503" width="2.125" style="590" customWidth="1"/>
    <col min="10504" max="10504" width="12.375" style="590" customWidth="1"/>
    <col min="10505" max="10505" width="12.625" style="590" customWidth="1"/>
    <col min="10506" max="10510" width="12.25" style="590" customWidth="1"/>
    <col min="10511" max="10752" width="8" style="590"/>
    <col min="10753" max="10753" width="2.25" style="590" customWidth="1"/>
    <col min="10754" max="10754" width="3.375" style="590" customWidth="1"/>
    <col min="10755" max="10755" width="3.5" style="590" customWidth="1"/>
    <col min="10756" max="10756" width="5.375" style="590" customWidth="1"/>
    <col min="10757" max="10757" width="9.625" style="590" customWidth="1"/>
    <col min="10758" max="10758" width="49.375" style="590" customWidth="1"/>
    <col min="10759" max="10759" width="2.125" style="590" customWidth="1"/>
    <col min="10760" max="10760" width="12.375" style="590" customWidth="1"/>
    <col min="10761" max="10761" width="12.625" style="590" customWidth="1"/>
    <col min="10762" max="10766" width="12.25" style="590" customWidth="1"/>
    <col min="10767" max="11008" width="8" style="590"/>
    <col min="11009" max="11009" width="2.25" style="590" customWidth="1"/>
    <col min="11010" max="11010" width="3.375" style="590" customWidth="1"/>
    <col min="11011" max="11011" width="3.5" style="590" customWidth="1"/>
    <col min="11012" max="11012" width="5.375" style="590" customWidth="1"/>
    <col min="11013" max="11013" width="9.625" style="590" customWidth="1"/>
    <col min="11014" max="11014" width="49.375" style="590" customWidth="1"/>
    <col min="11015" max="11015" width="2.125" style="590" customWidth="1"/>
    <col min="11016" max="11016" width="12.375" style="590" customWidth="1"/>
    <col min="11017" max="11017" width="12.625" style="590" customWidth="1"/>
    <col min="11018" max="11022" width="12.25" style="590" customWidth="1"/>
    <col min="11023" max="11264" width="8" style="590"/>
    <col min="11265" max="11265" width="2.25" style="590" customWidth="1"/>
    <col min="11266" max="11266" width="3.375" style="590" customWidth="1"/>
    <col min="11267" max="11267" width="3.5" style="590" customWidth="1"/>
    <col min="11268" max="11268" width="5.375" style="590" customWidth="1"/>
    <col min="11269" max="11269" width="9.625" style="590" customWidth="1"/>
    <col min="11270" max="11270" width="49.375" style="590" customWidth="1"/>
    <col min="11271" max="11271" width="2.125" style="590" customWidth="1"/>
    <col min="11272" max="11272" width="12.375" style="590" customWidth="1"/>
    <col min="11273" max="11273" width="12.625" style="590" customWidth="1"/>
    <col min="11274" max="11278" width="12.25" style="590" customWidth="1"/>
    <col min="11279" max="11520" width="8" style="590"/>
    <col min="11521" max="11521" width="2.25" style="590" customWidth="1"/>
    <col min="11522" max="11522" width="3.375" style="590" customWidth="1"/>
    <col min="11523" max="11523" width="3.5" style="590" customWidth="1"/>
    <col min="11524" max="11524" width="5.375" style="590" customWidth="1"/>
    <col min="11525" max="11525" width="9.625" style="590" customWidth="1"/>
    <col min="11526" max="11526" width="49.375" style="590" customWidth="1"/>
    <col min="11527" max="11527" width="2.125" style="590" customWidth="1"/>
    <col min="11528" max="11528" width="12.375" style="590" customWidth="1"/>
    <col min="11529" max="11529" width="12.625" style="590" customWidth="1"/>
    <col min="11530" max="11534" width="12.25" style="590" customWidth="1"/>
    <col min="11535" max="11776" width="8" style="590"/>
    <col min="11777" max="11777" width="2.25" style="590" customWidth="1"/>
    <col min="11778" max="11778" width="3.375" style="590" customWidth="1"/>
    <col min="11779" max="11779" width="3.5" style="590" customWidth="1"/>
    <col min="11780" max="11780" width="5.375" style="590" customWidth="1"/>
    <col min="11781" max="11781" width="9.625" style="590" customWidth="1"/>
    <col min="11782" max="11782" width="49.375" style="590" customWidth="1"/>
    <col min="11783" max="11783" width="2.125" style="590" customWidth="1"/>
    <col min="11784" max="11784" width="12.375" style="590" customWidth="1"/>
    <col min="11785" max="11785" width="12.625" style="590" customWidth="1"/>
    <col min="11786" max="11790" width="12.25" style="590" customWidth="1"/>
    <col min="11791" max="12032" width="8" style="590"/>
    <col min="12033" max="12033" width="2.25" style="590" customWidth="1"/>
    <col min="12034" max="12034" width="3.375" style="590" customWidth="1"/>
    <col min="12035" max="12035" width="3.5" style="590" customWidth="1"/>
    <col min="12036" max="12036" width="5.375" style="590" customWidth="1"/>
    <col min="12037" max="12037" width="9.625" style="590" customWidth="1"/>
    <col min="12038" max="12038" width="49.375" style="590" customWidth="1"/>
    <col min="12039" max="12039" width="2.125" style="590" customWidth="1"/>
    <col min="12040" max="12040" width="12.375" style="590" customWidth="1"/>
    <col min="12041" max="12041" width="12.625" style="590" customWidth="1"/>
    <col min="12042" max="12046" width="12.25" style="590" customWidth="1"/>
    <col min="12047" max="12288" width="8" style="590"/>
    <col min="12289" max="12289" width="2.25" style="590" customWidth="1"/>
    <col min="12290" max="12290" width="3.375" style="590" customWidth="1"/>
    <col min="12291" max="12291" width="3.5" style="590" customWidth="1"/>
    <col min="12292" max="12292" width="5.375" style="590" customWidth="1"/>
    <col min="12293" max="12293" width="9.625" style="590" customWidth="1"/>
    <col min="12294" max="12294" width="49.375" style="590" customWidth="1"/>
    <col min="12295" max="12295" width="2.125" style="590" customWidth="1"/>
    <col min="12296" max="12296" width="12.375" style="590" customWidth="1"/>
    <col min="12297" max="12297" width="12.625" style="590" customWidth="1"/>
    <col min="12298" max="12302" width="12.25" style="590" customWidth="1"/>
    <col min="12303" max="12544" width="8" style="590"/>
    <col min="12545" max="12545" width="2.25" style="590" customWidth="1"/>
    <col min="12546" max="12546" width="3.375" style="590" customWidth="1"/>
    <col min="12547" max="12547" width="3.5" style="590" customWidth="1"/>
    <col min="12548" max="12548" width="5.375" style="590" customWidth="1"/>
    <col min="12549" max="12549" width="9.625" style="590" customWidth="1"/>
    <col min="12550" max="12550" width="49.375" style="590" customWidth="1"/>
    <col min="12551" max="12551" width="2.125" style="590" customWidth="1"/>
    <col min="12552" max="12552" width="12.375" style="590" customWidth="1"/>
    <col min="12553" max="12553" width="12.625" style="590" customWidth="1"/>
    <col min="12554" max="12558" width="12.25" style="590" customWidth="1"/>
    <col min="12559" max="12800" width="8" style="590"/>
    <col min="12801" max="12801" width="2.25" style="590" customWidth="1"/>
    <col min="12802" max="12802" width="3.375" style="590" customWidth="1"/>
    <col min="12803" max="12803" width="3.5" style="590" customWidth="1"/>
    <col min="12804" max="12804" width="5.375" style="590" customWidth="1"/>
    <col min="12805" max="12805" width="9.625" style="590" customWidth="1"/>
    <col min="12806" max="12806" width="49.375" style="590" customWidth="1"/>
    <col min="12807" max="12807" width="2.125" style="590" customWidth="1"/>
    <col min="12808" max="12808" width="12.375" style="590" customWidth="1"/>
    <col min="12809" max="12809" width="12.625" style="590" customWidth="1"/>
    <col min="12810" max="12814" width="12.25" style="590" customWidth="1"/>
    <col min="12815" max="13056" width="8" style="590"/>
    <col min="13057" max="13057" width="2.25" style="590" customWidth="1"/>
    <col min="13058" max="13058" width="3.375" style="590" customWidth="1"/>
    <col min="13059" max="13059" width="3.5" style="590" customWidth="1"/>
    <col min="13060" max="13060" width="5.375" style="590" customWidth="1"/>
    <col min="13061" max="13061" width="9.625" style="590" customWidth="1"/>
    <col min="13062" max="13062" width="49.375" style="590" customWidth="1"/>
    <col min="13063" max="13063" width="2.125" style="590" customWidth="1"/>
    <col min="13064" max="13064" width="12.375" style="590" customWidth="1"/>
    <col min="13065" max="13065" width="12.625" style="590" customWidth="1"/>
    <col min="13066" max="13070" width="12.25" style="590" customWidth="1"/>
    <col min="13071" max="13312" width="8" style="590"/>
    <col min="13313" max="13313" width="2.25" style="590" customWidth="1"/>
    <col min="13314" max="13314" width="3.375" style="590" customWidth="1"/>
    <col min="13315" max="13315" width="3.5" style="590" customWidth="1"/>
    <col min="13316" max="13316" width="5.375" style="590" customWidth="1"/>
    <col min="13317" max="13317" width="9.625" style="590" customWidth="1"/>
    <col min="13318" max="13318" width="49.375" style="590" customWidth="1"/>
    <col min="13319" max="13319" width="2.125" style="590" customWidth="1"/>
    <col min="13320" max="13320" width="12.375" style="590" customWidth="1"/>
    <col min="13321" max="13321" width="12.625" style="590" customWidth="1"/>
    <col min="13322" max="13326" width="12.25" style="590" customWidth="1"/>
    <col min="13327" max="13568" width="8" style="590"/>
    <col min="13569" max="13569" width="2.25" style="590" customWidth="1"/>
    <col min="13570" max="13570" width="3.375" style="590" customWidth="1"/>
    <col min="13571" max="13571" width="3.5" style="590" customWidth="1"/>
    <col min="13572" max="13572" width="5.375" style="590" customWidth="1"/>
    <col min="13573" max="13573" width="9.625" style="590" customWidth="1"/>
    <col min="13574" max="13574" width="49.375" style="590" customWidth="1"/>
    <col min="13575" max="13575" width="2.125" style="590" customWidth="1"/>
    <col min="13576" max="13576" width="12.375" style="590" customWidth="1"/>
    <col min="13577" max="13577" width="12.625" style="590" customWidth="1"/>
    <col min="13578" max="13582" width="12.25" style="590" customWidth="1"/>
    <col min="13583" max="13824" width="8" style="590"/>
    <col min="13825" max="13825" width="2.25" style="590" customWidth="1"/>
    <col min="13826" max="13826" width="3.375" style="590" customWidth="1"/>
    <col min="13827" max="13827" width="3.5" style="590" customWidth="1"/>
    <col min="13828" max="13828" width="5.375" style="590" customWidth="1"/>
    <col min="13829" max="13829" width="9.625" style="590" customWidth="1"/>
    <col min="13830" max="13830" width="49.375" style="590" customWidth="1"/>
    <col min="13831" max="13831" width="2.125" style="590" customWidth="1"/>
    <col min="13832" max="13832" width="12.375" style="590" customWidth="1"/>
    <col min="13833" max="13833" width="12.625" style="590" customWidth="1"/>
    <col min="13834" max="13838" width="12.25" style="590" customWidth="1"/>
    <col min="13839" max="14080" width="8" style="590"/>
    <col min="14081" max="14081" width="2.25" style="590" customWidth="1"/>
    <col min="14082" max="14082" width="3.375" style="590" customWidth="1"/>
    <col min="14083" max="14083" width="3.5" style="590" customWidth="1"/>
    <col min="14084" max="14084" width="5.375" style="590" customWidth="1"/>
    <col min="14085" max="14085" width="9.625" style="590" customWidth="1"/>
    <col min="14086" max="14086" width="49.375" style="590" customWidth="1"/>
    <col min="14087" max="14087" width="2.125" style="590" customWidth="1"/>
    <col min="14088" max="14088" width="12.375" style="590" customWidth="1"/>
    <col min="14089" max="14089" width="12.625" style="590" customWidth="1"/>
    <col min="14090" max="14094" width="12.25" style="590" customWidth="1"/>
    <col min="14095" max="14336" width="8" style="590"/>
    <col min="14337" max="14337" width="2.25" style="590" customWidth="1"/>
    <col min="14338" max="14338" width="3.375" style="590" customWidth="1"/>
    <col min="14339" max="14339" width="3.5" style="590" customWidth="1"/>
    <col min="14340" max="14340" width="5.375" style="590" customWidth="1"/>
    <col min="14341" max="14341" width="9.625" style="590" customWidth="1"/>
    <col min="14342" max="14342" width="49.375" style="590" customWidth="1"/>
    <col min="14343" max="14343" width="2.125" style="590" customWidth="1"/>
    <col min="14344" max="14344" width="12.375" style="590" customWidth="1"/>
    <col min="14345" max="14345" width="12.625" style="590" customWidth="1"/>
    <col min="14346" max="14350" width="12.25" style="590" customWidth="1"/>
    <col min="14351" max="14592" width="8" style="590"/>
    <col min="14593" max="14593" width="2.25" style="590" customWidth="1"/>
    <col min="14594" max="14594" width="3.375" style="590" customWidth="1"/>
    <col min="14595" max="14595" width="3.5" style="590" customWidth="1"/>
    <col min="14596" max="14596" width="5.375" style="590" customWidth="1"/>
    <col min="14597" max="14597" width="9.625" style="590" customWidth="1"/>
    <col min="14598" max="14598" width="49.375" style="590" customWidth="1"/>
    <col min="14599" max="14599" width="2.125" style="590" customWidth="1"/>
    <col min="14600" max="14600" width="12.375" style="590" customWidth="1"/>
    <col min="14601" max="14601" width="12.625" style="590" customWidth="1"/>
    <col min="14602" max="14606" width="12.25" style="590" customWidth="1"/>
    <col min="14607" max="14848" width="8" style="590"/>
    <col min="14849" max="14849" width="2.25" style="590" customWidth="1"/>
    <col min="14850" max="14850" width="3.375" style="590" customWidth="1"/>
    <col min="14851" max="14851" width="3.5" style="590" customWidth="1"/>
    <col min="14852" max="14852" width="5.375" style="590" customWidth="1"/>
    <col min="14853" max="14853" width="9.625" style="590" customWidth="1"/>
    <col min="14854" max="14854" width="49.375" style="590" customWidth="1"/>
    <col min="14855" max="14855" width="2.125" style="590" customWidth="1"/>
    <col min="14856" max="14856" width="12.375" style="590" customWidth="1"/>
    <col min="14857" max="14857" width="12.625" style="590" customWidth="1"/>
    <col min="14858" max="14862" width="12.25" style="590" customWidth="1"/>
    <col min="14863" max="15104" width="8" style="590"/>
    <col min="15105" max="15105" width="2.25" style="590" customWidth="1"/>
    <col min="15106" max="15106" width="3.375" style="590" customWidth="1"/>
    <col min="15107" max="15107" width="3.5" style="590" customWidth="1"/>
    <col min="15108" max="15108" width="5.375" style="590" customWidth="1"/>
    <col min="15109" max="15109" width="9.625" style="590" customWidth="1"/>
    <col min="15110" max="15110" width="49.375" style="590" customWidth="1"/>
    <col min="15111" max="15111" width="2.125" style="590" customWidth="1"/>
    <col min="15112" max="15112" width="12.375" style="590" customWidth="1"/>
    <col min="15113" max="15113" width="12.625" style="590" customWidth="1"/>
    <col min="15114" max="15118" width="12.25" style="590" customWidth="1"/>
    <col min="15119" max="15360" width="8" style="590"/>
    <col min="15361" max="15361" width="2.25" style="590" customWidth="1"/>
    <col min="15362" max="15362" width="3.375" style="590" customWidth="1"/>
    <col min="15363" max="15363" width="3.5" style="590" customWidth="1"/>
    <col min="15364" max="15364" width="5.375" style="590" customWidth="1"/>
    <col min="15365" max="15365" width="9.625" style="590" customWidth="1"/>
    <col min="15366" max="15366" width="49.375" style="590" customWidth="1"/>
    <col min="15367" max="15367" width="2.125" style="590" customWidth="1"/>
    <col min="15368" max="15368" width="12.375" style="590" customWidth="1"/>
    <col min="15369" max="15369" width="12.625" style="590" customWidth="1"/>
    <col min="15370" max="15374" width="12.25" style="590" customWidth="1"/>
    <col min="15375" max="15616" width="8" style="590"/>
    <col min="15617" max="15617" width="2.25" style="590" customWidth="1"/>
    <col min="15618" max="15618" width="3.375" style="590" customWidth="1"/>
    <col min="15619" max="15619" width="3.5" style="590" customWidth="1"/>
    <col min="15620" max="15620" width="5.375" style="590" customWidth="1"/>
    <col min="15621" max="15621" width="9.625" style="590" customWidth="1"/>
    <col min="15622" max="15622" width="49.375" style="590" customWidth="1"/>
    <col min="15623" max="15623" width="2.125" style="590" customWidth="1"/>
    <col min="15624" max="15624" width="12.375" style="590" customWidth="1"/>
    <col min="15625" max="15625" width="12.625" style="590" customWidth="1"/>
    <col min="15626" max="15630" width="12.25" style="590" customWidth="1"/>
    <col min="15631" max="15872" width="8" style="590"/>
    <col min="15873" max="15873" width="2.25" style="590" customWidth="1"/>
    <col min="15874" max="15874" width="3.375" style="590" customWidth="1"/>
    <col min="15875" max="15875" width="3.5" style="590" customWidth="1"/>
    <col min="15876" max="15876" width="5.375" style="590" customWidth="1"/>
    <col min="15877" max="15877" width="9.625" style="590" customWidth="1"/>
    <col min="15878" max="15878" width="49.375" style="590" customWidth="1"/>
    <col min="15879" max="15879" width="2.125" style="590" customWidth="1"/>
    <col min="15880" max="15880" width="12.375" style="590" customWidth="1"/>
    <col min="15881" max="15881" width="12.625" style="590" customWidth="1"/>
    <col min="15882" max="15886" width="12.25" style="590" customWidth="1"/>
    <col min="15887" max="16128" width="8" style="590"/>
    <col min="16129" max="16129" width="2.25" style="590" customWidth="1"/>
    <col min="16130" max="16130" width="3.375" style="590" customWidth="1"/>
    <col min="16131" max="16131" width="3.5" style="590" customWidth="1"/>
    <col min="16132" max="16132" width="5.375" style="590" customWidth="1"/>
    <col min="16133" max="16133" width="9.625" style="590" customWidth="1"/>
    <col min="16134" max="16134" width="49.375" style="590" customWidth="1"/>
    <col min="16135" max="16135" width="2.125" style="590" customWidth="1"/>
    <col min="16136" max="16136" width="12.375" style="590" customWidth="1"/>
    <col min="16137" max="16137" width="12.625" style="590" customWidth="1"/>
    <col min="16138" max="16142" width="12.25" style="590" customWidth="1"/>
    <col min="16143" max="16384" width="8" style="590"/>
  </cols>
  <sheetData>
    <row r="1" spans="1:14" s="448" customFormat="1" ht="13.5" customHeight="1">
      <c r="D1" s="449"/>
      <c r="E1" s="450"/>
      <c r="F1" s="451"/>
      <c r="G1" s="450"/>
      <c r="H1" s="452"/>
      <c r="I1" s="451"/>
      <c r="J1" s="451"/>
      <c r="K1" s="451"/>
      <c r="L1" s="1148" t="s">
        <v>1201</v>
      </c>
      <c r="M1" s="1148"/>
      <c r="N1" s="1148"/>
    </row>
    <row r="2" spans="1:14" s="448" customFormat="1" ht="13.5" customHeight="1">
      <c r="C2" s="453" t="s">
        <v>934</v>
      </c>
      <c r="D2" s="453"/>
      <c r="E2" s="450"/>
      <c r="F2" s="451"/>
      <c r="G2" s="450"/>
      <c r="H2" s="452"/>
      <c r="I2" s="451"/>
      <c r="J2" s="454"/>
      <c r="K2" s="454"/>
      <c r="L2" s="451" t="s">
        <v>935</v>
      </c>
      <c r="M2" s="454"/>
      <c r="N2" s="454"/>
    </row>
    <row r="3" spans="1:14" s="448" customFormat="1" ht="2.25" customHeight="1">
      <c r="D3" s="453"/>
      <c r="E3" s="450"/>
      <c r="F3" s="451"/>
      <c r="G3" s="450"/>
      <c r="H3" s="452"/>
      <c r="I3" s="451"/>
      <c r="J3" s="454"/>
      <c r="K3" s="454"/>
      <c r="L3" s="451"/>
      <c r="M3" s="454"/>
      <c r="N3" s="454"/>
    </row>
    <row r="4" spans="1:14" s="448" customFormat="1" ht="42" customHeight="1">
      <c r="A4" s="1149" t="s">
        <v>936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  <c r="L4" s="1150"/>
      <c r="M4" s="1150"/>
      <c r="N4" s="1150"/>
    </row>
    <row r="5" spans="1:14" s="448" customFormat="1" ht="10.5" customHeight="1">
      <c r="A5" s="455"/>
      <c r="B5" s="455"/>
      <c r="C5" s="455"/>
      <c r="D5" s="455"/>
      <c r="E5" s="456"/>
      <c r="F5" s="454"/>
      <c r="G5" s="456"/>
      <c r="H5" s="457"/>
      <c r="I5" s="449"/>
      <c r="J5" s="449"/>
      <c r="K5" s="449"/>
      <c r="L5" s="449"/>
      <c r="M5" s="449"/>
      <c r="N5" s="449" t="s">
        <v>0</v>
      </c>
    </row>
    <row r="6" spans="1:14" s="458" customFormat="1" ht="30" customHeight="1">
      <c r="A6" s="1151" t="s">
        <v>937</v>
      </c>
      <c r="B6" s="1152"/>
      <c r="C6" s="1151" t="s">
        <v>2</v>
      </c>
      <c r="D6" s="1152"/>
      <c r="E6" s="1151" t="s">
        <v>938</v>
      </c>
      <c r="F6" s="1157"/>
      <c r="G6" s="1160" t="s">
        <v>3</v>
      </c>
      <c r="H6" s="1163" t="s">
        <v>71</v>
      </c>
      <c r="I6" s="1166" t="s">
        <v>939</v>
      </c>
      <c r="J6" s="1167"/>
      <c r="K6" s="1168"/>
      <c r="L6" s="1166" t="s">
        <v>940</v>
      </c>
      <c r="M6" s="1167"/>
      <c r="N6" s="1168"/>
    </row>
    <row r="7" spans="1:14" s="458" customFormat="1" ht="15" customHeight="1">
      <c r="A7" s="1153"/>
      <c r="B7" s="1154"/>
      <c r="C7" s="1153"/>
      <c r="D7" s="1154"/>
      <c r="E7" s="1158"/>
      <c r="F7" s="1159"/>
      <c r="G7" s="1161"/>
      <c r="H7" s="1164"/>
      <c r="I7" s="1169" t="s">
        <v>941</v>
      </c>
      <c r="J7" s="459" t="s">
        <v>37</v>
      </c>
      <c r="K7" s="460"/>
      <c r="L7" s="1169" t="s">
        <v>941</v>
      </c>
      <c r="M7" s="459" t="s">
        <v>37</v>
      </c>
      <c r="N7" s="460"/>
    </row>
    <row r="8" spans="1:14" s="458" customFormat="1" ht="15.75" customHeight="1">
      <c r="A8" s="1155"/>
      <c r="B8" s="1156"/>
      <c r="C8" s="1155"/>
      <c r="D8" s="1156"/>
      <c r="E8" s="461" t="s">
        <v>590</v>
      </c>
      <c r="F8" s="462"/>
      <c r="G8" s="1162"/>
      <c r="H8" s="1165"/>
      <c r="I8" s="1170"/>
      <c r="J8" s="460" t="s">
        <v>942</v>
      </c>
      <c r="K8" s="463" t="s">
        <v>943</v>
      </c>
      <c r="L8" s="1170"/>
      <c r="M8" s="460" t="s">
        <v>942</v>
      </c>
      <c r="N8" s="463" t="s">
        <v>943</v>
      </c>
    </row>
    <row r="9" spans="1:14" s="466" customFormat="1" ht="11.25">
      <c r="A9" s="1171">
        <v>1</v>
      </c>
      <c r="B9" s="1172"/>
      <c r="C9" s="1171">
        <v>2</v>
      </c>
      <c r="D9" s="1172"/>
      <c r="E9" s="464">
        <v>3</v>
      </c>
      <c r="F9" s="464">
        <v>4</v>
      </c>
      <c r="G9" s="464">
        <v>5</v>
      </c>
      <c r="H9" s="464">
        <v>6</v>
      </c>
      <c r="I9" s="465">
        <v>7</v>
      </c>
      <c r="J9" s="465">
        <v>8</v>
      </c>
      <c r="K9" s="465">
        <v>9</v>
      </c>
      <c r="L9" s="465">
        <v>10</v>
      </c>
      <c r="M9" s="465">
        <v>11</v>
      </c>
      <c r="N9" s="465">
        <v>12</v>
      </c>
    </row>
    <row r="10" spans="1:14" s="473" customFormat="1" ht="5.0999999999999996" customHeight="1">
      <c r="A10" s="467"/>
      <c r="B10" s="468"/>
      <c r="C10" s="468"/>
      <c r="D10" s="468"/>
      <c r="E10" s="469"/>
      <c r="F10" s="469"/>
      <c r="G10" s="469"/>
      <c r="H10" s="470"/>
      <c r="I10" s="471"/>
      <c r="J10" s="471"/>
      <c r="K10" s="471"/>
      <c r="L10" s="471"/>
      <c r="M10" s="471"/>
      <c r="N10" s="472"/>
    </row>
    <row r="11" spans="1:14" s="476" customFormat="1" ht="14.1" customHeight="1">
      <c r="A11" s="1173" t="s">
        <v>4</v>
      </c>
      <c r="B11" s="1174"/>
      <c r="C11" s="1174"/>
      <c r="D11" s="1174"/>
      <c r="E11" s="1174"/>
      <c r="F11" s="1174"/>
      <c r="G11" s="474" t="s">
        <v>5</v>
      </c>
      <c r="H11" s="475">
        <f>I11+L11</f>
        <v>581195477</v>
      </c>
      <c r="I11" s="475">
        <f>J11+K11</f>
        <v>357971560</v>
      </c>
      <c r="J11" s="475">
        <f t="shared" ref="J11:K13" si="0">J15+J56+J209</f>
        <v>210097355</v>
      </c>
      <c r="K11" s="475">
        <f t="shared" si="0"/>
        <v>147874205</v>
      </c>
      <c r="L11" s="475">
        <f>M11+N11</f>
        <v>223223917</v>
      </c>
      <c r="M11" s="475">
        <f t="shared" ref="M11:N13" si="1">M15+M56+M209</f>
        <v>24136178</v>
      </c>
      <c r="N11" s="475">
        <f t="shared" si="1"/>
        <v>199087739</v>
      </c>
    </row>
    <row r="12" spans="1:14" s="476" customFormat="1" ht="14.1" customHeight="1">
      <c r="A12" s="1175"/>
      <c r="B12" s="1176"/>
      <c r="C12" s="1176"/>
      <c r="D12" s="1176"/>
      <c r="E12" s="1176"/>
      <c r="F12" s="1176"/>
      <c r="G12" s="474" t="s">
        <v>6</v>
      </c>
      <c r="H12" s="475">
        <f>I12+L12</f>
        <v>6873215</v>
      </c>
      <c r="I12" s="475">
        <f>J12+K12</f>
        <v>9694059</v>
      </c>
      <c r="J12" s="475">
        <f t="shared" si="0"/>
        <v>12425142</v>
      </c>
      <c r="K12" s="475">
        <f t="shared" si="0"/>
        <v>-2731083</v>
      </c>
      <c r="L12" s="475">
        <f>M12+N12</f>
        <v>-2820844</v>
      </c>
      <c r="M12" s="475">
        <f t="shared" si="1"/>
        <v>3272430</v>
      </c>
      <c r="N12" s="475">
        <f t="shared" si="1"/>
        <v>-6093274</v>
      </c>
    </row>
    <row r="13" spans="1:14" s="476" customFormat="1" ht="14.1" customHeight="1">
      <c r="A13" s="1177"/>
      <c r="B13" s="1178"/>
      <c r="C13" s="1178"/>
      <c r="D13" s="1178"/>
      <c r="E13" s="1178"/>
      <c r="F13" s="1178"/>
      <c r="G13" s="474" t="s">
        <v>7</v>
      </c>
      <c r="H13" s="475">
        <f>I13+L13</f>
        <v>588068692</v>
      </c>
      <c r="I13" s="475">
        <f>J13+K13</f>
        <v>367665619</v>
      </c>
      <c r="J13" s="475">
        <f t="shared" si="0"/>
        <v>222522497</v>
      </c>
      <c r="K13" s="475">
        <f t="shared" si="0"/>
        <v>145143122</v>
      </c>
      <c r="L13" s="475">
        <f>M13+N13</f>
        <v>220403073</v>
      </c>
      <c r="M13" s="475">
        <f t="shared" si="1"/>
        <v>27408608</v>
      </c>
      <c r="N13" s="475">
        <f t="shared" si="1"/>
        <v>192994465</v>
      </c>
    </row>
    <row r="14" spans="1:14" s="484" customFormat="1" ht="5.0999999999999996" customHeight="1">
      <c r="A14" s="477"/>
      <c r="B14" s="478"/>
      <c r="C14" s="478"/>
      <c r="D14" s="478"/>
      <c r="E14" s="479"/>
      <c r="F14" s="480"/>
      <c r="G14" s="479"/>
      <c r="H14" s="481"/>
      <c r="I14" s="482"/>
      <c r="J14" s="482"/>
      <c r="K14" s="482"/>
      <c r="L14" s="482"/>
      <c r="M14" s="482"/>
      <c r="N14" s="483"/>
    </row>
    <row r="15" spans="1:14" s="488" customFormat="1" ht="15" customHeight="1">
      <c r="A15" s="1111" t="s">
        <v>944</v>
      </c>
      <c r="B15" s="1112"/>
      <c r="C15" s="1112"/>
      <c r="D15" s="1112"/>
      <c r="E15" s="1112"/>
      <c r="F15" s="1112"/>
      <c r="G15" s="485" t="s">
        <v>5</v>
      </c>
      <c r="H15" s="486">
        <f>I15+L15</f>
        <v>96500000</v>
      </c>
      <c r="I15" s="487">
        <f>J15+K15</f>
        <v>0</v>
      </c>
      <c r="J15" s="486">
        <f>J19+J22+J25+J28+J31+J34+J37+J40+J43+J46+J49+J52</f>
        <v>0</v>
      </c>
      <c r="K15" s="486">
        <f t="shared" ref="J15:K17" si="2">K19+K22+K25+K28+K31+K34+K37+K40+K43+K46+K49+K52</f>
        <v>0</v>
      </c>
      <c r="L15" s="486">
        <f>M15+N15</f>
        <v>96500000</v>
      </c>
      <c r="M15" s="486">
        <f t="shared" ref="M15:N17" si="3">M19+M22+M25+M28+M31+M34+M37+M40+M43+M46+M49+M52</f>
        <v>0</v>
      </c>
      <c r="N15" s="486">
        <f t="shared" si="3"/>
        <v>96500000</v>
      </c>
    </row>
    <row r="16" spans="1:14" s="488" customFormat="1" ht="15" customHeight="1">
      <c r="A16" s="1113"/>
      <c r="B16" s="1114"/>
      <c r="C16" s="1114"/>
      <c r="D16" s="1114"/>
      <c r="E16" s="1114"/>
      <c r="F16" s="1114"/>
      <c r="G16" s="485" t="s">
        <v>6</v>
      </c>
      <c r="H16" s="486">
        <f>I16+L16</f>
        <v>-687494</v>
      </c>
      <c r="I16" s="487">
        <f>J16+K16</f>
        <v>0</v>
      </c>
      <c r="J16" s="486">
        <f t="shared" si="2"/>
        <v>0</v>
      </c>
      <c r="K16" s="486">
        <f t="shared" si="2"/>
        <v>0</v>
      </c>
      <c r="L16" s="486">
        <f>M16+N16</f>
        <v>-687494</v>
      </c>
      <c r="M16" s="486">
        <f t="shared" si="3"/>
        <v>0</v>
      </c>
      <c r="N16" s="486">
        <f t="shared" si="3"/>
        <v>-687494</v>
      </c>
    </row>
    <row r="17" spans="1:14" s="488" customFormat="1" ht="15" customHeight="1">
      <c r="A17" s="1115"/>
      <c r="B17" s="1116"/>
      <c r="C17" s="1116"/>
      <c r="D17" s="1116"/>
      <c r="E17" s="1116"/>
      <c r="F17" s="1116"/>
      <c r="G17" s="485" t="s">
        <v>7</v>
      </c>
      <c r="H17" s="486">
        <f>I17+L17</f>
        <v>95812506</v>
      </c>
      <c r="I17" s="487">
        <f>J17+K17</f>
        <v>0</v>
      </c>
      <c r="J17" s="486">
        <f t="shared" si="2"/>
        <v>0</v>
      </c>
      <c r="K17" s="486">
        <f t="shared" si="2"/>
        <v>0</v>
      </c>
      <c r="L17" s="486">
        <f>M17+N17</f>
        <v>95812506</v>
      </c>
      <c r="M17" s="486">
        <f t="shared" si="3"/>
        <v>0</v>
      </c>
      <c r="N17" s="486">
        <f t="shared" si="3"/>
        <v>95812506</v>
      </c>
    </row>
    <row r="18" spans="1:14" s="484" customFormat="1" ht="5.25" customHeight="1">
      <c r="A18" s="489"/>
      <c r="B18" s="490"/>
      <c r="C18" s="490"/>
      <c r="D18" s="490"/>
      <c r="E18" s="491"/>
      <c r="F18" s="491"/>
      <c r="G18" s="491"/>
      <c r="H18" s="492"/>
      <c r="I18" s="493"/>
      <c r="J18" s="493"/>
      <c r="K18" s="493"/>
      <c r="L18" s="493"/>
      <c r="M18" s="493"/>
      <c r="N18" s="494"/>
    </row>
    <row r="19" spans="1:14" s="498" customFormat="1" ht="15.6" hidden="1" customHeight="1">
      <c r="A19" s="1052" t="s">
        <v>11</v>
      </c>
      <c r="B19" s="1053"/>
      <c r="C19" s="1052" t="s">
        <v>98</v>
      </c>
      <c r="D19" s="1053"/>
      <c r="E19" s="1014" t="s">
        <v>945</v>
      </c>
      <c r="F19" s="1015"/>
      <c r="G19" s="495" t="s">
        <v>5</v>
      </c>
      <c r="H19" s="496">
        <f t="shared" ref="H19:H54" si="4">I19+L19</f>
        <v>0</v>
      </c>
      <c r="I19" s="497">
        <f t="shared" ref="I19:I54" si="5">J19+K19</f>
        <v>0</v>
      </c>
      <c r="J19" s="497">
        <v>0</v>
      </c>
      <c r="K19" s="497">
        <v>0</v>
      </c>
      <c r="L19" s="497">
        <f t="shared" ref="L19:L54" si="6">M19+N19</f>
        <v>0</v>
      </c>
      <c r="M19" s="497">
        <v>0</v>
      </c>
      <c r="N19" s="497">
        <v>0</v>
      </c>
    </row>
    <row r="20" spans="1:14" s="498" customFormat="1" ht="15.6" hidden="1" customHeight="1">
      <c r="A20" s="1012"/>
      <c r="B20" s="1013"/>
      <c r="C20" s="1012"/>
      <c r="D20" s="1013"/>
      <c r="E20" s="1016"/>
      <c r="F20" s="1017"/>
      <c r="G20" s="495" t="s">
        <v>6</v>
      </c>
      <c r="H20" s="496">
        <f t="shared" si="4"/>
        <v>0</v>
      </c>
      <c r="I20" s="497">
        <f t="shared" si="5"/>
        <v>0</v>
      </c>
      <c r="J20" s="497">
        <v>0</v>
      </c>
      <c r="K20" s="497">
        <v>0</v>
      </c>
      <c r="L20" s="497">
        <f t="shared" si="6"/>
        <v>0</v>
      </c>
      <c r="M20" s="497">
        <v>0</v>
      </c>
      <c r="N20" s="497">
        <v>0</v>
      </c>
    </row>
    <row r="21" spans="1:14" s="498" customFormat="1" ht="15.6" hidden="1" customHeight="1">
      <c r="A21" s="1012"/>
      <c r="B21" s="1013"/>
      <c r="C21" s="1012"/>
      <c r="D21" s="1013"/>
      <c r="E21" s="1018"/>
      <c r="F21" s="1019"/>
      <c r="G21" s="495" t="s">
        <v>7</v>
      </c>
      <c r="H21" s="496">
        <f t="shared" si="4"/>
        <v>0</v>
      </c>
      <c r="I21" s="497">
        <f t="shared" si="5"/>
        <v>0</v>
      </c>
      <c r="J21" s="497">
        <f>J19+J20</f>
        <v>0</v>
      </c>
      <c r="K21" s="497">
        <f>K19+K20</f>
        <v>0</v>
      </c>
      <c r="L21" s="497">
        <f t="shared" si="6"/>
        <v>0</v>
      </c>
      <c r="M21" s="497">
        <f>M19+M20</f>
        <v>0</v>
      </c>
      <c r="N21" s="497">
        <f>N19+N20</f>
        <v>0</v>
      </c>
    </row>
    <row r="22" spans="1:14" s="498" customFormat="1" ht="15.6" customHeight="1">
      <c r="A22" s="1012" t="s">
        <v>11</v>
      </c>
      <c r="B22" s="1013"/>
      <c r="C22" s="1012" t="s">
        <v>98</v>
      </c>
      <c r="D22" s="1013"/>
      <c r="E22" s="1014" t="s">
        <v>946</v>
      </c>
      <c r="F22" s="1015"/>
      <c r="G22" s="495" t="s">
        <v>5</v>
      </c>
      <c r="H22" s="496">
        <f t="shared" si="4"/>
        <v>90739000</v>
      </c>
      <c r="I22" s="497">
        <f t="shared" si="5"/>
        <v>0</v>
      </c>
      <c r="J22" s="497">
        <v>0</v>
      </c>
      <c r="K22" s="497">
        <v>0</v>
      </c>
      <c r="L22" s="497">
        <f t="shared" si="6"/>
        <v>90739000</v>
      </c>
      <c r="M22" s="497">
        <v>0</v>
      </c>
      <c r="N22" s="497">
        <v>90739000</v>
      </c>
    </row>
    <row r="23" spans="1:14" s="498" customFormat="1" ht="15.6" customHeight="1">
      <c r="A23" s="1012"/>
      <c r="B23" s="1013"/>
      <c r="C23" s="1012"/>
      <c r="D23" s="1013"/>
      <c r="E23" s="1016"/>
      <c r="F23" s="1017"/>
      <c r="G23" s="495" t="s">
        <v>6</v>
      </c>
      <c r="H23" s="496">
        <f t="shared" si="4"/>
        <v>-687494</v>
      </c>
      <c r="I23" s="497">
        <f t="shared" si="5"/>
        <v>0</v>
      </c>
      <c r="J23" s="497">
        <v>0</v>
      </c>
      <c r="K23" s="497">
        <v>0</v>
      </c>
      <c r="L23" s="497">
        <f t="shared" si="6"/>
        <v>-687494</v>
      </c>
      <c r="M23" s="497">
        <v>0</v>
      </c>
      <c r="N23" s="497">
        <v>-687494</v>
      </c>
    </row>
    <row r="24" spans="1:14" s="498" customFormat="1" ht="15.6" customHeight="1">
      <c r="A24" s="1012"/>
      <c r="B24" s="1013"/>
      <c r="C24" s="1012"/>
      <c r="D24" s="1013"/>
      <c r="E24" s="1018"/>
      <c r="F24" s="1019"/>
      <c r="G24" s="495" t="s">
        <v>7</v>
      </c>
      <c r="H24" s="496">
        <f t="shared" si="4"/>
        <v>90051506</v>
      </c>
      <c r="I24" s="497">
        <f t="shared" si="5"/>
        <v>0</v>
      </c>
      <c r="J24" s="497">
        <f>J22+J23</f>
        <v>0</v>
      </c>
      <c r="K24" s="497">
        <f>K22+K23</f>
        <v>0</v>
      </c>
      <c r="L24" s="497">
        <f t="shared" si="6"/>
        <v>90051506</v>
      </c>
      <c r="M24" s="497">
        <f>M22+M23</f>
        <v>0</v>
      </c>
      <c r="N24" s="497">
        <f>N22+N23</f>
        <v>90051506</v>
      </c>
    </row>
    <row r="25" spans="1:14" s="498" customFormat="1" ht="15.6" hidden="1" customHeight="1">
      <c r="A25" s="1012"/>
      <c r="B25" s="1013"/>
      <c r="C25" s="1012"/>
      <c r="D25" s="1013"/>
      <c r="E25" s="1014" t="s">
        <v>947</v>
      </c>
      <c r="F25" s="1015"/>
      <c r="G25" s="495" t="s">
        <v>5</v>
      </c>
      <c r="H25" s="496">
        <f t="shared" si="4"/>
        <v>1875000</v>
      </c>
      <c r="I25" s="497">
        <f t="shared" si="5"/>
        <v>0</v>
      </c>
      <c r="J25" s="497">
        <v>0</v>
      </c>
      <c r="K25" s="497">
        <v>0</v>
      </c>
      <c r="L25" s="497">
        <f t="shared" si="6"/>
        <v>1875000</v>
      </c>
      <c r="M25" s="497">
        <v>0</v>
      </c>
      <c r="N25" s="497">
        <v>1875000</v>
      </c>
    </row>
    <row r="26" spans="1:14" s="498" customFormat="1" ht="15.6" hidden="1" customHeight="1">
      <c r="A26" s="1012"/>
      <c r="B26" s="1013"/>
      <c r="C26" s="1012"/>
      <c r="D26" s="1013"/>
      <c r="E26" s="1016"/>
      <c r="F26" s="1017"/>
      <c r="G26" s="495" t="s">
        <v>6</v>
      </c>
      <c r="H26" s="496">
        <f t="shared" si="4"/>
        <v>0</v>
      </c>
      <c r="I26" s="497">
        <f t="shared" si="5"/>
        <v>0</v>
      </c>
      <c r="J26" s="497">
        <v>0</v>
      </c>
      <c r="K26" s="497">
        <v>0</v>
      </c>
      <c r="L26" s="497">
        <f t="shared" si="6"/>
        <v>0</v>
      </c>
      <c r="M26" s="497">
        <v>0</v>
      </c>
      <c r="N26" s="497">
        <v>0</v>
      </c>
    </row>
    <row r="27" spans="1:14" s="498" customFormat="1" ht="15.6" hidden="1" customHeight="1">
      <c r="A27" s="1012"/>
      <c r="B27" s="1013"/>
      <c r="C27" s="1012"/>
      <c r="D27" s="1013"/>
      <c r="E27" s="1018"/>
      <c r="F27" s="1019"/>
      <c r="G27" s="495" t="s">
        <v>7</v>
      </c>
      <c r="H27" s="496">
        <f t="shared" si="4"/>
        <v>1875000</v>
      </c>
      <c r="I27" s="497">
        <f t="shared" si="5"/>
        <v>0</v>
      </c>
      <c r="J27" s="497">
        <f>J25+J26</f>
        <v>0</v>
      </c>
      <c r="K27" s="497">
        <f>K25+K26</f>
        <v>0</v>
      </c>
      <c r="L27" s="497">
        <f t="shared" si="6"/>
        <v>1875000</v>
      </c>
      <c r="M27" s="497">
        <f>M25+M26</f>
        <v>0</v>
      </c>
      <c r="N27" s="497">
        <f>N25+N26</f>
        <v>1875000</v>
      </c>
    </row>
    <row r="28" spans="1:14" s="498" customFormat="1" ht="15.6" hidden="1" customHeight="1">
      <c r="A28" s="1012"/>
      <c r="B28" s="1013"/>
      <c r="C28" s="1012"/>
      <c r="D28" s="1013"/>
      <c r="E28" s="1014" t="s">
        <v>948</v>
      </c>
      <c r="F28" s="1015"/>
      <c r="G28" s="495" t="s">
        <v>5</v>
      </c>
      <c r="H28" s="496">
        <f t="shared" si="4"/>
        <v>819000</v>
      </c>
      <c r="I28" s="497">
        <f t="shared" si="5"/>
        <v>0</v>
      </c>
      <c r="J28" s="497">
        <v>0</v>
      </c>
      <c r="K28" s="497">
        <v>0</v>
      </c>
      <c r="L28" s="497">
        <f t="shared" si="6"/>
        <v>819000</v>
      </c>
      <c r="M28" s="497">
        <v>0</v>
      </c>
      <c r="N28" s="497">
        <v>819000</v>
      </c>
    </row>
    <row r="29" spans="1:14" s="498" customFormat="1" ht="15.6" hidden="1" customHeight="1">
      <c r="A29" s="1012"/>
      <c r="B29" s="1013"/>
      <c r="C29" s="1012"/>
      <c r="D29" s="1013"/>
      <c r="E29" s="1016"/>
      <c r="F29" s="1017"/>
      <c r="G29" s="495" t="s">
        <v>6</v>
      </c>
      <c r="H29" s="496">
        <f t="shared" si="4"/>
        <v>0</v>
      </c>
      <c r="I29" s="497">
        <f t="shared" si="5"/>
        <v>0</v>
      </c>
      <c r="J29" s="497">
        <v>0</v>
      </c>
      <c r="K29" s="497">
        <v>0</v>
      </c>
      <c r="L29" s="497">
        <f t="shared" si="6"/>
        <v>0</v>
      </c>
      <c r="M29" s="497">
        <v>0</v>
      </c>
      <c r="N29" s="497">
        <v>0</v>
      </c>
    </row>
    <row r="30" spans="1:14" s="498" customFormat="1" ht="15.6" hidden="1" customHeight="1">
      <c r="A30" s="1012"/>
      <c r="B30" s="1013"/>
      <c r="C30" s="1012"/>
      <c r="D30" s="1013"/>
      <c r="E30" s="1018"/>
      <c r="F30" s="1019"/>
      <c r="G30" s="495" t="s">
        <v>7</v>
      </c>
      <c r="H30" s="496">
        <f t="shared" si="4"/>
        <v>819000</v>
      </c>
      <c r="I30" s="497">
        <f t="shared" si="5"/>
        <v>0</v>
      </c>
      <c r="J30" s="497">
        <f>J28+J29</f>
        <v>0</v>
      </c>
      <c r="K30" s="497">
        <f>K28+K29</f>
        <v>0</v>
      </c>
      <c r="L30" s="497">
        <f t="shared" si="6"/>
        <v>819000</v>
      </c>
      <c r="M30" s="497">
        <f>M28+M29</f>
        <v>0</v>
      </c>
      <c r="N30" s="497">
        <f>N28+N29</f>
        <v>819000</v>
      </c>
    </row>
    <row r="31" spans="1:14" s="498" customFormat="1" ht="15.6" hidden="1" customHeight="1">
      <c r="A31" s="1012"/>
      <c r="B31" s="1013"/>
      <c r="C31" s="1012"/>
      <c r="D31" s="1013"/>
      <c r="E31" s="1014" t="s">
        <v>949</v>
      </c>
      <c r="F31" s="1015"/>
      <c r="G31" s="495" t="s">
        <v>5</v>
      </c>
      <c r="H31" s="496">
        <f t="shared" si="4"/>
        <v>662000</v>
      </c>
      <c r="I31" s="497">
        <f t="shared" si="5"/>
        <v>0</v>
      </c>
      <c r="J31" s="497">
        <v>0</v>
      </c>
      <c r="K31" s="497">
        <v>0</v>
      </c>
      <c r="L31" s="497">
        <f t="shared" si="6"/>
        <v>662000</v>
      </c>
      <c r="M31" s="497">
        <v>0</v>
      </c>
      <c r="N31" s="497">
        <v>662000</v>
      </c>
    </row>
    <row r="32" spans="1:14" s="498" customFormat="1" ht="15.6" hidden="1" customHeight="1">
      <c r="A32" s="1012"/>
      <c r="B32" s="1013"/>
      <c r="C32" s="1012"/>
      <c r="D32" s="1013"/>
      <c r="E32" s="1016"/>
      <c r="F32" s="1017"/>
      <c r="G32" s="495" t="s">
        <v>6</v>
      </c>
      <c r="H32" s="496">
        <f t="shared" si="4"/>
        <v>0</v>
      </c>
      <c r="I32" s="497">
        <f t="shared" si="5"/>
        <v>0</v>
      </c>
      <c r="J32" s="497">
        <v>0</v>
      </c>
      <c r="K32" s="497">
        <v>0</v>
      </c>
      <c r="L32" s="497">
        <f t="shared" si="6"/>
        <v>0</v>
      </c>
      <c r="M32" s="497">
        <v>0</v>
      </c>
      <c r="N32" s="497">
        <v>0</v>
      </c>
    </row>
    <row r="33" spans="1:14" s="498" customFormat="1" ht="15.6" hidden="1" customHeight="1">
      <c r="A33" s="1012"/>
      <c r="B33" s="1013"/>
      <c r="C33" s="1012"/>
      <c r="D33" s="1013"/>
      <c r="E33" s="1018"/>
      <c r="F33" s="1019"/>
      <c r="G33" s="495" t="s">
        <v>7</v>
      </c>
      <c r="H33" s="496">
        <f t="shared" si="4"/>
        <v>662000</v>
      </c>
      <c r="I33" s="497">
        <f t="shared" si="5"/>
        <v>0</v>
      </c>
      <c r="J33" s="497">
        <f>J31+J32</f>
        <v>0</v>
      </c>
      <c r="K33" s="497">
        <f>K31+K32</f>
        <v>0</v>
      </c>
      <c r="L33" s="497">
        <f t="shared" si="6"/>
        <v>662000</v>
      </c>
      <c r="M33" s="497">
        <f>M31+M32</f>
        <v>0</v>
      </c>
      <c r="N33" s="497">
        <f>N31+N32</f>
        <v>662000</v>
      </c>
    </row>
    <row r="34" spans="1:14" s="498" customFormat="1" ht="15.6" hidden="1" customHeight="1">
      <c r="A34" s="1012"/>
      <c r="B34" s="1013"/>
      <c r="C34" s="1012"/>
      <c r="D34" s="1013"/>
      <c r="E34" s="1014" t="s">
        <v>950</v>
      </c>
      <c r="F34" s="1015"/>
      <c r="G34" s="495" t="s">
        <v>5</v>
      </c>
      <c r="H34" s="496">
        <f t="shared" si="4"/>
        <v>633000</v>
      </c>
      <c r="I34" s="497">
        <f t="shared" si="5"/>
        <v>0</v>
      </c>
      <c r="J34" s="497">
        <v>0</v>
      </c>
      <c r="K34" s="497">
        <v>0</v>
      </c>
      <c r="L34" s="497">
        <f t="shared" si="6"/>
        <v>633000</v>
      </c>
      <c r="M34" s="497">
        <v>0</v>
      </c>
      <c r="N34" s="497">
        <v>633000</v>
      </c>
    </row>
    <row r="35" spans="1:14" s="498" customFormat="1" ht="15.6" hidden="1" customHeight="1">
      <c r="A35" s="1012"/>
      <c r="B35" s="1013"/>
      <c r="C35" s="1012"/>
      <c r="D35" s="1013"/>
      <c r="E35" s="1016"/>
      <c r="F35" s="1017"/>
      <c r="G35" s="495" t="s">
        <v>6</v>
      </c>
      <c r="H35" s="496">
        <f t="shared" si="4"/>
        <v>0</v>
      </c>
      <c r="I35" s="497">
        <f t="shared" si="5"/>
        <v>0</v>
      </c>
      <c r="J35" s="497">
        <v>0</v>
      </c>
      <c r="K35" s="497">
        <v>0</v>
      </c>
      <c r="L35" s="497">
        <f t="shared" si="6"/>
        <v>0</v>
      </c>
      <c r="M35" s="497">
        <v>0</v>
      </c>
      <c r="N35" s="497">
        <v>0</v>
      </c>
    </row>
    <row r="36" spans="1:14" s="498" customFormat="1" ht="15.6" hidden="1" customHeight="1">
      <c r="A36" s="1012"/>
      <c r="B36" s="1013"/>
      <c r="C36" s="1012"/>
      <c r="D36" s="1013"/>
      <c r="E36" s="1018"/>
      <c r="F36" s="1019"/>
      <c r="G36" s="495" t="s">
        <v>7</v>
      </c>
      <c r="H36" s="496">
        <f t="shared" si="4"/>
        <v>633000</v>
      </c>
      <c r="I36" s="497">
        <f t="shared" si="5"/>
        <v>0</v>
      </c>
      <c r="J36" s="497">
        <f>J34+J35</f>
        <v>0</v>
      </c>
      <c r="K36" s="497">
        <f>K34+K35</f>
        <v>0</v>
      </c>
      <c r="L36" s="497">
        <f t="shared" si="6"/>
        <v>633000</v>
      </c>
      <c r="M36" s="497">
        <f>M34+M35</f>
        <v>0</v>
      </c>
      <c r="N36" s="497">
        <f>N34+N35</f>
        <v>633000</v>
      </c>
    </row>
    <row r="37" spans="1:14" s="498" customFormat="1" ht="15.6" hidden="1" customHeight="1">
      <c r="A37" s="1012"/>
      <c r="B37" s="1013"/>
      <c r="C37" s="1012"/>
      <c r="D37" s="1013"/>
      <c r="E37" s="1014" t="s">
        <v>951</v>
      </c>
      <c r="F37" s="1015"/>
      <c r="G37" s="495" t="s">
        <v>5</v>
      </c>
      <c r="H37" s="496">
        <f t="shared" si="4"/>
        <v>468000</v>
      </c>
      <c r="I37" s="497">
        <f t="shared" si="5"/>
        <v>0</v>
      </c>
      <c r="J37" s="497">
        <v>0</v>
      </c>
      <c r="K37" s="497">
        <v>0</v>
      </c>
      <c r="L37" s="497">
        <f t="shared" si="6"/>
        <v>468000</v>
      </c>
      <c r="M37" s="497">
        <v>0</v>
      </c>
      <c r="N37" s="497">
        <v>468000</v>
      </c>
    </row>
    <row r="38" spans="1:14" s="498" customFormat="1" ht="15.6" hidden="1" customHeight="1">
      <c r="A38" s="1012"/>
      <c r="B38" s="1013"/>
      <c r="C38" s="1012"/>
      <c r="D38" s="1013"/>
      <c r="E38" s="1016"/>
      <c r="F38" s="1017"/>
      <c r="G38" s="495" t="s">
        <v>6</v>
      </c>
      <c r="H38" s="496">
        <f t="shared" si="4"/>
        <v>0</v>
      </c>
      <c r="I38" s="497">
        <f t="shared" si="5"/>
        <v>0</v>
      </c>
      <c r="J38" s="497">
        <v>0</v>
      </c>
      <c r="K38" s="497">
        <v>0</v>
      </c>
      <c r="L38" s="497">
        <f t="shared" si="6"/>
        <v>0</v>
      </c>
      <c r="M38" s="497">
        <v>0</v>
      </c>
      <c r="N38" s="497">
        <v>0</v>
      </c>
    </row>
    <row r="39" spans="1:14" s="498" customFormat="1" ht="15.6" hidden="1" customHeight="1">
      <c r="A39" s="1012"/>
      <c r="B39" s="1013"/>
      <c r="C39" s="1012"/>
      <c r="D39" s="1013"/>
      <c r="E39" s="1018"/>
      <c r="F39" s="1019"/>
      <c r="G39" s="495" t="s">
        <v>7</v>
      </c>
      <c r="H39" s="496">
        <f t="shared" si="4"/>
        <v>468000</v>
      </c>
      <c r="I39" s="497">
        <f t="shared" si="5"/>
        <v>0</v>
      </c>
      <c r="J39" s="497">
        <f>J37+J38</f>
        <v>0</v>
      </c>
      <c r="K39" s="497">
        <f>K37+K38</f>
        <v>0</v>
      </c>
      <c r="L39" s="497">
        <f t="shared" si="6"/>
        <v>468000</v>
      </c>
      <c r="M39" s="497">
        <f>M37+M38</f>
        <v>0</v>
      </c>
      <c r="N39" s="497">
        <f>N37+N38</f>
        <v>468000</v>
      </c>
    </row>
    <row r="40" spans="1:14" s="498" customFormat="1" ht="15.6" hidden="1" customHeight="1">
      <c r="A40" s="1012"/>
      <c r="B40" s="1013"/>
      <c r="C40" s="1012"/>
      <c r="D40" s="1013"/>
      <c r="E40" s="1014" t="s">
        <v>952</v>
      </c>
      <c r="F40" s="1015"/>
      <c r="G40" s="495" t="s">
        <v>5</v>
      </c>
      <c r="H40" s="496">
        <f t="shared" si="4"/>
        <v>482000</v>
      </c>
      <c r="I40" s="497">
        <f t="shared" si="5"/>
        <v>0</v>
      </c>
      <c r="J40" s="497">
        <v>0</v>
      </c>
      <c r="K40" s="497">
        <v>0</v>
      </c>
      <c r="L40" s="497">
        <f t="shared" si="6"/>
        <v>482000</v>
      </c>
      <c r="M40" s="497">
        <v>0</v>
      </c>
      <c r="N40" s="497">
        <v>482000</v>
      </c>
    </row>
    <row r="41" spans="1:14" s="498" customFormat="1" ht="15.6" hidden="1" customHeight="1">
      <c r="A41" s="1012"/>
      <c r="B41" s="1013"/>
      <c r="C41" s="1012"/>
      <c r="D41" s="1013"/>
      <c r="E41" s="1016"/>
      <c r="F41" s="1017"/>
      <c r="G41" s="495" t="s">
        <v>6</v>
      </c>
      <c r="H41" s="496">
        <f t="shared" si="4"/>
        <v>0</v>
      </c>
      <c r="I41" s="497">
        <f t="shared" si="5"/>
        <v>0</v>
      </c>
      <c r="J41" s="497">
        <v>0</v>
      </c>
      <c r="K41" s="497">
        <v>0</v>
      </c>
      <c r="L41" s="497">
        <f t="shared" si="6"/>
        <v>0</v>
      </c>
      <c r="M41" s="497">
        <v>0</v>
      </c>
      <c r="N41" s="497">
        <v>0</v>
      </c>
    </row>
    <row r="42" spans="1:14" s="498" customFormat="1" ht="15.6" hidden="1" customHeight="1">
      <c r="A42" s="1012"/>
      <c r="B42" s="1013"/>
      <c r="C42" s="1012"/>
      <c r="D42" s="1013"/>
      <c r="E42" s="1018"/>
      <c r="F42" s="1019"/>
      <c r="G42" s="495" t="s">
        <v>7</v>
      </c>
      <c r="H42" s="496">
        <f t="shared" si="4"/>
        <v>482000</v>
      </c>
      <c r="I42" s="497">
        <f t="shared" si="5"/>
        <v>0</v>
      </c>
      <c r="J42" s="497">
        <f>J40+J41</f>
        <v>0</v>
      </c>
      <c r="K42" s="497">
        <f>K40+K41</f>
        <v>0</v>
      </c>
      <c r="L42" s="497">
        <f t="shared" si="6"/>
        <v>482000</v>
      </c>
      <c r="M42" s="497">
        <f>M40+M41</f>
        <v>0</v>
      </c>
      <c r="N42" s="497">
        <f>N40+N41</f>
        <v>482000</v>
      </c>
    </row>
    <row r="43" spans="1:14" s="498" customFormat="1" ht="15.6" hidden="1" customHeight="1">
      <c r="A43" s="1012"/>
      <c r="B43" s="1013"/>
      <c r="C43" s="1012"/>
      <c r="D43" s="1013"/>
      <c r="E43" s="1014" t="s">
        <v>953</v>
      </c>
      <c r="F43" s="1015"/>
      <c r="G43" s="495" t="s">
        <v>5</v>
      </c>
      <c r="H43" s="496">
        <f t="shared" si="4"/>
        <v>468000</v>
      </c>
      <c r="I43" s="497">
        <f t="shared" si="5"/>
        <v>0</v>
      </c>
      <c r="J43" s="497">
        <v>0</v>
      </c>
      <c r="K43" s="497">
        <v>0</v>
      </c>
      <c r="L43" s="497">
        <f t="shared" si="6"/>
        <v>468000</v>
      </c>
      <c r="M43" s="497">
        <v>0</v>
      </c>
      <c r="N43" s="497">
        <v>468000</v>
      </c>
    </row>
    <row r="44" spans="1:14" s="498" customFormat="1" ht="15.6" hidden="1" customHeight="1">
      <c r="A44" s="1012"/>
      <c r="B44" s="1013"/>
      <c r="C44" s="1012"/>
      <c r="D44" s="1013"/>
      <c r="E44" s="1016"/>
      <c r="F44" s="1017"/>
      <c r="G44" s="495" t="s">
        <v>6</v>
      </c>
      <c r="H44" s="496">
        <f t="shared" si="4"/>
        <v>0</v>
      </c>
      <c r="I44" s="497">
        <f t="shared" si="5"/>
        <v>0</v>
      </c>
      <c r="J44" s="497">
        <v>0</v>
      </c>
      <c r="K44" s="497">
        <v>0</v>
      </c>
      <c r="L44" s="497">
        <f t="shared" si="6"/>
        <v>0</v>
      </c>
      <c r="M44" s="497">
        <v>0</v>
      </c>
      <c r="N44" s="497">
        <v>0</v>
      </c>
    </row>
    <row r="45" spans="1:14" s="498" customFormat="1" ht="15.6" hidden="1" customHeight="1">
      <c r="A45" s="1012"/>
      <c r="B45" s="1013"/>
      <c r="C45" s="1012"/>
      <c r="D45" s="1013"/>
      <c r="E45" s="1018"/>
      <c r="F45" s="1019"/>
      <c r="G45" s="495" t="s">
        <v>7</v>
      </c>
      <c r="H45" s="496">
        <f t="shared" si="4"/>
        <v>468000</v>
      </c>
      <c r="I45" s="497">
        <f t="shared" si="5"/>
        <v>0</v>
      </c>
      <c r="J45" s="497">
        <f>J43+J44</f>
        <v>0</v>
      </c>
      <c r="K45" s="497">
        <f>K43+K44</f>
        <v>0</v>
      </c>
      <c r="L45" s="497">
        <f t="shared" si="6"/>
        <v>468000</v>
      </c>
      <c r="M45" s="497">
        <f>M43+M44</f>
        <v>0</v>
      </c>
      <c r="N45" s="497">
        <f>N43+N44</f>
        <v>468000</v>
      </c>
    </row>
    <row r="46" spans="1:14" s="498" customFormat="1" ht="15.6" hidden="1" customHeight="1">
      <c r="A46" s="1012"/>
      <c r="B46" s="1013"/>
      <c r="C46" s="1012"/>
      <c r="D46" s="1013"/>
      <c r="E46" s="1014" t="s">
        <v>954</v>
      </c>
      <c r="F46" s="1015"/>
      <c r="G46" s="495" t="s">
        <v>5</v>
      </c>
      <c r="H46" s="496">
        <f t="shared" si="4"/>
        <v>221000</v>
      </c>
      <c r="I46" s="497">
        <f t="shared" si="5"/>
        <v>0</v>
      </c>
      <c r="J46" s="497">
        <v>0</v>
      </c>
      <c r="K46" s="497">
        <v>0</v>
      </c>
      <c r="L46" s="497">
        <f t="shared" si="6"/>
        <v>221000</v>
      </c>
      <c r="M46" s="497">
        <v>0</v>
      </c>
      <c r="N46" s="497">
        <v>221000</v>
      </c>
    </row>
    <row r="47" spans="1:14" s="498" customFormat="1" ht="15.6" hidden="1" customHeight="1">
      <c r="A47" s="1012"/>
      <c r="B47" s="1013"/>
      <c r="C47" s="1012"/>
      <c r="D47" s="1013"/>
      <c r="E47" s="1016"/>
      <c r="F47" s="1017"/>
      <c r="G47" s="495" t="s">
        <v>6</v>
      </c>
      <c r="H47" s="496">
        <f t="shared" si="4"/>
        <v>0</v>
      </c>
      <c r="I47" s="497">
        <f t="shared" si="5"/>
        <v>0</v>
      </c>
      <c r="J47" s="497">
        <v>0</v>
      </c>
      <c r="K47" s="497">
        <v>0</v>
      </c>
      <c r="L47" s="497">
        <f t="shared" si="6"/>
        <v>0</v>
      </c>
      <c r="M47" s="497">
        <v>0</v>
      </c>
      <c r="N47" s="497">
        <v>0</v>
      </c>
    </row>
    <row r="48" spans="1:14" s="498" customFormat="1" ht="15.6" hidden="1" customHeight="1">
      <c r="A48" s="1012"/>
      <c r="B48" s="1013"/>
      <c r="C48" s="1012"/>
      <c r="D48" s="1013"/>
      <c r="E48" s="1018"/>
      <c r="F48" s="1019"/>
      <c r="G48" s="495" t="s">
        <v>7</v>
      </c>
      <c r="H48" s="496">
        <f t="shared" si="4"/>
        <v>221000</v>
      </c>
      <c r="I48" s="497">
        <f t="shared" si="5"/>
        <v>0</v>
      </c>
      <c r="J48" s="497">
        <f>J46+J47</f>
        <v>0</v>
      </c>
      <c r="K48" s="497">
        <f>K46+K47</f>
        <v>0</v>
      </c>
      <c r="L48" s="497">
        <f t="shared" si="6"/>
        <v>221000</v>
      </c>
      <c r="M48" s="497">
        <f>M46+M47</f>
        <v>0</v>
      </c>
      <c r="N48" s="497">
        <f>N46+N47</f>
        <v>221000</v>
      </c>
    </row>
    <row r="49" spans="1:14" s="498" customFormat="1" ht="15.6" hidden="1" customHeight="1">
      <c r="A49" s="1012"/>
      <c r="B49" s="1013"/>
      <c r="C49" s="1012"/>
      <c r="D49" s="1013"/>
      <c r="E49" s="1014" t="s">
        <v>955</v>
      </c>
      <c r="F49" s="1015"/>
      <c r="G49" s="495" t="s">
        <v>5</v>
      </c>
      <c r="H49" s="496">
        <f t="shared" si="4"/>
        <v>89000</v>
      </c>
      <c r="I49" s="497">
        <f t="shared" si="5"/>
        <v>0</v>
      </c>
      <c r="J49" s="497">
        <v>0</v>
      </c>
      <c r="K49" s="497">
        <v>0</v>
      </c>
      <c r="L49" s="497">
        <f t="shared" si="6"/>
        <v>89000</v>
      </c>
      <c r="M49" s="497">
        <v>0</v>
      </c>
      <c r="N49" s="497">
        <v>89000</v>
      </c>
    </row>
    <row r="50" spans="1:14" s="498" customFormat="1" ht="15.6" hidden="1" customHeight="1">
      <c r="A50" s="1012"/>
      <c r="B50" s="1013"/>
      <c r="C50" s="1012"/>
      <c r="D50" s="1013"/>
      <c r="E50" s="1016"/>
      <c r="F50" s="1017"/>
      <c r="G50" s="495" t="s">
        <v>6</v>
      </c>
      <c r="H50" s="496">
        <f t="shared" si="4"/>
        <v>0</v>
      </c>
      <c r="I50" s="497">
        <f t="shared" si="5"/>
        <v>0</v>
      </c>
      <c r="J50" s="497">
        <v>0</v>
      </c>
      <c r="K50" s="497">
        <v>0</v>
      </c>
      <c r="L50" s="497">
        <f t="shared" si="6"/>
        <v>0</v>
      </c>
      <c r="M50" s="497">
        <v>0</v>
      </c>
      <c r="N50" s="497">
        <v>0</v>
      </c>
    </row>
    <row r="51" spans="1:14" s="498" customFormat="1" ht="15.6" hidden="1" customHeight="1">
      <c r="A51" s="1012"/>
      <c r="B51" s="1013"/>
      <c r="C51" s="1012"/>
      <c r="D51" s="1013"/>
      <c r="E51" s="1018"/>
      <c r="F51" s="1019"/>
      <c r="G51" s="495" t="s">
        <v>7</v>
      </c>
      <c r="H51" s="496">
        <f t="shared" si="4"/>
        <v>89000</v>
      </c>
      <c r="I51" s="497">
        <f t="shared" si="5"/>
        <v>0</v>
      </c>
      <c r="J51" s="497">
        <f>J49+J50</f>
        <v>0</v>
      </c>
      <c r="K51" s="497">
        <f>K49+K50</f>
        <v>0</v>
      </c>
      <c r="L51" s="497">
        <f t="shared" si="6"/>
        <v>89000</v>
      </c>
      <c r="M51" s="497">
        <f>M49+M50</f>
        <v>0</v>
      </c>
      <c r="N51" s="497">
        <f>N49+N50</f>
        <v>89000</v>
      </c>
    </row>
    <row r="52" spans="1:14" s="498" customFormat="1" ht="15.6" hidden="1" customHeight="1">
      <c r="A52" s="1012"/>
      <c r="B52" s="1013"/>
      <c r="C52" s="1012"/>
      <c r="D52" s="1013"/>
      <c r="E52" s="1014" t="s">
        <v>956</v>
      </c>
      <c r="F52" s="1015"/>
      <c r="G52" s="495" t="s">
        <v>5</v>
      </c>
      <c r="H52" s="496">
        <f t="shared" si="4"/>
        <v>44000</v>
      </c>
      <c r="I52" s="497">
        <f t="shared" si="5"/>
        <v>0</v>
      </c>
      <c r="J52" s="497">
        <v>0</v>
      </c>
      <c r="K52" s="497">
        <v>0</v>
      </c>
      <c r="L52" s="497">
        <f t="shared" si="6"/>
        <v>44000</v>
      </c>
      <c r="M52" s="497">
        <v>0</v>
      </c>
      <c r="N52" s="497">
        <v>44000</v>
      </c>
    </row>
    <row r="53" spans="1:14" s="498" customFormat="1" ht="15.6" hidden="1" customHeight="1">
      <c r="A53" s="1012"/>
      <c r="B53" s="1013"/>
      <c r="C53" s="1012"/>
      <c r="D53" s="1013"/>
      <c r="E53" s="1016"/>
      <c r="F53" s="1017"/>
      <c r="G53" s="495" t="s">
        <v>6</v>
      </c>
      <c r="H53" s="496">
        <f t="shared" si="4"/>
        <v>0</v>
      </c>
      <c r="I53" s="497">
        <f t="shared" si="5"/>
        <v>0</v>
      </c>
      <c r="J53" s="497">
        <v>0</v>
      </c>
      <c r="K53" s="497">
        <v>0</v>
      </c>
      <c r="L53" s="497">
        <f t="shared" si="6"/>
        <v>0</v>
      </c>
      <c r="M53" s="497">
        <v>0</v>
      </c>
      <c r="N53" s="497">
        <v>0</v>
      </c>
    </row>
    <row r="54" spans="1:14" s="498" customFormat="1" ht="15.6" hidden="1" customHeight="1">
      <c r="A54" s="1012"/>
      <c r="B54" s="1013"/>
      <c r="C54" s="1012"/>
      <c r="D54" s="1013"/>
      <c r="E54" s="1018"/>
      <c r="F54" s="1019"/>
      <c r="G54" s="495" t="s">
        <v>7</v>
      </c>
      <c r="H54" s="496">
        <f t="shared" si="4"/>
        <v>44000</v>
      </c>
      <c r="I54" s="497">
        <f t="shared" si="5"/>
        <v>0</v>
      </c>
      <c r="J54" s="497">
        <f>J52+J53</f>
        <v>0</v>
      </c>
      <c r="K54" s="497">
        <f>K52+K53</f>
        <v>0</v>
      </c>
      <c r="L54" s="497">
        <f t="shared" si="6"/>
        <v>44000</v>
      </c>
      <c r="M54" s="497">
        <f>M52+M53</f>
        <v>0</v>
      </c>
      <c r="N54" s="497">
        <f>N52+N53</f>
        <v>44000</v>
      </c>
    </row>
    <row r="55" spans="1:14" s="484" customFormat="1" ht="5.25" customHeight="1">
      <c r="A55" s="499"/>
      <c r="B55" s="500"/>
      <c r="C55" s="500"/>
      <c r="D55" s="500"/>
      <c r="E55" s="501"/>
      <c r="F55" s="502"/>
      <c r="G55" s="501"/>
      <c r="H55" s="503"/>
      <c r="I55" s="504"/>
      <c r="J55" s="504"/>
      <c r="K55" s="504"/>
      <c r="L55" s="504"/>
      <c r="M55" s="504"/>
      <c r="N55" s="505"/>
    </row>
    <row r="56" spans="1:14" s="488" customFormat="1" ht="14.1" customHeight="1">
      <c r="A56" s="1111" t="s">
        <v>957</v>
      </c>
      <c r="B56" s="1112"/>
      <c r="C56" s="1112"/>
      <c r="D56" s="1112"/>
      <c r="E56" s="1112"/>
      <c r="F56" s="1112"/>
      <c r="G56" s="485" t="s">
        <v>5</v>
      </c>
      <c r="H56" s="506">
        <f>I56+L56</f>
        <v>87976340</v>
      </c>
      <c r="I56" s="507">
        <f>J56+K56</f>
        <v>87976340</v>
      </c>
      <c r="J56" s="507">
        <f t="shared" ref="J56:K58" si="7">J60</f>
        <v>0</v>
      </c>
      <c r="K56" s="507">
        <f t="shared" si="7"/>
        <v>87976340</v>
      </c>
      <c r="L56" s="507">
        <f>M56+N56</f>
        <v>0</v>
      </c>
      <c r="M56" s="507">
        <f t="shared" ref="M56:N58" si="8">M60</f>
        <v>0</v>
      </c>
      <c r="N56" s="507">
        <f t="shared" si="8"/>
        <v>0</v>
      </c>
    </row>
    <row r="57" spans="1:14" s="488" customFormat="1" ht="14.1" customHeight="1">
      <c r="A57" s="1113"/>
      <c r="B57" s="1114"/>
      <c r="C57" s="1114"/>
      <c r="D57" s="1114"/>
      <c r="E57" s="1114"/>
      <c r="F57" s="1114"/>
      <c r="G57" s="485" t="s">
        <v>6</v>
      </c>
      <c r="H57" s="506">
        <f>I57+L57</f>
        <v>-95398</v>
      </c>
      <c r="I57" s="507">
        <f>J57+K57</f>
        <v>-95398</v>
      </c>
      <c r="J57" s="507">
        <f t="shared" si="7"/>
        <v>0</v>
      </c>
      <c r="K57" s="507">
        <f t="shared" si="7"/>
        <v>-95398</v>
      </c>
      <c r="L57" s="507">
        <f>M57+N57</f>
        <v>0</v>
      </c>
      <c r="M57" s="507">
        <f t="shared" si="8"/>
        <v>0</v>
      </c>
      <c r="N57" s="507">
        <f t="shared" si="8"/>
        <v>0</v>
      </c>
    </row>
    <row r="58" spans="1:14" s="488" customFormat="1" ht="14.1" customHeight="1">
      <c r="A58" s="1115"/>
      <c r="B58" s="1116"/>
      <c r="C58" s="1116"/>
      <c r="D58" s="1116"/>
      <c r="E58" s="1116"/>
      <c r="F58" s="1116"/>
      <c r="G58" s="485" t="s">
        <v>7</v>
      </c>
      <c r="H58" s="506">
        <f>I58+L58</f>
        <v>87880942</v>
      </c>
      <c r="I58" s="507">
        <f>J58+K58</f>
        <v>87880942</v>
      </c>
      <c r="J58" s="507">
        <f t="shared" si="7"/>
        <v>0</v>
      </c>
      <c r="K58" s="507">
        <f t="shared" si="7"/>
        <v>87880942</v>
      </c>
      <c r="L58" s="507">
        <f>M58+N58</f>
        <v>0</v>
      </c>
      <c r="M58" s="507">
        <f t="shared" si="8"/>
        <v>0</v>
      </c>
      <c r="N58" s="507">
        <f t="shared" si="8"/>
        <v>0</v>
      </c>
    </row>
    <row r="59" spans="1:14" s="484" customFormat="1" ht="5.0999999999999996" customHeight="1">
      <c r="A59" s="489"/>
      <c r="B59" s="490"/>
      <c r="C59" s="490"/>
      <c r="D59" s="490"/>
      <c r="E59" s="491"/>
      <c r="F59" s="491"/>
      <c r="G59" s="491"/>
      <c r="H59" s="492"/>
      <c r="I59" s="493"/>
      <c r="J59" s="493"/>
      <c r="K59" s="493"/>
      <c r="L59" s="493"/>
      <c r="M59" s="493"/>
      <c r="N59" s="494"/>
    </row>
    <row r="60" spans="1:14" s="511" customFormat="1" ht="14.1" customHeight="1">
      <c r="A60" s="1088" t="s">
        <v>958</v>
      </c>
      <c r="B60" s="1089"/>
      <c r="C60" s="1089"/>
      <c r="D60" s="1089"/>
      <c r="E60" s="1089"/>
      <c r="F60" s="1089"/>
      <c r="G60" s="508" t="s">
        <v>5</v>
      </c>
      <c r="H60" s="509">
        <f>I60+L60</f>
        <v>87976340</v>
      </c>
      <c r="I60" s="510">
        <f>J60+K60</f>
        <v>87976340</v>
      </c>
      <c r="J60" s="510">
        <f>J64+J70+J76+J82+J91+J97+J103+J109+J124+J130+J136+J142+J148+J160+J175+J187+J202</f>
        <v>0</v>
      </c>
      <c r="K60" s="510">
        <f t="shared" ref="J60:K62" si="9">K64+K70+K76+K82+K91+K97+K103+K109+K124+K130+K136+K142+K148+K160+K175+K187+K202</f>
        <v>87976340</v>
      </c>
      <c r="L60" s="510">
        <f>M60+N60</f>
        <v>0</v>
      </c>
      <c r="M60" s="510">
        <f t="shared" ref="M60:N62" si="10">M64+M70+M76+M82+M91+M97+M103+M109+M124+M130+M136+M142+M148+M160+M175+M187+M202</f>
        <v>0</v>
      </c>
      <c r="N60" s="510">
        <f t="shared" si="10"/>
        <v>0</v>
      </c>
    </row>
    <row r="61" spans="1:14" s="511" customFormat="1" ht="14.1" customHeight="1">
      <c r="A61" s="1090"/>
      <c r="B61" s="1091"/>
      <c r="C61" s="1091"/>
      <c r="D61" s="1091"/>
      <c r="E61" s="1091"/>
      <c r="F61" s="1091"/>
      <c r="G61" s="508" t="s">
        <v>6</v>
      </c>
      <c r="H61" s="509">
        <f>I61+L61</f>
        <v>-95398</v>
      </c>
      <c r="I61" s="510">
        <f>J61+K61</f>
        <v>-95398</v>
      </c>
      <c r="J61" s="510">
        <f t="shared" si="9"/>
        <v>0</v>
      </c>
      <c r="K61" s="510">
        <f t="shared" si="9"/>
        <v>-95398</v>
      </c>
      <c r="L61" s="510">
        <f>M61+N61</f>
        <v>0</v>
      </c>
      <c r="M61" s="510">
        <f t="shared" si="10"/>
        <v>0</v>
      </c>
      <c r="N61" s="510">
        <f t="shared" si="10"/>
        <v>0</v>
      </c>
    </row>
    <row r="62" spans="1:14" s="511" customFormat="1" ht="14.1" customHeight="1">
      <c r="A62" s="1092"/>
      <c r="B62" s="1093"/>
      <c r="C62" s="1093"/>
      <c r="D62" s="1093"/>
      <c r="E62" s="1093"/>
      <c r="F62" s="1093"/>
      <c r="G62" s="508" t="s">
        <v>7</v>
      </c>
      <c r="H62" s="509">
        <f>I62+L62</f>
        <v>87880942</v>
      </c>
      <c r="I62" s="510">
        <f>J62+K62</f>
        <v>87880942</v>
      </c>
      <c r="J62" s="510">
        <f t="shared" si="9"/>
        <v>0</v>
      </c>
      <c r="K62" s="510">
        <f t="shared" si="9"/>
        <v>87880942</v>
      </c>
      <c r="L62" s="510">
        <f>M62+N62</f>
        <v>0</v>
      </c>
      <c r="M62" s="510">
        <f t="shared" si="10"/>
        <v>0</v>
      </c>
      <c r="N62" s="510">
        <f t="shared" si="10"/>
        <v>0</v>
      </c>
    </row>
    <row r="63" spans="1:14" s="518" customFormat="1" ht="5.0999999999999996" customHeight="1">
      <c r="A63" s="512"/>
      <c r="B63" s="513"/>
      <c r="C63" s="513"/>
      <c r="D63" s="513"/>
      <c r="E63" s="513"/>
      <c r="F63" s="513"/>
      <c r="G63" s="514"/>
      <c r="H63" s="515"/>
      <c r="I63" s="516"/>
      <c r="J63" s="516"/>
      <c r="K63" s="516"/>
      <c r="L63" s="516"/>
      <c r="M63" s="516"/>
      <c r="N63" s="517"/>
    </row>
    <row r="64" spans="1:14" s="458" customFormat="1" ht="15" hidden="1" customHeight="1">
      <c r="A64" s="1117" t="s">
        <v>959</v>
      </c>
      <c r="B64" s="1140"/>
      <c r="C64" s="1140"/>
      <c r="D64" s="1140"/>
      <c r="E64" s="1140"/>
      <c r="F64" s="1141"/>
      <c r="G64" s="519" t="s">
        <v>5</v>
      </c>
      <c r="H64" s="520">
        <f t="shared" ref="H64:H127" si="11">I64+L64</f>
        <v>7410000</v>
      </c>
      <c r="I64" s="521">
        <f t="shared" ref="I64:I127" si="12">J64+K64</f>
        <v>7410000</v>
      </c>
      <c r="J64" s="521">
        <f t="shared" ref="J64:K66" si="13">J67</f>
        <v>0</v>
      </c>
      <c r="K64" s="521">
        <f t="shared" si="13"/>
        <v>7410000</v>
      </c>
      <c r="L64" s="521">
        <f t="shared" ref="L64:L127" si="14">M64+N64</f>
        <v>0</v>
      </c>
      <c r="M64" s="521">
        <f t="shared" ref="M64:N66" si="15">M67</f>
        <v>0</v>
      </c>
      <c r="N64" s="521">
        <f t="shared" si="15"/>
        <v>0</v>
      </c>
    </row>
    <row r="65" spans="1:14" s="458" customFormat="1" ht="15" hidden="1" customHeight="1">
      <c r="A65" s="1142"/>
      <c r="B65" s="1143"/>
      <c r="C65" s="1143"/>
      <c r="D65" s="1143"/>
      <c r="E65" s="1143"/>
      <c r="F65" s="1144"/>
      <c r="G65" s="519" t="s">
        <v>6</v>
      </c>
      <c r="H65" s="520">
        <f t="shared" si="11"/>
        <v>0</v>
      </c>
      <c r="I65" s="521">
        <f t="shared" si="12"/>
        <v>0</v>
      </c>
      <c r="J65" s="521">
        <f t="shared" si="13"/>
        <v>0</v>
      </c>
      <c r="K65" s="521">
        <f t="shared" si="13"/>
        <v>0</v>
      </c>
      <c r="L65" s="521">
        <f t="shared" si="14"/>
        <v>0</v>
      </c>
      <c r="M65" s="521">
        <f t="shared" si="15"/>
        <v>0</v>
      </c>
      <c r="N65" s="521">
        <f t="shared" si="15"/>
        <v>0</v>
      </c>
    </row>
    <row r="66" spans="1:14" s="458" customFormat="1" ht="15" hidden="1" customHeight="1">
      <c r="A66" s="1145"/>
      <c r="B66" s="1146"/>
      <c r="C66" s="1146"/>
      <c r="D66" s="1146"/>
      <c r="E66" s="1146"/>
      <c r="F66" s="1147"/>
      <c r="G66" s="519" t="s">
        <v>7</v>
      </c>
      <c r="H66" s="520">
        <f t="shared" si="11"/>
        <v>7410000</v>
      </c>
      <c r="I66" s="521">
        <f t="shared" si="12"/>
        <v>7410000</v>
      </c>
      <c r="J66" s="521">
        <f t="shared" si="13"/>
        <v>0</v>
      </c>
      <c r="K66" s="521">
        <f t="shared" si="13"/>
        <v>7410000</v>
      </c>
      <c r="L66" s="521">
        <f t="shared" si="14"/>
        <v>0</v>
      </c>
      <c r="M66" s="521">
        <f t="shared" si="15"/>
        <v>0</v>
      </c>
      <c r="N66" s="521">
        <f t="shared" si="15"/>
        <v>0</v>
      </c>
    </row>
    <row r="67" spans="1:14" s="448" customFormat="1" ht="15" hidden="1" customHeight="1">
      <c r="A67" s="1029" t="s">
        <v>261</v>
      </c>
      <c r="B67" s="1030"/>
      <c r="C67" s="1031" t="s">
        <v>262</v>
      </c>
      <c r="D67" s="1032"/>
      <c r="E67" s="1014" t="s">
        <v>960</v>
      </c>
      <c r="F67" s="1015"/>
      <c r="G67" s="495" t="s">
        <v>5</v>
      </c>
      <c r="H67" s="496">
        <f t="shared" si="11"/>
        <v>7410000</v>
      </c>
      <c r="I67" s="497">
        <f t="shared" si="12"/>
        <v>7410000</v>
      </c>
      <c r="J67" s="497">
        <v>0</v>
      </c>
      <c r="K67" s="497">
        <v>7410000</v>
      </c>
      <c r="L67" s="497">
        <f t="shared" si="14"/>
        <v>0</v>
      </c>
      <c r="M67" s="497">
        <v>0</v>
      </c>
      <c r="N67" s="497">
        <v>0</v>
      </c>
    </row>
    <row r="68" spans="1:14" s="448" customFormat="1" ht="15" hidden="1" customHeight="1">
      <c r="A68" s="1025"/>
      <c r="B68" s="1026"/>
      <c r="C68" s="1027"/>
      <c r="D68" s="1028"/>
      <c r="E68" s="1102"/>
      <c r="F68" s="1103"/>
      <c r="G68" s="495" t="s">
        <v>6</v>
      </c>
      <c r="H68" s="496">
        <f t="shared" si="11"/>
        <v>0</v>
      </c>
      <c r="I68" s="497">
        <f t="shared" si="12"/>
        <v>0</v>
      </c>
      <c r="J68" s="497">
        <v>0</v>
      </c>
      <c r="K68" s="497">
        <v>0</v>
      </c>
      <c r="L68" s="497">
        <f t="shared" si="14"/>
        <v>0</v>
      </c>
      <c r="M68" s="497">
        <v>0</v>
      </c>
      <c r="N68" s="497">
        <v>0</v>
      </c>
    </row>
    <row r="69" spans="1:14" s="448" customFormat="1" ht="15" hidden="1" customHeight="1">
      <c r="A69" s="1025"/>
      <c r="B69" s="1026"/>
      <c r="C69" s="1027"/>
      <c r="D69" s="1028"/>
      <c r="E69" s="1104"/>
      <c r="F69" s="1105"/>
      <c r="G69" s="495" t="s">
        <v>7</v>
      </c>
      <c r="H69" s="496">
        <f t="shared" si="11"/>
        <v>7410000</v>
      </c>
      <c r="I69" s="497">
        <f t="shared" si="12"/>
        <v>7410000</v>
      </c>
      <c r="J69" s="497">
        <f>J67+J68</f>
        <v>0</v>
      </c>
      <c r="K69" s="497">
        <f>K67+K68</f>
        <v>7410000</v>
      </c>
      <c r="L69" s="497">
        <f t="shared" si="14"/>
        <v>0</v>
      </c>
      <c r="M69" s="497">
        <f>M67+M68</f>
        <v>0</v>
      </c>
      <c r="N69" s="497">
        <f>N67+N68</f>
        <v>0</v>
      </c>
    </row>
    <row r="70" spans="1:14" s="458" customFormat="1" ht="15" hidden="1" customHeight="1">
      <c r="A70" s="1117" t="s">
        <v>264</v>
      </c>
      <c r="B70" s="1118"/>
      <c r="C70" s="1118"/>
      <c r="D70" s="1118"/>
      <c r="E70" s="1118"/>
      <c r="F70" s="1118"/>
      <c r="G70" s="519" t="s">
        <v>5</v>
      </c>
      <c r="H70" s="520">
        <f t="shared" si="11"/>
        <v>20240000</v>
      </c>
      <c r="I70" s="521">
        <f t="shared" si="12"/>
        <v>20240000</v>
      </c>
      <c r="J70" s="521">
        <f t="shared" ref="J70:K72" si="16">J73</f>
        <v>0</v>
      </c>
      <c r="K70" s="521">
        <f t="shared" si="16"/>
        <v>20240000</v>
      </c>
      <c r="L70" s="521">
        <f t="shared" si="14"/>
        <v>0</v>
      </c>
      <c r="M70" s="521">
        <f t="shared" ref="M70:N72" si="17">M73</f>
        <v>0</v>
      </c>
      <c r="N70" s="521">
        <f t="shared" si="17"/>
        <v>0</v>
      </c>
    </row>
    <row r="71" spans="1:14" s="458" customFormat="1" ht="15" hidden="1" customHeight="1">
      <c r="A71" s="1119"/>
      <c r="B71" s="1120"/>
      <c r="C71" s="1120"/>
      <c r="D71" s="1120"/>
      <c r="E71" s="1120"/>
      <c r="F71" s="1120"/>
      <c r="G71" s="519" t="s">
        <v>6</v>
      </c>
      <c r="H71" s="520">
        <f t="shared" si="11"/>
        <v>0</v>
      </c>
      <c r="I71" s="521">
        <f t="shared" si="12"/>
        <v>0</v>
      </c>
      <c r="J71" s="521">
        <f t="shared" si="16"/>
        <v>0</v>
      </c>
      <c r="K71" s="521">
        <f t="shared" si="16"/>
        <v>0</v>
      </c>
      <c r="L71" s="521">
        <f t="shared" si="14"/>
        <v>0</v>
      </c>
      <c r="M71" s="521">
        <f t="shared" si="17"/>
        <v>0</v>
      </c>
      <c r="N71" s="521">
        <f t="shared" si="17"/>
        <v>0</v>
      </c>
    </row>
    <row r="72" spans="1:14" s="458" customFormat="1" ht="15" hidden="1" customHeight="1">
      <c r="A72" s="1121"/>
      <c r="B72" s="1122"/>
      <c r="C72" s="1122"/>
      <c r="D72" s="1122"/>
      <c r="E72" s="1122"/>
      <c r="F72" s="1122"/>
      <c r="G72" s="519" t="s">
        <v>7</v>
      </c>
      <c r="H72" s="520">
        <f t="shared" si="11"/>
        <v>20240000</v>
      </c>
      <c r="I72" s="521">
        <f t="shared" si="12"/>
        <v>20240000</v>
      </c>
      <c r="J72" s="521">
        <f t="shared" si="16"/>
        <v>0</v>
      </c>
      <c r="K72" s="521">
        <f t="shared" si="16"/>
        <v>20240000</v>
      </c>
      <c r="L72" s="521">
        <f t="shared" si="14"/>
        <v>0</v>
      </c>
      <c r="M72" s="521">
        <f t="shared" si="17"/>
        <v>0</v>
      </c>
      <c r="N72" s="521">
        <f t="shared" si="17"/>
        <v>0</v>
      </c>
    </row>
    <row r="73" spans="1:14" s="448" customFormat="1" ht="15" hidden="1" customHeight="1">
      <c r="A73" s="1029" t="s">
        <v>261</v>
      </c>
      <c r="B73" s="1030"/>
      <c r="C73" s="1031" t="s">
        <v>262</v>
      </c>
      <c r="D73" s="1032"/>
      <c r="E73" s="1014" t="s">
        <v>960</v>
      </c>
      <c r="F73" s="1015"/>
      <c r="G73" s="495" t="s">
        <v>5</v>
      </c>
      <c r="H73" s="496">
        <f t="shared" si="11"/>
        <v>20240000</v>
      </c>
      <c r="I73" s="497">
        <f t="shared" si="12"/>
        <v>20240000</v>
      </c>
      <c r="J73" s="497">
        <v>0</v>
      </c>
      <c r="K73" s="497">
        <v>20240000</v>
      </c>
      <c r="L73" s="497">
        <f t="shared" si="14"/>
        <v>0</v>
      </c>
      <c r="M73" s="497">
        <v>0</v>
      </c>
      <c r="N73" s="497">
        <v>0</v>
      </c>
    </row>
    <row r="74" spans="1:14" s="448" customFormat="1" ht="15" hidden="1" customHeight="1">
      <c r="A74" s="1025"/>
      <c r="B74" s="1026"/>
      <c r="C74" s="1027"/>
      <c r="D74" s="1028"/>
      <c r="E74" s="1102"/>
      <c r="F74" s="1103"/>
      <c r="G74" s="495" t="s">
        <v>6</v>
      </c>
      <c r="H74" s="496">
        <f t="shared" si="11"/>
        <v>0</v>
      </c>
      <c r="I74" s="497">
        <f t="shared" si="12"/>
        <v>0</v>
      </c>
      <c r="J74" s="497">
        <v>0</v>
      </c>
      <c r="K74" s="497">
        <v>0</v>
      </c>
      <c r="L74" s="497">
        <f t="shared" si="14"/>
        <v>0</v>
      </c>
      <c r="M74" s="497">
        <v>0</v>
      </c>
      <c r="N74" s="497">
        <v>0</v>
      </c>
    </row>
    <row r="75" spans="1:14" s="448" customFormat="1" ht="15" hidden="1" customHeight="1">
      <c r="A75" s="1033"/>
      <c r="B75" s="1034"/>
      <c r="C75" s="1035"/>
      <c r="D75" s="1036"/>
      <c r="E75" s="1104"/>
      <c r="F75" s="1105"/>
      <c r="G75" s="495" t="s">
        <v>7</v>
      </c>
      <c r="H75" s="496">
        <f t="shared" si="11"/>
        <v>20240000</v>
      </c>
      <c r="I75" s="497">
        <f t="shared" si="12"/>
        <v>20240000</v>
      </c>
      <c r="J75" s="497">
        <f>J73+J74</f>
        <v>0</v>
      </c>
      <c r="K75" s="497">
        <f>K73+K74</f>
        <v>20240000</v>
      </c>
      <c r="L75" s="497">
        <f t="shared" si="14"/>
        <v>0</v>
      </c>
      <c r="M75" s="497">
        <f>M73+M74</f>
        <v>0</v>
      </c>
      <c r="N75" s="497">
        <f>N73+N74</f>
        <v>0</v>
      </c>
    </row>
    <row r="76" spans="1:14" s="458" customFormat="1" ht="15" hidden="1" customHeight="1">
      <c r="A76" s="1117" t="s">
        <v>325</v>
      </c>
      <c r="B76" s="1118"/>
      <c r="C76" s="1118"/>
      <c r="D76" s="1118"/>
      <c r="E76" s="1118"/>
      <c r="F76" s="1118"/>
      <c r="G76" s="519" t="s">
        <v>5</v>
      </c>
      <c r="H76" s="520">
        <f t="shared" si="11"/>
        <v>2000000</v>
      </c>
      <c r="I76" s="521">
        <f t="shared" si="12"/>
        <v>2000000</v>
      </c>
      <c r="J76" s="521">
        <f t="shared" ref="J76:K78" si="18">J79</f>
        <v>0</v>
      </c>
      <c r="K76" s="521">
        <f t="shared" si="18"/>
        <v>2000000</v>
      </c>
      <c r="L76" s="521">
        <f t="shared" si="14"/>
        <v>0</v>
      </c>
      <c r="M76" s="521">
        <f t="shared" ref="M76:N78" si="19">M79</f>
        <v>0</v>
      </c>
      <c r="N76" s="521">
        <f t="shared" si="19"/>
        <v>0</v>
      </c>
    </row>
    <row r="77" spans="1:14" s="458" customFormat="1" ht="15" hidden="1" customHeight="1">
      <c r="A77" s="1119"/>
      <c r="B77" s="1120"/>
      <c r="C77" s="1120"/>
      <c r="D77" s="1120"/>
      <c r="E77" s="1120"/>
      <c r="F77" s="1120"/>
      <c r="G77" s="519" t="s">
        <v>6</v>
      </c>
      <c r="H77" s="520">
        <f t="shared" si="11"/>
        <v>0</v>
      </c>
      <c r="I77" s="521">
        <f t="shared" si="12"/>
        <v>0</v>
      </c>
      <c r="J77" s="521">
        <f t="shared" si="18"/>
        <v>0</v>
      </c>
      <c r="K77" s="521">
        <f t="shared" si="18"/>
        <v>0</v>
      </c>
      <c r="L77" s="521">
        <f t="shared" si="14"/>
        <v>0</v>
      </c>
      <c r="M77" s="521">
        <f t="shared" si="19"/>
        <v>0</v>
      </c>
      <c r="N77" s="521">
        <f t="shared" si="19"/>
        <v>0</v>
      </c>
    </row>
    <row r="78" spans="1:14" s="458" customFormat="1" ht="15" hidden="1" customHeight="1">
      <c r="A78" s="1121"/>
      <c r="B78" s="1122"/>
      <c r="C78" s="1122"/>
      <c r="D78" s="1122"/>
      <c r="E78" s="1122"/>
      <c r="F78" s="1122"/>
      <c r="G78" s="519" t="s">
        <v>7</v>
      </c>
      <c r="H78" s="520">
        <f t="shared" si="11"/>
        <v>2000000</v>
      </c>
      <c r="I78" s="521">
        <f t="shared" si="12"/>
        <v>2000000</v>
      </c>
      <c r="J78" s="521">
        <f t="shared" si="18"/>
        <v>0</v>
      </c>
      <c r="K78" s="521">
        <f t="shared" si="18"/>
        <v>2000000</v>
      </c>
      <c r="L78" s="521">
        <f t="shared" si="14"/>
        <v>0</v>
      </c>
      <c r="M78" s="521">
        <f t="shared" si="19"/>
        <v>0</v>
      </c>
      <c r="N78" s="521">
        <f t="shared" si="19"/>
        <v>0</v>
      </c>
    </row>
    <row r="79" spans="1:14" s="448" customFormat="1" ht="15" hidden="1" customHeight="1">
      <c r="A79" s="1029" t="s">
        <v>261</v>
      </c>
      <c r="B79" s="1030"/>
      <c r="C79" s="1031" t="s">
        <v>262</v>
      </c>
      <c r="D79" s="1032"/>
      <c r="E79" s="1014" t="s">
        <v>960</v>
      </c>
      <c r="F79" s="1015"/>
      <c r="G79" s="495" t="s">
        <v>5</v>
      </c>
      <c r="H79" s="496">
        <f t="shared" si="11"/>
        <v>2000000</v>
      </c>
      <c r="I79" s="497">
        <f t="shared" si="12"/>
        <v>2000000</v>
      </c>
      <c r="J79" s="497">
        <v>0</v>
      </c>
      <c r="K79" s="497">
        <v>2000000</v>
      </c>
      <c r="L79" s="497">
        <f t="shared" si="14"/>
        <v>0</v>
      </c>
      <c r="M79" s="497">
        <v>0</v>
      </c>
      <c r="N79" s="497">
        <v>0</v>
      </c>
    </row>
    <row r="80" spans="1:14" s="448" customFormat="1" ht="15" hidden="1" customHeight="1">
      <c r="A80" s="1025"/>
      <c r="B80" s="1138"/>
      <c r="C80" s="1027"/>
      <c r="D80" s="1138"/>
      <c r="E80" s="1016"/>
      <c r="F80" s="1017"/>
      <c r="G80" s="495" t="s">
        <v>6</v>
      </c>
      <c r="H80" s="496">
        <f t="shared" si="11"/>
        <v>0</v>
      </c>
      <c r="I80" s="497">
        <f t="shared" si="12"/>
        <v>0</v>
      </c>
      <c r="J80" s="497">
        <v>0</v>
      </c>
      <c r="K80" s="497">
        <v>0</v>
      </c>
      <c r="L80" s="497">
        <f t="shared" si="14"/>
        <v>0</v>
      </c>
      <c r="M80" s="497">
        <v>0</v>
      </c>
      <c r="N80" s="497">
        <v>0</v>
      </c>
    </row>
    <row r="81" spans="1:14" s="448" customFormat="1" ht="15" hidden="1" customHeight="1">
      <c r="A81" s="1033"/>
      <c r="B81" s="1139"/>
      <c r="C81" s="1035"/>
      <c r="D81" s="1139"/>
      <c r="E81" s="1018"/>
      <c r="F81" s="1019"/>
      <c r="G81" s="495" t="s">
        <v>7</v>
      </c>
      <c r="H81" s="496">
        <f t="shared" si="11"/>
        <v>2000000</v>
      </c>
      <c r="I81" s="497">
        <f t="shared" si="12"/>
        <v>2000000</v>
      </c>
      <c r="J81" s="497">
        <f>J79+J80</f>
        <v>0</v>
      </c>
      <c r="K81" s="497">
        <f>K79+K80</f>
        <v>2000000</v>
      </c>
      <c r="L81" s="497">
        <f t="shared" si="14"/>
        <v>0</v>
      </c>
      <c r="M81" s="497">
        <f>M79+M80</f>
        <v>0</v>
      </c>
      <c r="N81" s="497">
        <f>N79+N80</f>
        <v>0</v>
      </c>
    </row>
    <row r="82" spans="1:14" s="458" customFormat="1" ht="15" hidden="1" customHeight="1">
      <c r="A82" s="1117" t="s">
        <v>961</v>
      </c>
      <c r="B82" s="1118"/>
      <c r="C82" s="1118"/>
      <c r="D82" s="1118"/>
      <c r="E82" s="1118"/>
      <c r="F82" s="1118"/>
      <c r="G82" s="519" t="s">
        <v>5</v>
      </c>
      <c r="H82" s="520">
        <f t="shared" si="11"/>
        <v>10016500</v>
      </c>
      <c r="I82" s="521">
        <f t="shared" si="12"/>
        <v>10016500</v>
      </c>
      <c r="J82" s="521">
        <f t="shared" ref="J82:K84" si="20">J85+J88</f>
        <v>0</v>
      </c>
      <c r="K82" s="521">
        <f t="shared" si="20"/>
        <v>10016500</v>
      </c>
      <c r="L82" s="521">
        <f t="shared" si="14"/>
        <v>0</v>
      </c>
      <c r="M82" s="521">
        <f t="shared" ref="M82:N84" si="21">M85+M88</f>
        <v>0</v>
      </c>
      <c r="N82" s="521">
        <f t="shared" si="21"/>
        <v>0</v>
      </c>
    </row>
    <row r="83" spans="1:14" s="458" customFormat="1" ht="15" hidden="1" customHeight="1">
      <c r="A83" s="1119"/>
      <c r="B83" s="1120"/>
      <c r="C83" s="1120"/>
      <c r="D83" s="1120"/>
      <c r="E83" s="1120"/>
      <c r="F83" s="1120"/>
      <c r="G83" s="519" t="s">
        <v>6</v>
      </c>
      <c r="H83" s="520">
        <f t="shared" si="11"/>
        <v>0</v>
      </c>
      <c r="I83" s="521">
        <f t="shared" si="12"/>
        <v>0</v>
      </c>
      <c r="J83" s="521">
        <f t="shared" si="20"/>
        <v>0</v>
      </c>
      <c r="K83" s="521">
        <f t="shared" si="20"/>
        <v>0</v>
      </c>
      <c r="L83" s="521">
        <f t="shared" si="14"/>
        <v>0</v>
      </c>
      <c r="M83" s="521">
        <f t="shared" si="21"/>
        <v>0</v>
      </c>
      <c r="N83" s="521">
        <f t="shared" si="21"/>
        <v>0</v>
      </c>
    </row>
    <row r="84" spans="1:14" s="458" customFormat="1" ht="15" hidden="1" customHeight="1">
      <c r="A84" s="1121"/>
      <c r="B84" s="1122"/>
      <c r="C84" s="1122"/>
      <c r="D84" s="1122"/>
      <c r="E84" s="1122"/>
      <c r="F84" s="1122"/>
      <c r="G84" s="519" t="s">
        <v>7</v>
      </c>
      <c r="H84" s="520">
        <f t="shared" si="11"/>
        <v>10016500</v>
      </c>
      <c r="I84" s="521">
        <f t="shared" si="12"/>
        <v>10016500</v>
      </c>
      <c r="J84" s="521">
        <f t="shared" si="20"/>
        <v>0</v>
      </c>
      <c r="K84" s="521">
        <f t="shared" si="20"/>
        <v>10016500</v>
      </c>
      <c r="L84" s="521">
        <f t="shared" si="14"/>
        <v>0</v>
      </c>
      <c r="M84" s="521">
        <f t="shared" si="21"/>
        <v>0</v>
      </c>
      <c r="N84" s="521">
        <f t="shared" si="21"/>
        <v>0</v>
      </c>
    </row>
    <row r="85" spans="1:14" s="448" customFormat="1" ht="15" hidden="1" customHeight="1">
      <c r="A85" s="1029" t="s">
        <v>261</v>
      </c>
      <c r="B85" s="1030"/>
      <c r="C85" s="1031" t="s">
        <v>360</v>
      </c>
      <c r="D85" s="1032"/>
      <c r="E85" s="1014" t="s">
        <v>960</v>
      </c>
      <c r="F85" s="1015"/>
      <c r="G85" s="495" t="s">
        <v>5</v>
      </c>
      <c r="H85" s="496">
        <f t="shared" si="11"/>
        <v>9951500</v>
      </c>
      <c r="I85" s="497">
        <f t="shared" si="12"/>
        <v>9951500</v>
      </c>
      <c r="J85" s="497">
        <v>0</v>
      </c>
      <c r="K85" s="497">
        <v>9951500</v>
      </c>
      <c r="L85" s="497">
        <f t="shared" si="14"/>
        <v>0</v>
      </c>
      <c r="M85" s="497">
        <v>0</v>
      </c>
      <c r="N85" s="497">
        <v>0</v>
      </c>
    </row>
    <row r="86" spans="1:14" s="448" customFormat="1" ht="15" hidden="1" customHeight="1">
      <c r="A86" s="1025"/>
      <c r="B86" s="1026"/>
      <c r="C86" s="1027"/>
      <c r="D86" s="1028"/>
      <c r="E86" s="1016"/>
      <c r="F86" s="1017"/>
      <c r="G86" s="495" t="s">
        <v>6</v>
      </c>
      <c r="H86" s="496">
        <f t="shared" si="11"/>
        <v>0</v>
      </c>
      <c r="I86" s="497">
        <f t="shared" si="12"/>
        <v>0</v>
      </c>
      <c r="J86" s="497">
        <v>0</v>
      </c>
      <c r="K86" s="497">
        <v>0</v>
      </c>
      <c r="L86" s="497">
        <f t="shared" si="14"/>
        <v>0</v>
      </c>
      <c r="M86" s="497">
        <v>0</v>
      </c>
      <c r="N86" s="497">
        <v>0</v>
      </c>
    </row>
    <row r="87" spans="1:14" s="448" customFormat="1" ht="15" hidden="1" customHeight="1">
      <c r="A87" s="1025"/>
      <c r="B87" s="1026"/>
      <c r="C87" s="1027"/>
      <c r="D87" s="1028"/>
      <c r="E87" s="1018"/>
      <c r="F87" s="1019"/>
      <c r="G87" s="495" t="s">
        <v>7</v>
      </c>
      <c r="H87" s="496">
        <f t="shared" si="11"/>
        <v>9951500</v>
      </c>
      <c r="I87" s="497">
        <f t="shared" si="12"/>
        <v>9951500</v>
      </c>
      <c r="J87" s="497">
        <f>J85+J86</f>
        <v>0</v>
      </c>
      <c r="K87" s="497">
        <f>K85+K86</f>
        <v>9951500</v>
      </c>
      <c r="L87" s="497">
        <f t="shared" si="14"/>
        <v>0</v>
      </c>
      <c r="M87" s="497">
        <f>M85+M86</f>
        <v>0</v>
      </c>
      <c r="N87" s="497">
        <f>N85+N86</f>
        <v>0</v>
      </c>
    </row>
    <row r="88" spans="1:14" s="448" customFormat="1" ht="15" hidden="1" customHeight="1">
      <c r="A88" s="1025"/>
      <c r="B88" s="1026"/>
      <c r="C88" s="1027"/>
      <c r="D88" s="1028"/>
      <c r="E88" s="1014" t="s">
        <v>962</v>
      </c>
      <c r="F88" s="1015"/>
      <c r="G88" s="495" t="s">
        <v>5</v>
      </c>
      <c r="H88" s="496">
        <f t="shared" si="11"/>
        <v>65000</v>
      </c>
      <c r="I88" s="497">
        <f t="shared" si="12"/>
        <v>65000</v>
      </c>
      <c r="J88" s="497">
        <v>0</v>
      </c>
      <c r="K88" s="497">
        <v>65000</v>
      </c>
      <c r="L88" s="497">
        <f t="shared" si="14"/>
        <v>0</v>
      </c>
      <c r="M88" s="497">
        <v>0</v>
      </c>
      <c r="N88" s="497">
        <v>0</v>
      </c>
    </row>
    <row r="89" spans="1:14" s="448" customFormat="1" ht="15" hidden="1" customHeight="1">
      <c r="A89" s="1025"/>
      <c r="B89" s="1026"/>
      <c r="C89" s="1027"/>
      <c r="D89" s="1028"/>
      <c r="E89" s="1016"/>
      <c r="F89" s="1017"/>
      <c r="G89" s="495" t="s">
        <v>6</v>
      </c>
      <c r="H89" s="496">
        <f t="shared" si="11"/>
        <v>0</v>
      </c>
      <c r="I89" s="497">
        <f t="shared" si="12"/>
        <v>0</v>
      </c>
      <c r="J89" s="497">
        <v>0</v>
      </c>
      <c r="K89" s="497">
        <v>0</v>
      </c>
      <c r="L89" s="497">
        <f t="shared" si="14"/>
        <v>0</v>
      </c>
      <c r="M89" s="497">
        <v>0</v>
      </c>
      <c r="N89" s="497">
        <v>0</v>
      </c>
    </row>
    <row r="90" spans="1:14" s="448" customFormat="1" ht="15" hidden="1" customHeight="1">
      <c r="A90" s="1033"/>
      <c r="B90" s="1034"/>
      <c r="C90" s="1035"/>
      <c r="D90" s="1036"/>
      <c r="E90" s="1018"/>
      <c r="F90" s="1019"/>
      <c r="G90" s="495" t="s">
        <v>7</v>
      </c>
      <c r="H90" s="496">
        <f t="shared" si="11"/>
        <v>65000</v>
      </c>
      <c r="I90" s="497">
        <f t="shared" si="12"/>
        <v>65000</v>
      </c>
      <c r="J90" s="497">
        <f>J88+J89</f>
        <v>0</v>
      </c>
      <c r="K90" s="497">
        <f>K88+K89</f>
        <v>65000</v>
      </c>
      <c r="L90" s="497">
        <f t="shared" si="14"/>
        <v>0</v>
      </c>
      <c r="M90" s="497">
        <f>M88+M89</f>
        <v>0</v>
      </c>
      <c r="N90" s="497">
        <f>N88+N89</f>
        <v>0</v>
      </c>
    </row>
    <row r="91" spans="1:14" s="458" customFormat="1" ht="15" hidden="1" customHeight="1">
      <c r="A91" s="1117" t="s">
        <v>963</v>
      </c>
      <c r="B91" s="1118"/>
      <c r="C91" s="1118"/>
      <c r="D91" s="1118"/>
      <c r="E91" s="1118"/>
      <c r="F91" s="1118"/>
      <c r="G91" s="519" t="s">
        <v>5</v>
      </c>
      <c r="H91" s="520">
        <f t="shared" si="11"/>
        <v>2100000</v>
      </c>
      <c r="I91" s="521">
        <f t="shared" si="12"/>
        <v>2100000</v>
      </c>
      <c r="J91" s="521">
        <f t="shared" ref="J91:K93" si="22">J94</f>
        <v>0</v>
      </c>
      <c r="K91" s="521">
        <f t="shared" si="22"/>
        <v>2100000</v>
      </c>
      <c r="L91" s="521">
        <f t="shared" si="14"/>
        <v>0</v>
      </c>
      <c r="M91" s="521">
        <f t="shared" ref="M91:N93" si="23">M94</f>
        <v>0</v>
      </c>
      <c r="N91" s="521">
        <f t="shared" si="23"/>
        <v>0</v>
      </c>
    </row>
    <row r="92" spans="1:14" s="458" customFormat="1" ht="15" hidden="1" customHeight="1">
      <c r="A92" s="1119"/>
      <c r="B92" s="1120"/>
      <c r="C92" s="1120"/>
      <c r="D92" s="1120"/>
      <c r="E92" s="1120"/>
      <c r="F92" s="1120"/>
      <c r="G92" s="519" t="s">
        <v>6</v>
      </c>
      <c r="H92" s="520">
        <f t="shared" si="11"/>
        <v>0</v>
      </c>
      <c r="I92" s="521">
        <f t="shared" si="12"/>
        <v>0</v>
      </c>
      <c r="J92" s="521">
        <f t="shared" si="22"/>
        <v>0</v>
      </c>
      <c r="K92" s="521">
        <f t="shared" si="22"/>
        <v>0</v>
      </c>
      <c r="L92" s="521">
        <f t="shared" si="14"/>
        <v>0</v>
      </c>
      <c r="M92" s="521">
        <f t="shared" si="23"/>
        <v>0</v>
      </c>
      <c r="N92" s="521">
        <f t="shared" si="23"/>
        <v>0</v>
      </c>
    </row>
    <row r="93" spans="1:14" s="458" customFormat="1" ht="15" hidden="1" customHeight="1">
      <c r="A93" s="1121"/>
      <c r="B93" s="1122"/>
      <c r="C93" s="1122"/>
      <c r="D93" s="1122"/>
      <c r="E93" s="1122"/>
      <c r="F93" s="1122"/>
      <c r="G93" s="519" t="s">
        <v>7</v>
      </c>
      <c r="H93" s="520">
        <f t="shared" si="11"/>
        <v>2100000</v>
      </c>
      <c r="I93" s="521">
        <f t="shared" si="12"/>
        <v>2100000</v>
      </c>
      <c r="J93" s="521">
        <f t="shared" si="22"/>
        <v>0</v>
      </c>
      <c r="K93" s="521">
        <f t="shared" si="22"/>
        <v>2100000</v>
      </c>
      <c r="L93" s="521">
        <f t="shared" si="14"/>
        <v>0</v>
      </c>
      <c r="M93" s="521">
        <f t="shared" si="23"/>
        <v>0</v>
      </c>
      <c r="N93" s="521">
        <f t="shared" si="23"/>
        <v>0</v>
      </c>
    </row>
    <row r="94" spans="1:14" s="448" customFormat="1" ht="15" hidden="1" customHeight="1">
      <c r="A94" s="1029" t="s">
        <v>261</v>
      </c>
      <c r="B94" s="1030"/>
      <c r="C94" s="1031" t="s">
        <v>267</v>
      </c>
      <c r="D94" s="1032"/>
      <c r="E94" s="1014" t="s">
        <v>960</v>
      </c>
      <c r="F94" s="1015"/>
      <c r="G94" s="495" t="s">
        <v>5</v>
      </c>
      <c r="H94" s="496">
        <f t="shared" si="11"/>
        <v>2100000</v>
      </c>
      <c r="I94" s="497">
        <f t="shared" si="12"/>
        <v>2100000</v>
      </c>
      <c r="J94" s="497">
        <v>0</v>
      </c>
      <c r="K94" s="497">
        <v>2100000</v>
      </c>
      <c r="L94" s="497">
        <f t="shared" si="14"/>
        <v>0</v>
      </c>
      <c r="M94" s="497">
        <v>0</v>
      </c>
      <c r="N94" s="497">
        <v>0</v>
      </c>
    </row>
    <row r="95" spans="1:14" s="448" customFormat="1" ht="15" hidden="1" customHeight="1">
      <c r="A95" s="1025"/>
      <c r="B95" s="1026"/>
      <c r="C95" s="1027"/>
      <c r="D95" s="1028"/>
      <c r="E95" s="1016"/>
      <c r="F95" s="1017"/>
      <c r="G95" s="495" t="s">
        <v>6</v>
      </c>
      <c r="H95" s="496">
        <f t="shared" si="11"/>
        <v>0</v>
      </c>
      <c r="I95" s="497">
        <f t="shared" si="12"/>
        <v>0</v>
      </c>
      <c r="J95" s="497">
        <v>0</v>
      </c>
      <c r="K95" s="497">
        <v>0</v>
      </c>
      <c r="L95" s="497">
        <f t="shared" si="14"/>
        <v>0</v>
      </c>
      <c r="M95" s="497">
        <v>0</v>
      </c>
      <c r="N95" s="497">
        <v>0</v>
      </c>
    </row>
    <row r="96" spans="1:14" s="448" customFormat="1" ht="15" hidden="1" customHeight="1">
      <c r="A96" s="1033"/>
      <c r="B96" s="1034"/>
      <c r="C96" s="1035"/>
      <c r="D96" s="1036"/>
      <c r="E96" s="1018"/>
      <c r="F96" s="1019"/>
      <c r="G96" s="495" t="s">
        <v>7</v>
      </c>
      <c r="H96" s="496">
        <f t="shared" si="11"/>
        <v>2100000</v>
      </c>
      <c r="I96" s="497">
        <f t="shared" si="12"/>
        <v>2100000</v>
      </c>
      <c r="J96" s="497">
        <f>J94+J95</f>
        <v>0</v>
      </c>
      <c r="K96" s="497">
        <f>K94+K95</f>
        <v>2100000</v>
      </c>
      <c r="L96" s="497">
        <f t="shared" si="14"/>
        <v>0</v>
      </c>
      <c r="M96" s="497">
        <f>M94+M95</f>
        <v>0</v>
      </c>
      <c r="N96" s="497">
        <f>N94+N95</f>
        <v>0</v>
      </c>
    </row>
    <row r="97" spans="1:14" s="458" customFormat="1" ht="15" hidden="1" customHeight="1">
      <c r="A97" s="1117" t="s">
        <v>330</v>
      </c>
      <c r="B97" s="1118"/>
      <c r="C97" s="1118"/>
      <c r="D97" s="1118"/>
      <c r="E97" s="1118"/>
      <c r="F97" s="1118"/>
      <c r="G97" s="519" t="s">
        <v>5</v>
      </c>
      <c r="H97" s="520">
        <f t="shared" si="11"/>
        <v>2801180</v>
      </c>
      <c r="I97" s="521">
        <f t="shared" si="12"/>
        <v>2801180</v>
      </c>
      <c r="J97" s="521">
        <f t="shared" ref="J97:K99" si="24">J100</f>
        <v>0</v>
      </c>
      <c r="K97" s="521">
        <f t="shared" si="24"/>
        <v>2801180</v>
      </c>
      <c r="L97" s="521">
        <f t="shared" si="14"/>
        <v>0</v>
      </c>
      <c r="M97" s="521">
        <f t="shared" ref="M97:N99" si="25">M100</f>
        <v>0</v>
      </c>
      <c r="N97" s="521">
        <f t="shared" si="25"/>
        <v>0</v>
      </c>
    </row>
    <row r="98" spans="1:14" s="458" customFormat="1" ht="15" hidden="1" customHeight="1">
      <c r="A98" s="1119"/>
      <c r="B98" s="1120"/>
      <c r="C98" s="1120"/>
      <c r="D98" s="1120"/>
      <c r="E98" s="1120"/>
      <c r="F98" s="1120"/>
      <c r="G98" s="519" t="s">
        <v>6</v>
      </c>
      <c r="H98" s="520">
        <f t="shared" si="11"/>
        <v>0</v>
      </c>
      <c r="I98" s="521">
        <f t="shared" si="12"/>
        <v>0</v>
      </c>
      <c r="J98" s="521">
        <f t="shared" si="24"/>
        <v>0</v>
      </c>
      <c r="K98" s="521">
        <f t="shared" si="24"/>
        <v>0</v>
      </c>
      <c r="L98" s="521">
        <f t="shared" si="14"/>
        <v>0</v>
      </c>
      <c r="M98" s="521">
        <f t="shared" si="25"/>
        <v>0</v>
      </c>
      <c r="N98" s="521">
        <f t="shared" si="25"/>
        <v>0</v>
      </c>
    </row>
    <row r="99" spans="1:14" s="458" customFormat="1" ht="15" hidden="1" customHeight="1">
      <c r="A99" s="1121"/>
      <c r="B99" s="1122"/>
      <c r="C99" s="1122"/>
      <c r="D99" s="1122"/>
      <c r="E99" s="1122"/>
      <c r="F99" s="1122"/>
      <c r="G99" s="519" t="s">
        <v>7</v>
      </c>
      <c r="H99" s="520">
        <f t="shared" si="11"/>
        <v>2801180</v>
      </c>
      <c r="I99" s="521">
        <f t="shared" si="12"/>
        <v>2801180</v>
      </c>
      <c r="J99" s="521">
        <f t="shared" si="24"/>
        <v>0</v>
      </c>
      <c r="K99" s="521">
        <f t="shared" si="24"/>
        <v>2801180</v>
      </c>
      <c r="L99" s="521">
        <f t="shared" si="14"/>
        <v>0</v>
      </c>
      <c r="M99" s="521">
        <f t="shared" si="25"/>
        <v>0</v>
      </c>
      <c r="N99" s="521">
        <f t="shared" si="25"/>
        <v>0</v>
      </c>
    </row>
    <row r="100" spans="1:14" s="448" customFormat="1" ht="15" hidden="1" customHeight="1">
      <c r="A100" s="1029" t="s">
        <v>261</v>
      </c>
      <c r="B100" s="1030"/>
      <c r="C100" s="1031" t="s">
        <v>267</v>
      </c>
      <c r="D100" s="1032"/>
      <c r="E100" s="1014" t="s">
        <v>960</v>
      </c>
      <c r="F100" s="1015"/>
      <c r="G100" s="495" t="s">
        <v>5</v>
      </c>
      <c r="H100" s="496">
        <f t="shared" si="11"/>
        <v>2801180</v>
      </c>
      <c r="I100" s="497">
        <f t="shared" si="12"/>
        <v>2801180</v>
      </c>
      <c r="J100" s="497">
        <v>0</v>
      </c>
      <c r="K100" s="497">
        <v>2801180</v>
      </c>
      <c r="L100" s="497">
        <f t="shared" si="14"/>
        <v>0</v>
      </c>
      <c r="M100" s="497">
        <v>0</v>
      </c>
      <c r="N100" s="497">
        <v>0</v>
      </c>
    </row>
    <row r="101" spans="1:14" s="448" customFormat="1" ht="15" hidden="1" customHeight="1">
      <c r="A101" s="1025"/>
      <c r="B101" s="1026"/>
      <c r="C101" s="1027"/>
      <c r="D101" s="1028"/>
      <c r="E101" s="1016"/>
      <c r="F101" s="1017"/>
      <c r="G101" s="495" t="s">
        <v>6</v>
      </c>
      <c r="H101" s="496">
        <f t="shared" si="11"/>
        <v>0</v>
      </c>
      <c r="I101" s="497">
        <f t="shared" si="12"/>
        <v>0</v>
      </c>
      <c r="J101" s="497">
        <v>0</v>
      </c>
      <c r="K101" s="497">
        <v>0</v>
      </c>
      <c r="L101" s="497">
        <f t="shared" si="14"/>
        <v>0</v>
      </c>
      <c r="M101" s="497">
        <v>0</v>
      </c>
      <c r="N101" s="497">
        <v>0</v>
      </c>
    </row>
    <row r="102" spans="1:14" s="448" customFormat="1" ht="15" hidden="1" customHeight="1">
      <c r="A102" s="1033"/>
      <c r="B102" s="1034"/>
      <c r="C102" s="1035"/>
      <c r="D102" s="1036"/>
      <c r="E102" s="1018"/>
      <c r="F102" s="1019"/>
      <c r="G102" s="495" t="s">
        <v>7</v>
      </c>
      <c r="H102" s="496">
        <f t="shared" si="11"/>
        <v>2801180</v>
      </c>
      <c r="I102" s="497">
        <f t="shared" si="12"/>
        <v>2801180</v>
      </c>
      <c r="J102" s="497">
        <f>J100+J101</f>
        <v>0</v>
      </c>
      <c r="K102" s="497">
        <f>K100+K101</f>
        <v>2801180</v>
      </c>
      <c r="L102" s="497">
        <f t="shared" si="14"/>
        <v>0</v>
      </c>
      <c r="M102" s="497">
        <f>M100+M101</f>
        <v>0</v>
      </c>
      <c r="N102" s="497">
        <f>N100+N101</f>
        <v>0</v>
      </c>
    </row>
    <row r="103" spans="1:14" s="458" customFormat="1" ht="15" hidden="1" customHeight="1">
      <c r="A103" s="1117" t="s">
        <v>964</v>
      </c>
      <c r="B103" s="1118"/>
      <c r="C103" s="1118"/>
      <c r="D103" s="1118"/>
      <c r="E103" s="1118"/>
      <c r="F103" s="1118"/>
      <c r="G103" s="519" t="s">
        <v>5</v>
      </c>
      <c r="H103" s="520">
        <f t="shared" si="11"/>
        <v>537000</v>
      </c>
      <c r="I103" s="521">
        <f t="shared" si="12"/>
        <v>537000</v>
      </c>
      <c r="J103" s="521">
        <f t="shared" ref="J103:K105" si="26">J106</f>
        <v>0</v>
      </c>
      <c r="K103" s="521">
        <f t="shared" si="26"/>
        <v>537000</v>
      </c>
      <c r="L103" s="521">
        <f t="shared" si="14"/>
        <v>0</v>
      </c>
      <c r="M103" s="521">
        <f t="shared" ref="M103:N105" si="27">M106</f>
        <v>0</v>
      </c>
      <c r="N103" s="521">
        <f t="shared" si="27"/>
        <v>0</v>
      </c>
    </row>
    <row r="104" spans="1:14" s="458" customFormat="1" ht="15" hidden="1" customHeight="1">
      <c r="A104" s="1119"/>
      <c r="B104" s="1120"/>
      <c r="C104" s="1120"/>
      <c r="D104" s="1120"/>
      <c r="E104" s="1120"/>
      <c r="F104" s="1120"/>
      <c r="G104" s="519" t="s">
        <v>6</v>
      </c>
      <c r="H104" s="520">
        <f t="shared" si="11"/>
        <v>0</v>
      </c>
      <c r="I104" s="521">
        <f t="shared" si="12"/>
        <v>0</v>
      </c>
      <c r="J104" s="521">
        <f t="shared" si="26"/>
        <v>0</v>
      </c>
      <c r="K104" s="521">
        <f t="shared" si="26"/>
        <v>0</v>
      </c>
      <c r="L104" s="521">
        <f t="shared" si="14"/>
        <v>0</v>
      </c>
      <c r="M104" s="521">
        <f t="shared" si="27"/>
        <v>0</v>
      </c>
      <c r="N104" s="521">
        <f t="shared" si="27"/>
        <v>0</v>
      </c>
    </row>
    <row r="105" spans="1:14" s="458" customFormat="1" ht="15" hidden="1" customHeight="1">
      <c r="A105" s="1121"/>
      <c r="B105" s="1122"/>
      <c r="C105" s="1122"/>
      <c r="D105" s="1122"/>
      <c r="E105" s="1122"/>
      <c r="F105" s="1122"/>
      <c r="G105" s="519" t="s">
        <v>7</v>
      </c>
      <c r="H105" s="520">
        <f t="shared" si="11"/>
        <v>537000</v>
      </c>
      <c r="I105" s="521">
        <f t="shared" si="12"/>
        <v>537000</v>
      </c>
      <c r="J105" s="521">
        <f t="shared" si="26"/>
        <v>0</v>
      </c>
      <c r="K105" s="521">
        <f t="shared" si="26"/>
        <v>537000</v>
      </c>
      <c r="L105" s="521">
        <f t="shared" si="14"/>
        <v>0</v>
      </c>
      <c r="M105" s="521">
        <f t="shared" si="27"/>
        <v>0</v>
      </c>
      <c r="N105" s="521">
        <f t="shared" si="27"/>
        <v>0</v>
      </c>
    </row>
    <row r="106" spans="1:14" s="448" customFormat="1" ht="15" hidden="1" customHeight="1">
      <c r="A106" s="1029" t="s">
        <v>261</v>
      </c>
      <c r="B106" s="1030"/>
      <c r="C106" s="1031" t="s">
        <v>267</v>
      </c>
      <c r="D106" s="1032"/>
      <c r="E106" s="1014" t="s">
        <v>960</v>
      </c>
      <c r="F106" s="1015"/>
      <c r="G106" s="495" t="s">
        <v>5</v>
      </c>
      <c r="H106" s="496">
        <f t="shared" si="11"/>
        <v>537000</v>
      </c>
      <c r="I106" s="497">
        <f t="shared" si="12"/>
        <v>537000</v>
      </c>
      <c r="J106" s="497">
        <v>0</v>
      </c>
      <c r="K106" s="497">
        <v>537000</v>
      </c>
      <c r="L106" s="497">
        <f t="shared" si="14"/>
        <v>0</v>
      </c>
      <c r="M106" s="497">
        <v>0</v>
      </c>
      <c r="N106" s="497">
        <v>0</v>
      </c>
    </row>
    <row r="107" spans="1:14" s="448" customFormat="1" ht="15" hidden="1" customHeight="1">
      <c r="A107" s="1025"/>
      <c r="B107" s="1026"/>
      <c r="C107" s="1027"/>
      <c r="D107" s="1028"/>
      <c r="E107" s="1016"/>
      <c r="F107" s="1017"/>
      <c r="G107" s="495" t="s">
        <v>6</v>
      </c>
      <c r="H107" s="496">
        <f t="shared" si="11"/>
        <v>0</v>
      </c>
      <c r="I107" s="497">
        <f t="shared" si="12"/>
        <v>0</v>
      </c>
      <c r="J107" s="497">
        <v>0</v>
      </c>
      <c r="K107" s="497">
        <v>0</v>
      </c>
      <c r="L107" s="497">
        <f t="shared" si="14"/>
        <v>0</v>
      </c>
      <c r="M107" s="497">
        <v>0</v>
      </c>
      <c r="N107" s="497">
        <v>0</v>
      </c>
    </row>
    <row r="108" spans="1:14" s="448" customFormat="1" ht="15" hidden="1" customHeight="1">
      <c r="A108" s="1033"/>
      <c r="B108" s="1034"/>
      <c r="C108" s="1035"/>
      <c r="D108" s="1036"/>
      <c r="E108" s="1018"/>
      <c r="F108" s="1019"/>
      <c r="G108" s="495" t="s">
        <v>7</v>
      </c>
      <c r="H108" s="496">
        <f t="shared" si="11"/>
        <v>537000</v>
      </c>
      <c r="I108" s="497">
        <f t="shared" si="12"/>
        <v>537000</v>
      </c>
      <c r="J108" s="497">
        <f>J106+J107</f>
        <v>0</v>
      </c>
      <c r="K108" s="497">
        <f>K106+K107</f>
        <v>537000</v>
      </c>
      <c r="L108" s="497">
        <f t="shared" si="14"/>
        <v>0</v>
      </c>
      <c r="M108" s="497">
        <f>M106+M107</f>
        <v>0</v>
      </c>
      <c r="N108" s="497">
        <f>N106+N107</f>
        <v>0</v>
      </c>
    </row>
    <row r="109" spans="1:14" s="458" customFormat="1" ht="15" hidden="1" customHeight="1">
      <c r="A109" s="1117" t="s">
        <v>269</v>
      </c>
      <c r="B109" s="1118"/>
      <c r="C109" s="1118"/>
      <c r="D109" s="1118"/>
      <c r="E109" s="1118"/>
      <c r="F109" s="1118"/>
      <c r="G109" s="519" t="s">
        <v>5</v>
      </c>
      <c r="H109" s="520">
        <f t="shared" si="11"/>
        <v>997472</v>
      </c>
      <c r="I109" s="521">
        <f t="shared" si="12"/>
        <v>997472</v>
      </c>
      <c r="J109" s="521">
        <f t="shared" ref="J109:K111" si="28">J112+J121</f>
        <v>0</v>
      </c>
      <c r="K109" s="521">
        <f t="shared" si="28"/>
        <v>997472</v>
      </c>
      <c r="L109" s="521">
        <f t="shared" si="14"/>
        <v>0</v>
      </c>
      <c r="M109" s="521">
        <f t="shared" ref="M109:N111" si="29">M112+M121</f>
        <v>0</v>
      </c>
      <c r="N109" s="521">
        <f t="shared" si="29"/>
        <v>0</v>
      </c>
    </row>
    <row r="110" spans="1:14" s="458" customFormat="1" ht="15" hidden="1" customHeight="1">
      <c r="A110" s="1119"/>
      <c r="B110" s="1120"/>
      <c r="C110" s="1120"/>
      <c r="D110" s="1120"/>
      <c r="E110" s="1120"/>
      <c r="F110" s="1120"/>
      <c r="G110" s="519" t="s">
        <v>6</v>
      </c>
      <c r="H110" s="520">
        <f t="shared" si="11"/>
        <v>0</v>
      </c>
      <c r="I110" s="521">
        <f t="shared" si="12"/>
        <v>0</v>
      </c>
      <c r="J110" s="521">
        <f t="shared" si="28"/>
        <v>0</v>
      </c>
      <c r="K110" s="521">
        <f t="shared" si="28"/>
        <v>0</v>
      </c>
      <c r="L110" s="521">
        <f t="shared" si="14"/>
        <v>0</v>
      </c>
      <c r="M110" s="521">
        <f t="shared" si="29"/>
        <v>0</v>
      </c>
      <c r="N110" s="521">
        <f t="shared" si="29"/>
        <v>0</v>
      </c>
    </row>
    <row r="111" spans="1:14" s="458" customFormat="1" ht="15" hidden="1" customHeight="1">
      <c r="A111" s="1121"/>
      <c r="B111" s="1122"/>
      <c r="C111" s="1122"/>
      <c r="D111" s="1122"/>
      <c r="E111" s="1122"/>
      <c r="F111" s="1122"/>
      <c r="G111" s="519" t="s">
        <v>7</v>
      </c>
      <c r="H111" s="520">
        <f t="shared" si="11"/>
        <v>997472</v>
      </c>
      <c r="I111" s="521">
        <f t="shared" si="12"/>
        <v>997472</v>
      </c>
      <c r="J111" s="521">
        <f t="shared" si="28"/>
        <v>0</v>
      </c>
      <c r="K111" s="521">
        <f t="shared" si="28"/>
        <v>997472</v>
      </c>
      <c r="L111" s="521">
        <f t="shared" si="14"/>
        <v>0</v>
      </c>
      <c r="M111" s="521">
        <f t="shared" si="29"/>
        <v>0</v>
      </c>
      <c r="N111" s="521">
        <f t="shared" si="29"/>
        <v>0</v>
      </c>
    </row>
    <row r="112" spans="1:14" s="448" customFormat="1" ht="15" hidden="1" customHeight="1">
      <c r="A112" s="1029" t="s">
        <v>261</v>
      </c>
      <c r="B112" s="1030"/>
      <c r="C112" s="1031" t="s">
        <v>267</v>
      </c>
      <c r="D112" s="1032"/>
      <c r="E112" s="1014" t="s">
        <v>965</v>
      </c>
      <c r="F112" s="1015"/>
      <c r="G112" s="495" t="s">
        <v>5</v>
      </c>
      <c r="H112" s="496">
        <f t="shared" si="11"/>
        <v>942472</v>
      </c>
      <c r="I112" s="497">
        <f t="shared" si="12"/>
        <v>942472</v>
      </c>
      <c r="J112" s="497">
        <f t="shared" ref="J112:K114" si="30">J115+J118</f>
        <v>0</v>
      </c>
      <c r="K112" s="497">
        <f t="shared" si="30"/>
        <v>942472</v>
      </c>
      <c r="L112" s="497">
        <f t="shared" si="14"/>
        <v>0</v>
      </c>
      <c r="M112" s="497">
        <f t="shared" ref="M112:N114" si="31">M115+M118</f>
        <v>0</v>
      </c>
      <c r="N112" s="497">
        <f t="shared" si="31"/>
        <v>0</v>
      </c>
    </row>
    <row r="113" spans="1:14" s="448" customFormat="1" ht="15" hidden="1" customHeight="1">
      <c r="A113" s="1025"/>
      <c r="B113" s="1026"/>
      <c r="C113" s="1027"/>
      <c r="D113" s="1028"/>
      <c r="E113" s="1016"/>
      <c r="F113" s="1017"/>
      <c r="G113" s="495" t="s">
        <v>6</v>
      </c>
      <c r="H113" s="496">
        <f t="shared" si="11"/>
        <v>0</v>
      </c>
      <c r="I113" s="497">
        <f t="shared" si="12"/>
        <v>0</v>
      </c>
      <c r="J113" s="497">
        <f t="shared" si="30"/>
        <v>0</v>
      </c>
      <c r="K113" s="497">
        <f t="shared" si="30"/>
        <v>0</v>
      </c>
      <c r="L113" s="497">
        <f t="shared" si="14"/>
        <v>0</v>
      </c>
      <c r="M113" s="497">
        <f t="shared" si="31"/>
        <v>0</v>
      </c>
      <c r="N113" s="497">
        <f t="shared" si="31"/>
        <v>0</v>
      </c>
    </row>
    <row r="114" spans="1:14" s="448" customFormat="1" ht="15" hidden="1" customHeight="1">
      <c r="A114" s="1025"/>
      <c r="B114" s="1026"/>
      <c r="C114" s="1027"/>
      <c r="D114" s="1028"/>
      <c r="E114" s="1018"/>
      <c r="F114" s="1019"/>
      <c r="G114" s="495" t="s">
        <v>7</v>
      </c>
      <c r="H114" s="496">
        <f t="shared" si="11"/>
        <v>942472</v>
      </c>
      <c r="I114" s="497">
        <f t="shared" si="12"/>
        <v>942472</v>
      </c>
      <c r="J114" s="497">
        <f t="shared" si="30"/>
        <v>0</v>
      </c>
      <c r="K114" s="497">
        <f t="shared" si="30"/>
        <v>942472</v>
      </c>
      <c r="L114" s="497">
        <f t="shared" si="14"/>
        <v>0</v>
      </c>
      <c r="M114" s="497">
        <f t="shared" si="31"/>
        <v>0</v>
      </c>
      <c r="N114" s="497">
        <f t="shared" si="31"/>
        <v>0</v>
      </c>
    </row>
    <row r="115" spans="1:14" s="525" customFormat="1" ht="15" hidden="1" customHeight="1">
      <c r="A115" s="1124"/>
      <c r="B115" s="1125"/>
      <c r="C115" s="1126"/>
      <c r="D115" s="1127"/>
      <c r="E115" s="1128" t="s">
        <v>966</v>
      </c>
      <c r="F115" s="1129"/>
      <c r="G115" s="522" t="s">
        <v>5</v>
      </c>
      <c r="H115" s="523">
        <f t="shared" si="11"/>
        <v>871350</v>
      </c>
      <c r="I115" s="524">
        <f t="shared" si="12"/>
        <v>871350</v>
      </c>
      <c r="J115" s="524">
        <v>0</v>
      </c>
      <c r="K115" s="524">
        <v>871350</v>
      </c>
      <c r="L115" s="524">
        <f t="shared" si="14"/>
        <v>0</v>
      </c>
      <c r="M115" s="524">
        <v>0</v>
      </c>
      <c r="N115" s="524">
        <v>0</v>
      </c>
    </row>
    <row r="116" spans="1:14" s="525" customFormat="1" ht="15" hidden="1" customHeight="1">
      <c r="A116" s="1124"/>
      <c r="B116" s="1125"/>
      <c r="C116" s="1126"/>
      <c r="D116" s="1127"/>
      <c r="E116" s="1130"/>
      <c r="F116" s="1131"/>
      <c r="G116" s="522" t="s">
        <v>6</v>
      </c>
      <c r="H116" s="523">
        <f t="shared" si="11"/>
        <v>0</v>
      </c>
      <c r="I116" s="524">
        <f t="shared" si="12"/>
        <v>0</v>
      </c>
      <c r="J116" s="524">
        <v>0</v>
      </c>
      <c r="K116" s="524">
        <v>0</v>
      </c>
      <c r="L116" s="524">
        <f t="shared" si="14"/>
        <v>0</v>
      </c>
      <c r="M116" s="524">
        <v>0</v>
      </c>
      <c r="N116" s="524">
        <v>0</v>
      </c>
    </row>
    <row r="117" spans="1:14" s="525" customFormat="1" ht="15" hidden="1" customHeight="1">
      <c r="A117" s="1124"/>
      <c r="B117" s="1125"/>
      <c r="C117" s="1126"/>
      <c r="D117" s="1127"/>
      <c r="E117" s="1132"/>
      <c r="F117" s="1133"/>
      <c r="G117" s="522" t="s">
        <v>7</v>
      </c>
      <c r="H117" s="523">
        <f t="shared" si="11"/>
        <v>871350</v>
      </c>
      <c r="I117" s="524">
        <f t="shared" si="12"/>
        <v>871350</v>
      </c>
      <c r="J117" s="524">
        <f>J115+J116</f>
        <v>0</v>
      </c>
      <c r="K117" s="524">
        <f>K115+K116</f>
        <v>871350</v>
      </c>
      <c r="L117" s="524">
        <f t="shared" si="14"/>
        <v>0</v>
      </c>
      <c r="M117" s="524">
        <f>M115+M116</f>
        <v>0</v>
      </c>
      <c r="N117" s="524">
        <f>N115+N116</f>
        <v>0</v>
      </c>
    </row>
    <row r="118" spans="1:14" s="525" customFormat="1" ht="15" hidden="1" customHeight="1">
      <c r="A118" s="1124"/>
      <c r="B118" s="1125"/>
      <c r="C118" s="1126"/>
      <c r="D118" s="1127"/>
      <c r="E118" s="1128" t="s">
        <v>967</v>
      </c>
      <c r="F118" s="1129"/>
      <c r="G118" s="522" t="s">
        <v>5</v>
      </c>
      <c r="H118" s="523">
        <f t="shared" si="11"/>
        <v>71122</v>
      </c>
      <c r="I118" s="524">
        <f t="shared" si="12"/>
        <v>71122</v>
      </c>
      <c r="J118" s="524">
        <v>0</v>
      </c>
      <c r="K118" s="524">
        <v>71122</v>
      </c>
      <c r="L118" s="524">
        <f t="shared" si="14"/>
        <v>0</v>
      </c>
      <c r="M118" s="524">
        <v>0</v>
      </c>
      <c r="N118" s="524">
        <v>0</v>
      </c>
    </row>
    <row r="119" spans="1:14" s="525" customFormat="1" ht="15" hidden="1" customHeight="1">
      <c r="A119" s="1124"/>
      <c r="B119" s="1125"/>
      <c r="C119" s="1126"/>
      <c r="D119" s="1127"/>
      <c r="E119" s="1130"/>
      <c r="F119" s="1131"/>
      <c r="G119" s="522" t="s">
        <v>6</v>
      </c>
      <c r="H119" s="523">
        <f t="shared" si="11"/>
        <v>0</v>
      </c>
      <c r="I119" s="524">
        <f t="shared" si="12"/>
        <v>0</v>
      </c>
      <c r="J119" s="524">
        <v>0</v>
      </c>
      <c r="K119" s="524">
        <v>0</v>
      </c>
      <c r="L119" s="524">
        <f t="shared" si="14"/>
        <v>0</v>
      </c>
      <c r="M119" s="524">
        <v>0</v>
      </c>
      <c r="N119" s="524">
        <v>0</v>
      </c>
    </row>
    <row r="120" spans="1:14" s="525" customFormat="1" ht="15" hidden="1" customHeight="1">
      <c r="A120" s="1124"/>
      <c r="B120" s="1125"/>
      <c r="C120" s="1126"/>
      <c r="D120" s="1127"/>
      <c r="E120" s="1132"/>
      <c r="F120" s="1133"/>
      <c r="G120" s="522" t="s">
        <v>7</v>
      </c>
      <c r="H120" s="523">
        <f t="shared" si="11"/>
        <v>71122</v>
      </c>
      <c r="I120" s="524">
        <f t="shared" si="12"/>
        <v>71122</v>
      </c>
      <c r="J120" s="524">
        <f>J118+J119</f>
        <v>0</v>
      </c>
      <c r="K120" s="524">
        <f>K118+K119</f>
        <v>71122</v>
      </c>
      <c r="L120" s="524">
        <f t="shared" si="14"/>
        <v>0</v>
      </c>
      <c r="M120" s="524">
        <f>M118+M119</f>
        <v>0</v>
      </c>
      <c r="N120" s="524">
        <f>N118+N119</f>
        <v>0</v>
      </c>
    </row>
    <row r="121" spans="1:14" s="448" customFormat="1" ht="15" hidden="1" customHeight="1">
      <c r="A121" s="1025"/>
      <c r="B121" s="1026"/>
      <c r="C121" s="1027"/>
      <c r="D121" s="1028"/>
      <c r="E121" s="1014" t="s">
        <v>968</v>
      </c>
      <c r="F121" s="1015"/>
      <c r="G121" s="495" t="s">
        <v>5</v>
      </c>
      <c r="H121" s="496">
        <f t="shared" si="11"/>
        <v>55000</v>
      </c>
      <c r="I121" s="497">
        <f t="shared" si="12"/>
        <v>55000</v>
      </c>
      <c r="J121" s="497">
        <v>0</v>
      </c>
      <c r="K121" s="497">
        <v>55000</v>
      </c>
      <c r="L121" s="497">
        <f t="shared" si="14"/>
        <v>0</v>
      </c>
      <c r="M121" s="497">
        <v>0</v>
      </c>
      <c r="N121" s="497">
        <v>0</v>
      </c>
    </row>
    <row r="122" spans="1:14" s="448" customFormat="1" ht="15" hidden="1" customHeight="1">
      <c r="A122" s="1025"/>
      <c r="B122" s="1026"/>
      <c r="C122" s="1027"/>
      <c r="D122" s="1028"/>
      <c r="E122" s="1016"/>
      <c r="F122" s="1017"/>
      <c r="G122" s="495" t="s">
        <v>6</v>
      </c>
      <c r="H122" s="496">
        <f t="shared" si="11"/>
        <v>0</v>
      </c>
      <c r="I122" s="497">
        <f t="shared" si="12"/>
        <v>0</v>
      </c>
      <c r="J122" s="497">
        <v>0</v>
      </c>
      <c r="K122" s="497">
        <v>0</v>
      </c>
      <c r="L122" s="497">
        <f t="shared" si="14"/>
        <v>0</v>
      </c>
      <c r="M122" s="497">
        <v>0</v>
      </c>
      <c r="N122" s="497">
        <v>0</v>
      </c>
    </row>
    <row r="123" spans="1:14" s="448" customFormat="1" ht="15" hidden="1" customHeight="1">
      <c r="A123" s="1033"/>
      <c r="B123" s="1034"/>
      <c r="C123" s="1035"/>
      <c r="D123" s="1036"/>
      <c r="E123" s="1018"/>
      <c r="F123" s="1019"/>
      <c r="G123" s="495" t="s">
        <v>7</v>
      </c>
      <c r="H123" s="496">
        <f t="shared" si="11"/>
        <v>55000</v>
      </c>
      <c r="I123" s="497">
        <f t="shared" si="12"/>
        <v>55000</v>
      </c>
      <c r="J123" s="497">
        <f>J121+J122</f>
        <v>0</v>
      </c>
      <c r="K123" s="497">
        <f>K121+K122</f>
        <v>55000</v>
      </c>
      <c r="L123" s="497">
        <f t="shared" si="14"/>
        <v>0</v>
      </c>
      <c r="M123" s="497">
        <f>M121+M122</f>
        <v>0</v>
      </c>
      <c r="N123" s="497">
        <f>N121+N122</f>
        <v>0</v>
      </c>
    </row>
    <row r="124" spans="1:14" s="458" customFormat="1" ht="15" hidden="1" customHeight="1">
      <c r="A124" s="1117" t="s">
        <v>268</v>
      </c>
      <c r="B124" s="1118"/>
      <c r="C124" s="1118"/>
      <c r="D124" s="1118"/>
      <c r="E124" s="1118"/>
      <c r="F124" s="1118"/>
      <c r="G124" s="519" t="s">
        <v>5</v>
      </c>
      <c r="H124" s="520">
        <f t="shared" si="11"/>
        <v>1183900</v>
      </c>
      <c r="I124" s="521">
        <f t="shared" si="12"/>
        <v>1183900</v>
      </c>
      <c r="J124" s="521">
        <f t="shared" ref="J124:K126" si="32">J127</f>
        <v>0</v>
      </c>
      <c r="K124" s="521">
        <f t="shared" si="32"/>
        <v>1183900</v>
      </c>
      <c r="L124" s="521">
        <f t="shared" si="14"/>
        <v>0</v>
      </c>
      <c r="M124" s="521">
        <f t="shared" ref="M124:N126" si="33">M127</f>
        <v>0</v>
      </c>
      <c r="N124" s="521">
        <f t="shared" si="33"/>
        <v>0</v>
      </c>
    </row>
    <row r="125" spans="1:14" s="458" customFormat="1" ht="15" hidden="1" customHeight="1">
      <c r="A125" s="1119"/>
      <c r="B125" s="1120"/>
      <c r="C125" s="1120"/>
      <c r="D125" s="1120"/>
      <c r="E125" s="1120"/>
      <c r="F125" s="1120"/>
      <c r="G125" s="519" t="s">
        <v>6</v>
      </c>
      <c r="H125" s="520">
        <f t="shared" si="11"/>
        <v>0</v>
      </c>
      <c r="I125" s="521">
        <f t="shared" si="12"/>
        <v>0</v>
      </c>
      <c r="J125" s="521">
        <f t="shared" si="32"/>
        <v>0</v>
      </c>
      <c r="K125" s="521">
        <f t="shared" si="32"/>
        <v>0</v>
      </c>
      <c r="L125" s="521">
        <f t="shared" si="14"/>
        <v>0</v>
      </c>
      <c r="M125" s="521">
        <f t="shared" si="33"/>
        <v>0</v>
      </c>
      <c r="N125" s="521">
        <f t="shared" si="33"/>
        <v>0</v>
      </c>
    </row>
    <row r="126" spans="1:14" s="458" customFormat="1" ht="15" hidden="1" customHeight="1">
      <c r="A126" s="1121"/>
      <c r="B126" s="1122"/>
      <c r="C126" s="1122"/>
      <c r="D126" s="1122"/>
      <c r="E126" s="1122"/>
      <c r="F126" s="1122"/>
      <c r="G126" s="519" t="s">
        <v>7</v>
      </c>
      <c r="H126" s="520">
        <f t="shared" si="11"/>
        <v>1183900</v>
      </c>
      <c r="I126" s="521">
        <f t="shared" si="12"/>
        <v>1183900</v>
      </c>
      <c r="J126" s="521">
        <f t="shared" si="32"/>
        <v>0</v>
      </c>
      <c r="K126" s="521">
        <f t="shared" si="32"/>
        <v>1183900</v>
      </c>
      <c r="L126" s="521">
        <f t="shared" si="14"/>
        <v>0</v>
      </c>
      <c r="M126" s="521">
        <f t="shared" si="33"/>
        <v>0</v>
      </c>
      <c r="N126" s="521">
        <f t="shared" si="33"/>
        <v>0</v>
      </c>
    </row>
    <row r="127" spans="1:14" s="448" customFormat="1" ht="15" hidden="1" customHeight="1">
      <c r="A127" s="1029" t="s">
        <v>261</v>
      </c>
      <c r="B127" s="1030"/>
      <c r="C127" s="1031" t="s">
        <v>267</v>
      </c>
      <c r="D127" s="1032"/>
      <c r="E127" s="1014" t="s">
        <v>960</v>
      </c>
      <c r="F127" s="1015"/>
      <c r="G127" s="495" t="s">
        <v>5</v>
      </c>
      <c r="H127" s="496">
        <f t="shared" si="11"/>
        <v>1183900</v>
      </c>
      <c r="I127" s="497">
        <f t="shared" si="12"/>
        <v>1183900</v>
      </c>
      <c r="J127" s="497">
        <v>0</v>
      </c>
      <c r="K127" s="497">
        <v>1183900</v>
      </c>
      <c r="L127" s="497">
        <f t="shared" si="14"/>
        <v>0</v>
      </c>
      <c r="M127" s="497">
        <v>0</v>
      </c>
      <c r="N127" s="497">
        <v>0</v>
      </c>
    </row>
    <row r="128" spans="1:14" s="448" customFormat="1" ht="15" hidden="1" customHeight="1">
      <c r="A128" s="1025"/>
      <c r="B128" s="1026"/>
      <c r="C128" s="1027"/>
      <c r="D128" s="1028"/>
      <c r="E128" s="1016"/>
      <c r="F128" s="1017"/>
      <c r="G128" s="495" t="s">
        <v>6</v>
      </c>
      <c r="H128" s="496">
        <f t="shared" ref="H128:H194" si="34">I128+L128</f>
        <v>0</v>
      </c>
      <c r="I128" s="497">
        <f t="shared" ref="I128:I194" si="35">J128+K128</f>
        <v>0</v>
      </c>
      <c r="J128" s="497">
        <v>0</v>
      </c>
      <c r="K128" s="497">
        <v>0</v>
      </c>
      <c r="L128" s="497">
        <f t="shared" ref="L128:L168" si="36">M128+N128</f>
        <v>0</v>
      </c>
      <c r="M128" s="497">
        <v>0</v>
      </c>
      <c r="N128" s="497">
        <v>0</v>
      </c>
    </row>
    <row r="129" spans="1:14" s="448" customFormat="1" ht="15" hidden="1" customHeight="1">
      <c r="A129" s="1033"/>
      <c r="B129" s="1034"/>
      <c r="C129" s="1035"/>
      <c r="D129" s="1036"/>
      <c r="E129" s="1018"/>
      <c r="F129" s="1019"/>
      <c r="G129" s="495" t="s">
        <v>7</v>
      </c>
      <c r="H129" s="496">
        <f t="shared" si="34"/>
        <v>1183900</v>
      </c>
      <c r="I129" s="497">
        <f t="shared" si="35"/>
        <v>1183900</v>
      </c>
      <c r="J129" s="497">
        <f>J127+J128</f>
        <v>0</v>
      </c>
      <c r="K129" s="497">
        <f>K127+K128</f>
        <v>1183900</v>
      </c>
      <c r="L129" s="497">
        <f t="shared" si="36"/>
        <v>0</v>
      </c>
      <c r="M129" s="497">
        <f>M127+M128</f>
        <v>0</v>
      </c>
      <c r="N129" s="497">
        <f>N127+N128</f>
        <v>0</v>
      </c>
    </row>
    <row r="130" spans="1:14" s="458" customFormat="1" ht="15" hidden="1" customHeight="1">
      <c r="A130" s="1117" t="s">
        <v>969</v>
      </c>
      <c r="B130" s="1118"/>
      <c r="C130" s="1118"/>
      <c r="D130" s="1118"/>
      <c r="E130" s="1118"/>
      <c r="F130" s="1118"/>
      <c r="G130" s="519" t="s">
        <v>5</v>
      </c>
      <c r="H130" s="520">
        <f t="shared" si="34"/>
        <v>1090000</v>
      </c>
      <c r="I130" s="521">
        <f t="shared" si="35"/>
        <v>1090000</v>
      </c>
      <c r="J130" s="521">
        <f t="shared" ref="J130:K132" si="37">J133</f>
        <v>0</v>
      </c>
      <c r="K130" s="521">
        <f t="shared" si="37"/>
        <v>1090000</v>
      </c>
      <c r="L130" s="521">
        <f t="shared" si="36"/>
        <v>0</v>
      </c>
      <c r="M130" s="521">
        <f t="shared" ref="M130:N132" si="38">M133</f>
        <v>0</v>
      </c>
      <c r="N130" s="521">
        <f t="shared" si="38"/>
        <v>0</v>
      </c>
    </row>
    <row r="131" spans="1:14" s="458" customFormat="1" ht="15" hidden="1" customHeight="1">
      <c r="A131" s="1119"/>
      <c r="B131" s="1120"/>
      <c r="C131" s="1120"/>
      <c r="D131" s="1120"/>
      <c r="E131" s="1120"/>
      <c r="F131" s="1120"/>
      <c r="G131" s="519" t="s">
        <v>6</v>
      </c>
      <c r="H131" s="520">
        <f t="shared" si="34"/>
        <v>0</v>
      </c>
      <c r="I131" s="521">
        <f t="shared" si="35"/>
        <v>0</v>
      </c>
      <c r="J131" s="521">
        <f t="shared" si="37"/>
        <v>0</v>
      </c>
      <c r="K131" s="521">
        <f t="shared" si="37"/>
        <v>0</v>
      </c>
      <c r="L131" s="521">
        <f t="shared" si="36"/>
        <v>0</v>
      </c>
      <c r="M131" s="521">
        <f t="shared" si="38"/>
        <v>0</v>
      </c>
      <c r="N131" s="521">
        <f t="shared" si="38"/>
        <v>0</v>
      </c>
    </row>
    <row r="132" spans="1:14" s="458" customFormat="1" ht="15" hidden="1" customHeight="1">
      <c r="A132" s="1121"/>
      <c r="B132" s="1122"/>
      <c r="C132" s="1122"/>
      <c r="D132" s="1122"/>
      <c r="E132" s="1122"/>
      <c r="F132" s="1122"/>
      <c r="G132" s="519" t="s">
        <v>7</v>
      </c>
      <c r="H132" s="520">
        <f t="shared" si="34"/>
        <v>1090000</v>
      </c>
      <c r="I132" s="521">
        <f t="shared" si="35"/>
        <v>1090000</v>
      </c>
      <c r="J132" s="521">
        <f t="shared" si="37"/>
        <v>0</v>
      </c>
      <c r="K132" s="521">
        <f t="shared" si="37"/>
        <v>1090000</v>
      </c>
      <c r="L132" s="521">
        <f t="shared" si="36"/>
        <v>0</v>
      </c>
      <c r="M132" s="521">
        <f t="shared" si="38"/>
        <v>0</v>
      </c>
      <c r="N132" s="521">
        <f t="shared" si="38"/>
        <v>0</v>
      </c>
    </row>
    <row r="133" spans="1:14" s="448" customFormat="1" ht="15" hidden="1" customHeight="1">
      <c r="A133" s="1029" t="s">
        <v>261</v>
      </c>
      <c r="B133" s="1030"/>
      <c r="C133" s="1031" t="s">
        <v>270</v>
      </c>
      <c r="D133" s="1032"/>
      <c r="E133" s="1014" t="s">
        <v>960</v>
      </c>
      <c r="F133" s="1015"/>
      <c r="G133" s="495" t="s">
        <v>5</v>
      </c>
      <c r="H133" s="496">
        <f t="shared" si="34"/>
        <v>1090000</v>
      </c>
      <c r="I133" s="497">
        <f t="shared" si="35"/>
        <v>1090000</v>
      </c>
      <c r="J133" s="497">
        <v>0</v>
      </c>
      <c r="K133" s="497">
        <v>1090000</v>
      </c>
      <c r="L133" s="497">
        <f t="shared" si="36"/>
        <v>0</v>
      </c>
      <c r="M133" s="497">
        <v>0</v>
      </c>
      <c r="N133" s="497">
        <v>0</v>
      </c>
    </row>
    <row r="134" spans="1:14" s="448" customFormat="1" ht="15" hidden="1" customHeight="1">
      <c r="A134" s="1025"/>
      <c r="B134" s="1026"/>
      <c r="C134" s="1027"/>
      <c r="D134" s="1028"/>
      <c r="E134" s="1016"/>
      <c r="F134" s="1017"/>
      <c r="G134" s="495" t="s">
        <v>6</v>
      </c>
      <c r="H134" s="496">
        <f t="shared" si="34"/>
        <v>0</v>
      </c>
      <c r="I134" s="497">
        <f t="shared" si="35"/>
        <v>0</v>
      </c>
      <c r="J134" s="497">
        <v>0</v>
      </c>
      <c r="K134" s="497">
        <v>0</v>
      </c>
      <c r="L134" s="497">
        <f t="shared" si="36"/>
        <v>0</v>
      </c>
      <c r="M134" s="497">
        <v>0</v>
      </c>
      <c r="N134" s="497">
        <v>0</v>
      </c>
    </row>
    <row r="135" spans="1:14" s="448" customFormat="1" ht="15" hidden="1" customHeight="1">
      <c r="A135" s="1033"/>
      <c r="B135" s="1034"/>
      <c r="C135" s="1035"/>
      <c r="D135" s="1036"/>
      <c r="E135" s="1018"/>
      <c r="F135" s="1019"/>
      <c r="G135" s="495" t="s">
        <v>7</v>
      </c>
      <c r="H135" s="496">
        <f t="shared" si="34"/>
        <v>1090000</v>
      </c>
      <c r="I135" s="497">
        <f t="shared" si="35"/>
        <v>1090000</v>
      </c>
      <c r="J135" s="497">
        <f>J133+J134</f>
        <v>0</v>
      </c>
      <c r="K135" s="497">
        <f>K133+K134</f>
        <v>1090000</v>
      </c>
      <c r="L135" s="497">
        <f t="shared" si="36"/>
        <v>0</v>
      </c>
      <c r="M135" s="497">
        <f>M133+M134</f>
        <v>0</v>
      </c>
      <c r="N135" s="497">
        <f>N133+N134</f>
        <v>0</v>
      </c>
    </row>
    <row r="136" spans="1:14" s="458" customFormat="1" ht="15" hidden="1" customHeight="1">
      <c r="A136" s="1117" t="s">
        <v>970</v>
      </c>
      <c r="B136" s="1118"/>
      <c r="C136" s="1118"/>
      <c r="D136" s="1118"/>
      <c r="E136" s="1118"/>
      <c r="F136" s="1118"/>
      <c r="G136" s="519" t="s">
        <v>5</v>
      </c>
      <c r="H136" s="520">
        <f t="shared" si="34"/>
        <v>1372646</v>
      </c>
      <c r="I136" s="521">
        <f t="shared" si="35"/>
        <v>1372646</v>
      </c>
      <c r="J136" s="521">
        <f t="shared" ref="J136:K138" si="39">J139</f>
        <v>0</v>
      </c>
      <c r="K136" s="521">
        <f t="shared" si="39"/>
        <v>1372646</v>
      </c>
      <c r="L136" s="521">
        <f t="shared" si="36"/>
        <v>0</v>
      </c>
      <c r="M136" s="521">
        <f t="shared" ref="M136:N138" si="40">M139</f>
        <v>0</v>
      </c>
      <c r="N136" s="521">
        <f t="shared" si="40"/>
        <v>0</v>
      </c>
    </row>
    <row r="137" spans="1:14" s="458" customFormat="1" ht="15" hidden="1" customHeight="1">
      <c r="A137" s="1119"/>
      <c r="B137" s="1120"/>
      <c r="C137" s="1120"/>
      <c r="D137" s="1120"/>
      <c r="E137" s="1120"/>
      <c r="F137" s="1120"/>
      <c r="G137" s="519" t="s">
        <v>6</v>
      </c>
      <c r="H137" s="520">
        <f t="shared" si="34"/>
        <v>0</v>
      </c>
      <c r="I137" s="521">
        <f t="shared" si="35"/>
        <v>0</v>
      </c>
      <c r="J137" s="521">
        <f t="shared" si="39"/>
        <v>0</v>
      </c>
      <c r="K137" s="521">
        <f t="shared" si="39"/>
        <v>0</v>
      </c>
      <c r="L137" s="521">
        <f t="shared" si="36"/>
        <v>0</v>
      </c>
      <c r="M137" s="521">
        <f t="shared" si="40"/>
        <v>0</v>
      </c>
      <c r="N137" s="521">
        <f t="shared" si="40"/>
        <v>0</v>
      </c>
    </row>
    <row r="138" spans="1:14" s="458" customFormat="1" ht="15" hidden="1" customHeight="1">
      <c r="A138" s="1121"/>
      <c r="B138" s="1122"/>
      <c r="C138" s="1122"/>
      <c r="D138" s="1122"/>
      <c r="E138" s="1122"/>
      <c r="F138" s="1122"/>
      <c r="G138" s="519" t="s">
        <v>7</v>
      </c>
      <c r="H138" s="520">
        <f t="shared" si="34"/>
        <v>1372646</v>
      </c>
      <c r="I138" s="521">
        <f t="shared" si="35"/>
        <v>1372646</v>
      </c>
      <c r="J138" s="521">
        <f t="shared" si="39"/>
        <v>0</v>
      </c>
      <c r="K138" s="521">
        <f t="shared" si="39"/>
        <v>1372646</v>
      </c>
      <c r="L138" s="521">
        <f t="shared" si="36"/>
        <v>0</v>
      </c>
      <c r="M138" s="521">
        <f t="shared" si="40"/>
        <v>0</v>
      </c>
      <c r="N138" s="521">
        <f t="shared" si="40"/>
        <v>0</v>
      </c>
    </row>
    <row r="139" spans="1:14" s="448" customFormat="1" ht="15" hidden="1" customHeight="1">
      <c r="A139" s="1029" t="s">
        <v>261</v>
      </c>
      <c r="B139" s="1030"/>
      <c r="C139" s="1031" t="s">
        <v>270</v>
      </c>
      <c r="D139" s="1032"/>
      <c r="E139" s="1014" t="s">
        <v>960</v>
      </c>
      <c r="F139" s="1015"/>
      <c r="G139" s="495" t="s">
        <v>5</v>
      </c>
      <c r="H139" s="496">
        <f t="shared" si="34"/>
        <v>1372646</v>
      </c>
      <c r="I139" s="497">
        <f t="shared" si="35"/>
        <v>1372646</v>
      </c>
      <c r="J139" s="497">
        <v>0</v>
      </c>
      <c r="K139" s="497">
        <v>1372646</v>
      </c>
      <c r="L139" s="497">
        <f t="shared" si="36"/>
        <v>0</v>
      </c>
      <c r="M139" s="497">
        <v>0</v>
      </c>
      <c r="N139" s="497">
        <v>0</v>
      </c>
    </row>
    <row r="140" spans="1:14" s="448" customFormat="1" ht="15" hidden="1" customHeight="1">
      <c r="A140" s="1025"/>
      <c r="B140" s="1026"/>
      <c r="C140" s="1027"/>
      <c r="D140" s="1028"/>
      <c r="E140" s="1016"/>
      <c r="F140" s="1017"/>
      <c r="G140" s="495" t="s">
        <v>6</v>
      </c>
      <c r="H140" s="496">
        <f t="shared" si="34"/>
        <v>0</v>
      </c>
      <c r="I140" s="497">
        <f t="shared" si="35"/>
        <v>0</v>
      </c>
      <c r="J140" s="497">
        <v>0</v>
      </c>
      <c r="K140" s="497">
        <v>0</v>
      </c>
      <c r="L140" s="497">
        <f t="shared" si="36"/>
        <v>0</v>
      </c>
      <c r="M140" s="497">
        <v>0</v>
      </c>
      <c r="N140" s="497">
        <v>0</v>
      </c>
    </row>
    <row r="141" spans="1:14" s="448" customFormat="1" ht="15" hidden="1" customHeight="1">
      <c r="A141" s="1033"/>
      <c r="B141" s="1034"/>
      <c r="C141" s="1035"/>
      <c r="D141" s="1036"/>
      <c r="E141" s="1018"/>
      <c r="F141" s="1019"/>
      <c r="G141" s="495" t="s">
        <v>7</v>
      </c>
      <c r="H141" s="496">
        <f t="shared" si="34"/>
        <v>1372646</v>
      </c>
      <c r="I141" s="497">
        <f t="shared" si="35"/>
        <v>1372646</v>
      </c>
      <c r="J141" s="497">
        <f>J139+J140</f>
        <v>0</v>
      </c>
      <c r="K141" s="497">
        <f>K139+K140</f>
        <v>1372646</v>
      </c>
      <c r="L141" s="497">
        <f t="shared" si="36"/>
        <v>0</v>
      </c>
      <c r="M141" s="497">
        <f>M139+M140</f>
        <v>0</v>
      </c>
      <c r="N141" s="497">
        <f>N139+N140</f>
        <v>0</v>
      </c>
    </row>
    <row r="142" spans="1:14" s="458" customFormat="1" ht="15" hidden="1" customHeight="1">
      <c r="A142" s="1117" t="s">
        <v>971</v>
      </c>
      <c r="B142" s="1118"/>
      <c r="C142" s="1118"/>
      <c r="D142" s="1118"/>
      <c r="E142" s="1118"/>
      <c r="F142" s="1118"/>
      <c r="G142" s="519" t="s">
        <v>972</v>
      </c>
      <c r="H142" s="520">
        <f t="shared" si="34"/>
        <v>1299500</v>
      </c>
      <c r="I142" s="521">
        <f t="shared" si="35"/>
        <v>1299500</v>
      </c>
      <c r="J142" s="521">
        <f t="shared" ref="J142:K144" si="41">J145</f>
        <v>0</v>
      </c>
      <c r="K142" s="521">
        <f t="shared" si="41"/>
        <v>1299500</v>
      </c>
      <c r="L142" s="521">
        <f t="shared" si="36"/>
        <v>0</v>
      </c>
      <c r="M142" s="521">
        <f t="shared" ref="M142:N144" si="42">M145</f>
        <v>0</v>
      </c>
      <c r="N142" s="521">
        <f t="shared" si="42"/>
        <v>0</v>
      </c>
    </row>
    <row r="143" spans="1:14" s="458" customFormat="1" ht="15" hidden="1" customHeight="1">
      <c r="A143" s="1119"/>
      <c r="B143" s="1120"/>
      <c r="C143" s="1120"/>
      <c r="D143" s="1120"/>
      <c r="E143" s="1120"/>
      <c r="F143" s="1120"/>
      <c r="G143" s="519" t="s">
        <v>6</v>
      </c>
      <c r="H143" s="520">
        <f t="shared" si="34"/>
        <v>0</v>
      </c>
      <c r="I143" s="521">
        <f t="shared" si="35"/>
        <v>0</v>
      </c>
      <c r="J143" s="521">
        <f t="shared" si="41"/>
        <v>0</v>
      </c>
      <c r="K143" s="521">
        <f t="shared" si="41"/>
        <v>0</v>
      </c>
      <c r="L143" s="521">
        <f t="shared" si="36"/>
        <v>0</v>
      </c>
      <c r="M143" s="521">
        <f t="shared" si="42"/>
        <v>0</v>
      </c>
      <c r="N143" s="521">
        <f t="shared" si="42"/>
        <v>0</v>
      </c>
    </row>
    <row r="144" spans="1:14" s="458" customFormat="1" ht="15" hidden="1" customHeight="1">
      <c r="A144" s="1121"/>
      <c r="B144" s="1122"/>
      <c r="C144" s="1122"/>
      <c r="D144" s="1122"/>
      <c r="E144" s="1122"/>
      <c r="F144" s="1122"/>
      <c r="G144" s="519" t="s">
        <v>7</v>
      </c>
      <c r="H144" s="520">
        <f t="shared" si="34"/>
        <v>1299500</v>
      </c>
      <c r="I144" s="521">
        <f t="shared" si="35"/>
        <v>1299500</v>
      </c>
      <c r="J144" s="521">
        <f t="shared" si="41"/>
        <v>0</v>
      </c>
      <c r="K144" s="521">
        <f t="shared" si="41"/>
        <v>1299500</v>
      </c>
      <c r="L144" s="521">
        <f t="shared" si="36"/>
        <v>0</v>
      </c>
      <c r="M144" s="521">
        <f t="shared" si="42"/>
        <v>0</v>
      </c>
      <c r="N144" s="521">
        <f t="shared" si="42"/>
        <v>0</v>
      </c>
    </row>
    <row r="145" spans="1:14" s="448" customFormat="1" ht="15" hidden="1" customHeight="1">
      <c r="A145" s="1029" t="s">
        <v>261</v>
      </c>
      <c r="B145" s="1030"/>
      <c r="C145" s="1031" t="s">
        <v>973</v>
      </c>
      <c r="D145" s="1032"/>
      <c r="E145" s="1014" t="s">
        <v>960</v>
      </c>
      <c r="F145" s="1015"/>
      <c r="G145" s="495" t="s">
        <v>5</v>
      </c>
      <c r="H145" s="496">
        <f t="shared" si="34"/>
        <v>1299500</v>
      </c>
      <c r="I145" s="497">
        <f t="shared" si="35"/>
        <v>1299500</v>
      </c>
      <c r="J145" s="497">
        <v>0</v>
      </c>
      <c r="K145" s="497">
        <v>1299500</v>
      </c>
      <c r="L145" s="497">
        <f t="shared" si="36"/>
        <v>0</v>
      </c>
      <c r="M145" s="497">
        <v>0</v>
      </c>
      <c r="N145" s="497">
        <v>0</v>
      </c>
    </row>
    <row r="146" spans="1:14" s="448" customFormat="1" ht="15" hidden="1" customHeight="1">
      <c r="A146" s="1025"/>
      <c r="B146" s="1026"/>
      <c r="C146" s="1027"/>
      <c r="D146" s="1028"/>
      <c r="E146" s="1016"/>
      <c r="F146" s="1017"/>
      <c r="G146" s="495" t="s">
        <v>6</v>
      </c>
      <c r="H146" s="496">
        <f t="shared" si="34"/>
        <v>0</v>
      </c>
      <c r="I146" s="497">
        <f t="shared" si="35"/>
        <v>0</v>
      </c>
      <c r="J146" s="497">
        <v>0</v>
      </c>
      <c r="K146" s="497">
        <v>0</v>
      </c>
      <c r="L146" s="497">
        <f t="shared" si="36"/>
        <v>0</v>
      </c>
      <c r="M146" s="497">
        <v>0</v>
      </c>
      <c r="N146" s="497">
        <v>0</v>
      </c>
    </row>
    <row r="147" spans="1:14" s="448" customFormat="1" ht="15" hidden="1" customHeight="1">
      <c r="A147" s="1033"/>
      <c r="B147" s="1034"/>
      <c r="C147" s="1035"/>
      <c r="D147" s="1036"/>
      <c r="E147" s="1018"/>
      <c r="F147" s="1019"/>
      <c r="G147" s="495" t="s">
        <v>7</v>
      </c>
      <c r="H147" s="496">
        <f t="shared" si="34"/>
        <v>1299500</v>
      </c>
      <c r="I147" s="497">
        <f t="shared" si="35"/>
        <v>1299500</v>
      </c>
      <c r="J147" s="497">
        <f>J145+J146</f>
        <v>0</v>
      </c>
      <c r="K147" s="497">
        <f>K145+K146</f>
        <v>1299500</v>
      </c>
      <c r="L147" s="497">
        <f t="shared" si="36"/>
        <v>0</v>
      </c>
      <c r="M147" s="497">
        <f>M145+M146</f>
        <v>0</v>
      </c>
      <c r="N147" s="497">
        <f>N145+N146</f>
        <v>0</v>
      </c>
    </row>
    <row r="148" spans="1:14" s="458" customFormat="1" ht="15" hidden="1" customHeight="1">
      <c r="A148" s="1117" t="s">
        <v>275</v>
      </c>
      <c r="B148" s="1118"/>
      <c r="C148" s="1118"/>
      <c r="D148" s="1118"/>
      <c r="E148" s="1118"/>
      <c r="F148" s="1118"/>
      <c r="G148" s="519" t="s">
        <v>5</v>
      </c>
      <c r="H148" s="520">
        <f t="shared" si="34"/>
        <v>11884000</v>
      </c>
      <c r="I148" s="521">
        <f t="shared" si="35"/>
        <v>11884000</v>
      </c>
      <c r="J148" s="521">
        <f t="shared" ref="J148:K150" si="43">J151</f>
        <v>0</v>
      </c>
      <c r="K148" s="521">
        <f t="shared" si="43"/>
        <v>11884000</v>
      </c>
      <c r="L148" s="521">
        <f t="shared" si="36"/>
        <v>0</v>
      </c>
      <c r="M148" s="521">
        <f t="shared" ref="M148:N150" si="44">M151</f>
        <v>0</v>
      </c>
      <c r="N148" s="521">
        <f t="shared" si="44"/>
        <v>0</v>
      </c>
    </row>
    <row r="149" spans="1:14" s="458" customFormat="1" ht="15" hidden="1" customHeight="1">
      <c r="A149" s="1119"/>
      <c r="B149" s="1120"/>
      <c r="C149" s="1120"/>
      <c r="D149" s="1120"/>
      <c r="E149" s="1120"/>
      <c r="F149" s="1120"/>
      <c r="G149" s="519" t="s">
        <v>6</v>
      </c>
      <c r="H149" s="520">
        <f t="shared" si="34"/>
        <v>0</v>
      </c>
      <c r="I149" s="521">
        <f t="shared" si="35"/>
        <v>0</v>
      </c>
      <c r="J149" s="521">
        <f t="shared" si="43"/>
        <v>0</v>
      </c>
      <c r="K149" s="521">
        <f t="shared" si="43"/>
        <v>0</v>
      </c>
      <c r="L149" s="521">
        <f t="shared" si="36"/>
        <v>0</v>
      </c>
      <c r="M149" s="521">
        <f t="shared" si="44"/>
        <v>0</v>
      </c>
      <c r="N149" s="521">
        <f t="shared" si="44"/>
        <v>0</v>
      </c>
    </row>
    <row r="150" spans="1:14" s="458" customFormat="1" ht="15" hidden="1" customHeight="1">
      <c r="A150" s="1121"/>
      <c r="B150" s="1122"/>
      <c r="C150" s="1122"/>
      <c r="D150" s="1122"/>
      <c r="E150" s="1122"/>
      <c r="F150" s="1122"/>
      <c r="G150" s="519" t="s">
        <v>7</v>
      </c>
      <c r="H150" s="520">
        <f t="shared" si="34"/>
        <v>11884000</v>
      </c>
      <c r="I150" s="521">
        <f t="shared" si="35"/>
        <v>11884000</v>
      </c>
      <c r="J150" s="521">
        <f t="shared" si="43"/>
        <v>0</v>
      </c>
      <c r="K150" s="521">
        <f t="shared" si="43"/>
        <v>11884000</v>
      </c>
      <c r="L150" s="521">
        <f t="shared" si="36"/>
        <v>0</v>
      </c>
      <c r="M150" s="521">
        <f t="shared" si="44"/>
        <v>0</v>
      </c>
      <c r="N150" s="521">
        <f t="shared" si="44"/>
        <v>0</v>
      </c>
    </row>
    <row r="151" spans="1:14" s="448" customFormat="1" ht="15" hidden="1" customHeight="1">
      <c r="A151" s="1029" t="s">
        <v>261</v>
      </c>
      <c r="B151" s="1030"/>
      <c r="C151" s="1031" t="s">
        <v>273</v>
      </c>
      <c r="D151" s="1032"/>
      <c r="E151" s="1014" t="s">
        <v>965</v>
      </c>
      <c r="F151" s="1015"/>
      <c r="G151" s="495" t="s">
        <v>5</v>
      </c>
      <c r="H151" s="496">
        <f t="shared" si="34"/>
        <v>11884000</v>
      </c>
      <c r="I151" s="497">
        <f t="shared" si="35"/>
        <v>11884000</v>
      </c>
      <c r="J151" s="497">
        <f t="shared" ref="J151:K153" si="45">J154+J157</f>
        <v>0</v>
      </c>
      <c r="K151" s="497">
        <f t="shared" si="45"/>
        <v>11884000</v>
      </c>
      <c r="L151" s="497">
        <f t="shared" si="36"/>
        <v>0</v>
      </c>
      <c r="M151" s="497">
        <f t="shared" ref="M151:N153" si="46">M154+M157</f>
        <v>0</v>
      </c>
      <c r="N151" s="497">
        <f t="shared" si="46"/>
        <v>0</v>
      </c>
    </row>
    <row r="152" spans="1:14" s="448" customFormat="1" ht="15" hidden="1" customHeight="1">
      <c r="A152" s="1025"/>
      <c r="B152" s="1026"/>
      <c r="C152" s="1027"/>
      <c r="D152" s="1028"/>
      <c r="E152" s="1016"/>
      <c r="F152" s="1017"/>
      <c r="G152" s="495" t="s">
        <v>6</v>
      </c>
      <c r="H152" s="496">
        <f t="shared" si="34"/>
        <v>0</v>
      </c>
      <c r="I152" s="497">
        <f t="shared" si="35"/>
        <v>0</v>
      </c>
      <c r="J152" s="497">
        <f t="shared" si="45"/>
        <v>0</v>
      </c>
      <c r="K152" s="497">
        <f t="shared" si="45"/>
        <v>0</v>
      </c>
      <c r="L152" s="497">
        <f t="shared" si="36"/>
        <v>0</v>
      </c>
      <c r="M152" s="497">
        <f t="shared" si="46"/>
        <v>0</v>
      </c>
      <c r="N152" s="497">
        <f t="shared" si="46"/>
        <v>0</v>
      </c>
    </row>
    <row r="153" spans="1:14" s="448" customFormat="1" ht="15" hidden="1" customHeight="1">
      <c r="A153" s="1025"/>
      <c r="B153" s="1026"/>
      <c r="C153" s="1027"/>
      <c r="D153" s="1028"/>
      <c r="E153" s="1018"/>
      <c r="F153" s="1019"/>
      <c r="G153" s="495" t="s">
        <v>7</v>
      </c>
      <c r="H153" s="496">
        <f t="shared" si="34"/>
        <v>11884000</v>
      </c>
      <c r="I153" s="497">
        <f t="shared" si="35"/>
        <v>11884000</v>
      </c>
      <c r="J153" s="497">
        <f t="shared" si="45"/>
        <v>0</v>
      </c>
      <c r="K153" s="497">
        <f t="shared" si="45"/>
        <v>11884000</v>
      </c>
      <c r="L153" s="497">
        <f t="shared" si="36"/>
        <v>0</v>
      </c>
      <c r="M153" s="497">
        <f t="shared" si="46"/>
        <v>0</v>
      </c>
      <c r="N153" s="497">
        <f t="shared" si="46"/>
        <v>0</v>
      </c>
    </row>
    <row r="154" spans="1:14" s="525" customFormat="1" ht="15" hidden="1" customHeight="1">
      <c r="A154" s="1124"/>
      <c r="B154" s="1125"/>
      <c r="C154" s="1126"/>
      <c r="D154" s="1127"/>
      <c r="E154" s="1128" t="s">
        <v>966</v>
      </c>
      <c r="F154" s="1129"/>
      <c r="G154" s="522" t="s">
        <v>5</v>
      </c>
      <c r="H154" s="523">
        <f t="shared" si="34"/>
        <v>9584000</v>
      </c>
      <c r="I154" s="524">
        <f t="shared" si="35"/>
        <v>9584000</v>
      </c>
      <c r="J154" s="524">
        <v>0</v>
      </c>
      <c r="K154" s="524">
        <v>9584000</v>
      </c>
      <c r="L154" s="524">
        <f t="shared" si="36"/>
        <v>0</v>
      </c>
      <c r="M154" s="524">
        <v>0</v>
      </c>
      <c r="N154" s="524">
        <v>0</v>
      </c>
    </row>
    <row r="155" spans="1:14" s="525" customFormat="1" ht="15" hidden="1" customHeight="1">
      <c r="A155" s="1124"/>
      <c r="B155" s="1125"/>
      <c r="C155" s="1126"/>
      <c r="D155" s="1127"/>
      <c r="E155" s="1130"/>
      <c r="F155" s="1131"/>
      <c r="G155" s="522" t="s">
        <v>6</v>
      </c>
      <c r="H155" s="523">
        <f t="shared" si="34"/>
        <v>0</v>
      </c>
      <c r="I155" s="524">
        <f t="shared" si="35"/>
        <v>0</v>
      </c>
      <c r="J155" s="524">
        <v>0</v>
      </c>
      <c r="K155" s="524">
        <v>0</v>
      </c>
      <c r="L155" s="524">
        <f t="shared" si="36"/>
        <v>0</v>
      </c>
      <c r="M155" s="524">
        <v>0</v>
      </c>
      <c r="N155" s="524">
        <v>0</v>
      </c>
    </row>
    <row r="156" spans="1:14" s="525" customFormat="1" ht="15" hidden="1" customHeight="1">
      <c r="A156" s="1124"/>
      <c r="B156" s="1125"/>
      <c r="C156" s="1126"/>
      <c r="D156" s="1127"/>
      <c r="E156" s="1132"/>
      <c r="F156" s="1133"/>
      <c r="G156" s="522" t="s">
        <v>7</v>
      </c>
      <c r="H156" s="523">
        <f t="shared" si="34"/>
        <v>9584000</v>
      </c>
      <c r="I156" s="524">
        <f t="shared" si="35"/>
        <v>9584000</v>
      </c>
      <c r="J156" s="524">
        <f>J154+J155</f>
        <v>0</v>
      </c>
      <c r="K156" s="524">
        <f>K154+K155</f>
        <v>9584000</v>
      </c>
      <c r="L156" s="524">
        <f t="shared" si="36"/>
        <v>0</v>
      </c>
      <c r="M156" s="524">
        <f>M154+M155</f>
        <v>0</v>
      </c>
      <c r="N156" s="524">
        <f>N154+N155</f>
        <v>0</v>
      </c>
    </row>
    <row r="157" spans="1:14" s="525" customFormat="1" ht="15" hidden="1" customHeight="1">
      <c r="A157" s="1124"/>
      <c r="B157" s="1125"/>
      <c r="C157" s="1126"/>
      <c r="D157" s="1127"/>
      <c r="E157" s="1128" t="s">
        <v>974</v>
      </c>
      <c r="F157" s="1129"/>
      <c r="G157" s="522" t="s">
        <v>5</v>
      </c>
      <c r="H157" s="523">
        <f t="shared" si="34"/>
        <v>2300000</v>
      </c>
      <c r="I157" s="524">
        <f t="shared" si="35"/>
        <v>2300000</v>
      </c>
      <c r="J157" s="524">
        <v>0</v>
      </c>
      <c r="K157" s="524">
        <v>2300000</v>
      </c>
      <c r="L157" s="524">
        <f t="shared" si="36"/>
        <v>0</v>
      </c>
      <c r="M157" s="524">
        <v>0</v>
      </c>
      <c r="N157" s="524">
        <v>0</v>
      </c>
    </row>
    <row r="158" spans="1:14" s="525" customFormat="1" ht="15" hidden="1" customHeight="1">
      <c r="A158" s="1124"/>
      <c r="B158" s="1125"/>
      <c r="C158" s="1126"/>
      <c r="D158" s="1127"/>
      <c r="E158" s="1130"/>
      <c r="F158" s="1131"/>
      <c r="G158" s="522" t="s">
        <v>6</v>
      </c>
      <c r="H158" s="523">
        <f t="shared" si="34"/>
        <v>0</v>
      </c>
      <c r="I158" s="524">
        <f t="shared" si="35"/>
        <v>0</v>
      </c>
      <c r="J158" s="524">
        <v>0</v>
      </c>
      <c r="K158" s="524">
        <v>0</v>
      </c>
      <c r="L158" s="524">
        <f t="shared" si="36"/>
        <v>0</v>
      </c>
      <c r="M158" s="524">
        <v>0</v>
      </c>
      <c r="N158" s="524">
        <v>0</v>
      </c>
    </row>
    <row r="159" spans="1:14" s="525" customFormat="1" ht="15" hidden="1" customHeight="1">
      <c r="A159" s="1134"/>
      <c r="B159" s="1135"/>
      <c r="C159" s="1136"/>
      <c r="D159" s="1137"/>
      <c r="E159" s="1132"/>
      <c r="F159" s="1133"/>
      <c r="G159" s="522" t="s">
        <v>7</v>
      </c>
      <c r="H159" s="523">
        <f t="shared" si="34"/>
        <v>2300000</v>
      </c>
      <c r="I159" s="524">
        <f t="shared" si="35"/>
        <v>2300000</v>
      </c>
      <c r="J159" s="524">
        <f>J157+J158</f>
        <v>0</v>
      </c>
      <c r="K159" s="524">
        <f>K157+K158</f>
        <v>2300000</v>
      </c>
      <c r="L159" s="524">
        <f t="shared" si="36"/>
        <v>0</v>
      </c>
      <c r="M159" s="524">
        <f>M157+M158</f>
        <v>0</v>
      </c>
      <c r="N159" s="524">
        <f>N157+N158</f>
        <v>0</v>
      </c>
    </row>
    <row r="160" spans="1:14" s="458" customFormat="1" ht="14.1" hidden="1" customHeight="1">
      <c r="A160" s="1117" t="s">
        <v>277</v>
      </c>
      <c r="B160" s="1118"/>
      <c r="C160" s="1118"/>
      <c r="D160" s="1118"/>
      <c r="E160" s="1118"/>
      <c r="F160" s="1118"/>
      <c r="G160" s="519" t="s">
        <v>5</v>
      </c>
      <c r="H160" s="520">
        <f t="shared" si="34"/>
        <v>10026720</v>
      </c>
      <c r="I160" s="521">
        <f t="shared" si="35"/>
        <v>10026720</v>
      </c>
      <c r="J160" s="521">
        <f t="shared" ref="J160:K162" si="47">J163+J172</f>
        <v>0</v>
      </c>
      <c r="K160" s="521">
        <f t="shared" si="47"/>
        <v>10026720</v>
      </c>
      <c r="L160" s="521">
        <f t="shared" si="36"/>
        <v>0</v>
      </c>
      <c r="M160" s="521">
        <f t="shared" ref="M160:N162" si="48">M163+M172</f>
        <v>0</v>
      </c>
      <c r="N160" s="521">
        <f t="shared" si="48"/>
        <v>0</v>
      </c>
    </row>
    <row r="161" spans="1:14" s="458" customFormat="1" ht="14.1" hidden="1" customHeight="1">
      <c r="A161" s="1119"/>
      <c r="B161" s="1120"/>
      <c r="C161" s="1120"/>
      <c r="D161" s="1120"/>
      <c r="E161" s="1120"/>
      <c r="F161" s="1120"/>
      <c r="G161" s="519" t="s">
        <v>6</v>
      </c>
      <c r="H161" s="520">
        <f t="shared" si="34"/>
        <v>0</v>
      </c>
      <c r="I161" s="521">
        <f t="shared" si="35"/>
        <v>0</v>
      </c>
      <c r="J161" s="521">
        <f t="shared" si="47"/>
        <v>0</v>
      </c>
      <c r="K161" s="521">
        <f t="shared" si="47"/>
        <v>0</v>
      </c>
      <c r="L161" s="521">
        <f t="shared" si="36"/>
        <v>0</v>
      </c>
      <c r="M161" s="521">
        <f t="shared" si="48"/>
        <v>0</v>
      </c>
      <c r="N161" s="521">
        <f t="shared" si="48"/>
        <v>0</v>
      </c>
    </row>
    <row r="162" spans="1:14" s="458" customFormat="1" ht="14.1" hidden="1" customHeight="1">
      <c r="A162" s="1121"/>
      <c r="B162" s="1122"/>
      <c r="C162" s="1122"/>
      <c r="D162" s="1122"/>
      <c r="E162" s="1122"/>
      <c r="F162" s="1122"/>
      <c r="G162" s="519" t="s">
        <v>7</v>
      </c>
      <c r="H162" s="520">
        <f t="shared" si="34"/>
        <v>10026720</v>
      </c>
      <c r="I162" s="521">
        <f t="shared" si="35"/>
        <v>10026720</v>
      </c>
      <c r="J162" s="521">
        <f t="shared" si="47"/>
        <v>0</v>
      </c>
      <c r="K162" s="521">
        <f t="shared" si="47"/>
        <v>10026720</v>
      </c>
      <c r="L162" s="521">
        <f t="shared" si="36"/>
        <v>0</v>
      </c>
      <c r="M162" s="521">
        <f t="shared" si="48"/>
        <v>0</v>
      </c>
      <c r="N162" s="521">
        <f t="shared" si="48"/>
        <v>0</v>
      </c>
    </row>
    <row r="163" spans="1:14" s="448" customFormat="1" ht="15" hidden="1" customHeight="1">
      <c r="A163" s="1029" t="s">
        <v>261</v>
      </c>
      <c r="B163" s="1030"/>
      <c r="C163" s="1031" t="s">
        <v>273</v>
      </c>
      <c r="D163" s="1032"/>
      <c r="E163" s="1014" t="s">
        <v>965</v>
      </c>
      <c r="F163" s="1015"/>
      <c r="G163" s="495" t="s">
        <v>5</v>
      </c>
      <c r="H163" s="496">
        <f t="shared" si="34"/>
        <v>10017300</v>
      </c>
      <c r="I163" s="497">
        <f t="shared" si="35"/>
        <v>10017300</v>
      </c>
      <c r="J163" s="497">
        <f t="shared" ref="J163:K165" si="49">J166+J169</f>
        <v>0</v>
      </c>
      <c r="K163" s="497">
        <f t="shared" si="49"/>
        <v>10017300</v>
      </c>
      <c r="L163" s="497">
        <f t="shared" si="36"/>
        <v>0</v>
      </c>
      <c r="M163" s="497">
        <f t="shared" ref="M163:N165" si="50">M166+M169</f>
        <v>0</v>
      </c>
      <c r="N163" s="497">
        <f t="shared" si="50"/>
        <v>0</v>
      </c>
    </row>
    <row r="164" spans="1:14" s="448" customFormat="1" ht="15" hidden="1" customHeight="1">
      <c r="A164" s="1025"/>
      <c r="B164" s="1026"/>
      <c r="C164" s="1027"/>
      <c r="D164" s="1028"/>
      <c r="E164" s="1016"/>
      <c r="F164" s="1017"/>
      <c r="G164" s="495" t="s">
        <v>6</v>
      </c>
      <c r="H164" s="496">
        <f t="shared" si="34"/>
        <v>0</v>
      </c>
      <c r="I164" s="497">
        <f t="shared" si="35"/>
        <v>0</v>
      </c>
      <c r="J164" s="497">
        <f t="shared" si="49"/>
        <v>0</v>
      </c>
      <c r="K164" s="497">
        <f t="shared" si="49"/>
        <v>0</v>
      </c>
      <c r="L164" s="497">
        <f t="shared" si="36"/>
        <v>0</v>
      </c>
      <c r="M164" s="497">
        <f t="shared" si="50"/>
        <v>0</v>
      </c>
      <c r="N164" s="497">
        <f t="shared" si="50"/>
        <v>0</v>
      </c>
    </row>
    <row r="165" spans="1:14" s="448" customFormat="1" ht="15" hidden="1" customHeight="1">
      <c r="A165" s="1025"/>
      <c r="B165" s="1026"/>
      <c r="C165" s="1027"/>
      <c r="D165" s="1028"/>
      <c r="E165" s="1018"/>
      <c r="F165" s="1019"/>
      <c r="G165" s="495" t="s">
        <v>7</v>
      </c>
      <c r="H165" s="496">
        <f t="shared" si="34"/>
        <v>10017300</v>
      </c>
      <c r="I165" s="497">
        <f t="shared" si="35"/>
        <v>10017300</v>
      </c>
      <c r="J165" s="497">
        <f t="shared" si="49"/>
        <v>0</v>
      </c>
      <c r="K165" s="497">
        <f t="shared" si="49"/>
        <v>10017300</v>
      </c>
      <c r="L165" s="497">
        <f t="shared" si="36"/>
        <v>0</v>
      </c>
      <c r="M165" s="497">
        <f t="shared" si="50"/>
        <v>0</v>
      </c>
      <c r="N165" s="497">
        <f t="shared" si="50"/>
        <v>0</v>
      </c>
    </row>
    <row r="166" spans="1:14" s="525" customFormat="1" ht="15" hidden="1" customHeight="1">
      <c r="A166" s="1124"/>
      <c r="B166" s="1125"/>
      <c r="C166" s="1126"/>
      <c r="D166" s="1127"/>
      <c r="E166" s="1128" t="s">
        <v>966</v>
      </c>
      <c r="F166" s="1129"/>
      <c r="G166" s="522" t="s">
        <v>5</v>
      </c>
      <c r="H166" s="523">
        <f t="shared" si="34"/>
        <v>8617300</v>
      </c>
      <c r="I166" s="524">
        <f t="shared" si="35"/>
        <v>8617300</v>
      </c>
      <c r="J166" s="524">
        <v>0</v>
      </c>
      <c r="K166" s="524">
        <v>8617300</v>
      </c>
      <c r="L166" s="524">
        <f t="shared" si="36"/>
        <v>0</v>
      </c>
      <c r="M166" s="524">
        <v>0</v>
      </c>
      <c r="N166" s="524">
        <v>0</v>
      </c>
    </row>
    <row r="167" spans="1:14" s="525" customFormat="1" ht="15" hidden="1" customHeight="1">
      <c r="A167" s="1124"/>
      <c r="B167" s="1125"/>
      <c r="C167" s="1126"/>
      <c r="D167" s="1127"/>
      <c r="E167" s="1130"/>
      <c r="F167" s="1131"/>
      <c r="G167" s="522" t="s">
        <v>6</v>
      </c>
      <c r="H167" s="523">
        <f t="shared" si="34"/>
        <v>0</v>
      </c>
      <c r="I167" s="524">
        <f t="shared" si="35"/>
        <v>0</v>
      </c>
      <c r="J167" s="524">
        <v>0</v>
      </c>
      <c r="K167" s="524">
        <v>0</v>
      </c>
      <c r="L167" s="524">
        <f t="shared" si="36"/>
        <v>0</v>
      </c>
      <c r="M167" s="524">
        <v>0</v>
      </c>
      <c r="N167" s="524">
        <v>0</v>
      </c>
    </row>
    <row r="168" spans="1:14" s="525" customFormat="1" ht="15" hidden="1" customHeight="1">
      <c r="A168" s="1124"/>
      <c r="B168" s="1125"/>
      <c r="C168" s="1126"/>
      <c r="D168" s="1127"/>
      <c r="E168" s="1132"/>
      <c r="F168" s="1133"/>
      <c r="G168" s="522" t="s">
        <v>7</v>
      </c>
      <c r="H168" s="523">
        <f t="shared" si="34"/>
        <v>8617300</v>
      </c>
      <c r="I168" s="524">
        <f t="shared" si="35"/>
        <v>8617300</v>
      </c>
      <c r="J168" s="524">
        <f>J166+J167</f>
        <v>0</v>
      </c>
      <c r="K168" s="524">
        <f>K166+K167</f>
        <v>8617300</v>
      </c>
      <c r="L168" s="524">
        <f t="shared" si="36"/>
        <v>0</v>
      </c>
      <c r="M168" s="524">
        <f>M166+M167</f>
        <v>0</v>
      </c>
      <c r="N168" s="524">
        <f>N166+N167</f>
        <v>0</v>
      </c>
    </row>
    <row r="169" spans="1:14" s="525" customFormat="1" ht="15" hidden="1" customHeight="1">
      <c r="A169" s="1124"/>
      <c r="B169" s="1125"/>
      <c r="C169" s="1126"/>
      <c r="D169" s="1127"/>
      <c r="E169" s="1128" t="s">
        <v>975</v>
      </c>
      <c r="F169" s="1129"/>
      <c r="G169" s="522" t="s">
        <v>5</v>
      </c>
      <c r="H169" s="523">
        <f t="shared" si="34"/>
        <v>1400000</v>
      </c>
      <c r="I169" s="524">
        <f t="shared" si="35"/>
        <v>1400000</v>
      </c>
      <c r="J169" s="524"/>
      <c r="K169" s="524">
        <v>1400000</v>
      </c>
      <c r="L169" s="524"/>
      <c r="M169" s="524"/>
      <c r="N169" s="524"/>
    </row>
    <row r="170" spans="1:14" s="525" customFormat="1" ht="15" hidden="1" customHeight="1">
      <c r="A170" s="1124"/>
      <c r="B170" s="1125"/>
      <c r="C170" s="1126"/>
      <c r="D170" s="1127"/>
      <c r="E170" s="1130"/>
      <c r="F170" s="1131"/>
      <c r="G170" s="522" t="s">
        <v>6</v>
      </c>
      <c r="H170" s="523">
        <f t="shared" si="34"/>
        <v>0</v>
      </c>
      <c r="I170" s="524">
        <f t="shared" si="35"/>
        <v>0</v>
      </c>
      <c r="J170" s="524"/>
      <c r="K170" s="524">
        <v>0</v>
      </c>
      <c r="L170" s="524"/>
      <c r="M170" s="524"/>
      <c r="N170" s="524"/>
    </row>
    <row r="171" spans="1:14" s="525" customFormat="1" ht="15" hidden="1" customHeight="1">
      <c r="A171" s="1124"/>
      <c r="B171" s="1125"/>
      <c r="C171" s="1126"/>
      <c r="D171" s="1127"/>
      <c r="E171" s="1132"/>
      <c r="F171" s="1133"/>
      <c r="G171" s="522" t="s">
        <v>7</v>
      </c>
      <c r="H171" s="523">
        <f t="shared" si="34"/>
        <v>1400000</v>
      </c>
      <c r="I171" s="524">
        <f t="shared" si="35"/>
        <v>1400000</v>
      </c>
      <c r="J171" s="524">
        <f>J169+J170</f>
        <v>0</v>
      </c>
      <c r="K171" s="524">
        <f>K169+K170</f>
        <v>1400000</v>
      </c>
      <c r="L171" s="524">
        <f t="shared" ref="L171:L207" si="51">M171+N171</f>
        <v>0</v>
      </c>
      <c r="M171" s="524">
        <f>M169+M170</f>
        <v>0</v>
      </c>
      <c r="N171" s="524">
        <f>N169+N170</f>
        <v>0</v>
      </c>
    </row>
    <row r="172" spans="1:14" s="448" customFormat="1" ht="14.1" hidden="1" customHeight="1">
      <c r="A172" s="1025"/>
      <c r="B172" s="1026"/>
      <c r="C172" s="1027"/>
      <c r="D172" s="1028"/>
      <c r="E172" s="1014" t="s">
        <v>976</v>
      </c>
      <c r="F172" s="1061"/>
      <c r="G172" s="526" t="s">
        <v>5</v>
      </c>
      <c r="H172" s="496">
        <f>I172+L172</f>
        <v>9420</v>
      </c>
      <c r="I172" s="497">
        <f>J172+K172</f>
        <v>9420</v>
      </c>
      <c r="J172" s="497">
        <v>0</v>
      </c>
      <c r="K172" s="497">
        <v>9420</v>
      </c>
      <c r="L172" s="497">
        <f>M172+N172</f>
        <v>0</v>
      </c>
      <c r="M172" s="497">
        <v>0</v>
      </c>
      <c r="N172" s="497">
        <v>0</v>
      </c>
    </row>
    <row r="173" spans="1:14" s="448" customFormat="1" ht="14.1" hidden="1" customHeight="1">
      <c r="A173" s="1025"/>
      <c r="B173" s="1026"/>
      <c r="C173" s="1027"/>
      <c r="D173" s="1028"/>
      <c r="E173" s="1016"/>
      <c r="F173" s="1062"/>
      <c r="G173" s="526" t="s">
        <v>6</v>
      </c>
      <c r="H173" s="496">
        <f>I173+L173</f>
        <v>0</v>
      </c>
      <c r="I173" s="497">
        <f>J173+K173</f>
        <v>0</v>
      </c>
      <c r="J173" s="497">
        <v>0</v>
      </c>
      <c r="K173" s="497">
        <v>0</v>
      </c>
      <c r="L173" s="497">
        <f>M173+N173</f>
        <v>0</v>
      </c>
      <c r="M173" s="497">
        <v>0</v>
      </c>
      <c r="N173" s="497">
        <v>0</v>
      </c>
    </row>
    <row r="174" spans="1:14" s="448" customFormat="1" ht="14.1" hidden="1" customHeight="1">
      <c r="A174" s="1025"/>
      <c r="B174" s="1026"/>
      <c r="C174" s="1027"/>
      <c r="D174" s="1028"/>
      <c r="E174" s="1018"/>
      <c r="F174" s="1063"/>
      <c r="G174" s="527" t="s">
        <v>7</v>
      </c>
      <c r="H174" s="528">
        <f>I174+L174</f>
        <v>9420</v>
      </c>
      <c r="I174" s="529">
        <f>J174+K174</f>
        <v>9420</v>
      </c>
      <c r="J174" s="529">
        <f>J172+J173</f>
        <v>0</v>
      </c>
      <c r="K174" s="529">
        <f>K172+K173</f>
        <v>9420</v>
      </c>
      <c r="L174" s="529">
        <f>M174+N174</f>
        <v>0</v>
      </c>
      <c r="M174" s="529">
        <f>M172+M173</f>
        <v>0</v>
      </c>
      <c r="N174" s="529">
        <f>N172+N173</f>
        <v>0</v>
      </c>
    </row>
    <row r="175" spans="1:14" s="458" customFormat="1" ht="15" customHeight="1">
      <c r="A175" s="1117" t="s">
        <v>280</v>
      </c>
      <c r="B175" s="1118"/>
      <c r="C175" s="1118"/>
      <c r="D175" s="1118"/>
      <c r="E175" s="1118"/>
      <c r="F175" s="1118"/>
      <c r="G175" s="519" t="s">
        <v>5</v>
      </c>
      <c r="H175" s="520">
        <f t="shared" si="34"/>
        <v>6807926</v>
      </c>
      <c r="I175" s="521">
        <f t="shared" si="35"/>
        <v>6807926</v>
      </c>
      <c r="J175" s="521">
        <f t="shared" ref="J175:K177" si="52">J178+J181+J184</f>
        <v>0</v>
      </c>
      <c r="K175" s="521">
        <f t="shared" si="52"/>
        <v>6807926</v>
      </c>
      <c r="L175" s="521">
        <f t="shared" si="51"/>
        <v>0</v>
      </c>
      <c r="M175" s="521">
        <f t="shared" ref="M175:N177" si="53">M178+M181+M184</f>
        <v>0</v>
      </c>
      <c r="N175" s="521">
        <f t="shared" si="53"/>
        <v>0</v>
      </c>
    </row>
    <row r="176" spans="1:14" s="458" customFormat="1" ht="15" customHeight="1">
      <c r="A176" s="1119"/>
      <c r="B176" s="1120"/>
      <c r="C176" s="1120"/>
      <c r="D176" s="1120"/>
      <c r="E176" s="1120"/>
      <c r="F176" s="1120"/>
      <c r="G176" s="519" t="s">
        <v>6</v>
      </c>
      <c r="H176" s="520">
        <f t="shared" si="34"/>
        <v>-95398</v>
      </c>
      <c r="I176" s="521">
        <f t="shared" si="35"/>
        <v>-95398</v>
      </c>
      <c r="J176" s="521">
        <f t="shared" si="52"/>
        <v>0</v>
      </c>
      <c r="K176" s="521">
        <f t="shared" si="52"/>
        <v>-95398</v>
      </c>
      <c r="L176" s="521">
        <f t="shared" si="51"/>
        <v>0</v>
      </c>
      <c r="M176" s="521">
        <f t="shared" si="53"/>
        <v>0</v>
      </c>
      <c r="N176" s="521">
        <f t="shared" si="53"/>
        <v>0</v>
      </c>
    </row>
    <row r="177" spans="1:14" s="458" customFormat="1" ht="15" customHeight="1">
      <c r="A177" s="1121"/>
      <c r="B177" s="1122"/>
      <c r="C177" s="1122"/>
      <c r="D177" s="1122"/>
      <c r="E177" s="1122"/>
      <c r="F177" s="1122"/>
      <c r="G177" s="519" t="s">
        <v>7</v>
      </c>
      <c r="H177" s="520">
        <f t="shared" si="34"/>
        <v>6712528</v>
      </c>
      <c r="I177" s="521">
        <f t="shared" si="35"/>
        <v>6712528</v>
      </c>
      <c r="J177" s="521">
        <f t="shared" si="52"/>
        <v>0</v>
      </c>
      <c r="K177" s="521">
        <f t="shared" si="52"/>
        <v>6712528</v>
      </c>
      <c r="L177" s="521">
        <f t="shared" si="51"/>
        <v>0</v>
      </c>
      <c r="M177" s="521">
        <f t="shared" si="53"/>
        <v>0</v>
      </c>
      <c r="N177" s="521">
        <f t="shared" si="53"/>
        <v>0</v>
      </c>
    </row>
    <row r="178" spans="1:14" s="448" customFormat="1" ht="15" hidden="1" customHeight="1">
      <c r="A178" s="1029" t="s">
        <v>261</v>
      </c>
      <c r="B178" s="1030"/>
      <c r="C178" s="1031" t="s">
        <v>278</v>
      </c>
      <c r="D178" s="1032"/>
      <c r="E178" s="1014" t="s">
        <v>960</v>
      </c>
      <c r="F178" s="1015"/>
      <c r="G178" s="495" t="s">
        <v>5</v>
      </c>
      <c r="H178" s="496">
        <f t="shared" si="34"/>
        <v>6371950</v>
      </c>
      <c r="I178" s="497">
        <f t="shared" si="35"/>
        <v>6371950</v>
      </c>
      <c r="J178" s="497">
        <v>0</v>
      </c>
      <c r="K178" s="497">
        <v>6371950</v>
      </c>
      <c r="L178" s="497">
        <f t="shared" si="51"/>
        <v>0</v>
      </c>
      <c r="M178" s="497">
        <v>0</v>
      </c>
      <c r="N178" s="497">
        <v>0</v>
      </c>
    </row>
    <row r="179" spans="1:14" s="448" customFormat="1" ht="15" hidden="1" customHeight="1">
      <c r="A179" s="1025"/>
      <c r="B179" s="1026"/>
      <c r="C179" s="1027"/>
      <c r="D179" s="1028"/>
      <c r="E179" s="1016"/>
      <c r="F179" s="1017"/>
      <c r="G179" s="495" t="s">
        <v>6</v>
      </c>
      <c r="H179" s="496">
        <f t="shared" si="34"/>
        <v>0</v>
      </c>
      <c r="I179" s="497">
        <f t="shared" si="35"/>
        <v>0</v>
      </c>
      <c r="J179" s="497">
        <v>0</v>
      </c>
      <c r="K179" s="497">
        <v>0</v>
      </c>
      <c r="L179" s="497">
        <f t="shared" si="51"/>
        <v>0</v>
      </c>
      <c r="M179" s="497">
        <v>0</v>
      </c>
      <c r="N179" s="497">
        <v>0</v>
      </c>
    </row>
    <row r="180" spans="1:14" s="448" customFormat="1" ht="15" hidden="1" customHeight="1">
      <c r="A180" s="1025"/>
      <c r="B180" s="1026"/>
      <c r="C180" s="1027"/>
      <c r="D180" s="1028"/>
      <c r="E180" s="1018"/>
      <c r="F180" s="1019"/>
      <c r="G180" s="495" t="s">
        <v>7</v>
      </c>
      <c r="H180" s="496">
        <f t="shared" si="34"/>
        <v>6371950</v>
      </c>
      <c r="I180" s="497">
        <f t="shared" si="35"/>
        <v>6371950</v>
      </c>
      <c r="J180" s="497">
        <f>J178+J179</f>
        <v>0</v>
      </c>
      <c r="K180" s="497">
        <f>K178+K179</f>
        <v>6371950</v>
      </c>
      <c r="L180" s="497">
        <f t="shared" si="51"/>
        <v>0</v>
      </c>
      <c r="M180" s="497">
        <f>M178+M179</f>
        <v>0</v>
      </c>
      <c r="N180" s="497">
        <f>N178+N179</f>
        <v>0</v>
      </c>
    </row>
    <row r="181" spans="1:14" s="448" customFormat="1" ht="15" customHeight="1">
      <c r="A181" s="1025" t="s">
        <v>261</v>
      </c>
      <c r="B181" s="1026"/>
      <c r="C181" s="1027" t="s">
        <v>278</v>
      </c>
      <c r="D181" s="1028"/>
      <c r="E181" s="1014" t="s">
        <v>977</v>
      </c>
      <c r="F181" s="1015"/>
      <c r="G181" s="495" t="s">
        <v>5</v>
      </c>
      <c r="H181" s="496">
        <f t="shared" si="34"/>
        <v>275000</v>
      </c>
      <c r="I181" s="497">
        <f t="shared" si="35"/>
        <v>275000</v>
      </c>
      <c r="J181" s="497">
        <v>0</v>
      </c>
      <c r="K181" s="497">
        <v>275000</v>
      </c>
      <c r="L181" s="497">
        <f t="shared" si="51"/>
        <v>0</v>
      </c>
      <c r="M181" s="497">
        <v>0</v>
      </c>
      <c r="N181" s="497">
        <v>0</v>
      </c>
    </row>
    <row r="182" spans="1:14" s="448" customFormat="1" ht="15" customHeight="1">
      <c r="A182" s="1025"/>
      <c r="B182" s="1026"/>
      <c r="C182" s="1027"/>
      <c r="D182" s="1028"/>
      <c r="E182" s="1016"/>
      <c r="F182" s="1017"/>
      <c r="G182" s="495" t="s">
        <v>6</v>
      </c>
      <c r="H182" s="496">
        <f t="shared" si="34"/>
        <v>-95398</v>
      </c>
      <c r="I182" s="497">
        <f t="shared" si="35"/>
        <v>-95398</v>
      </c>
      <c r="J182" s="497">
        <v>0</v>
      </c>
      <c r="K182" s="497">
        <v>-95398</v>
      </c>
      <c r="L182" s="497">
        <f t="shared" si="51"/>
        <v>0</v>
      </c>
      <c r="M182" s="497">
        <v>0</v>
      </c>
      <c r="N182" s="497">
        <v>0</v>
      </c>
    </row>
    <row r="183" spans="1:14" s="448" customFormat="1" ht="15" customHeight="1">
      <c r="A183" s="1025"/>
      <c r="B183" s="1026"/>
      <c r="C183" s="1027"/>
      <c r="D183" s="1028"/>
      <c r="E183" s="1018"/>
      <c r="F183" s="1019"/>
      <c r="G183" s="495" t="s">
        <v>7</v>
      </c>
      <c r="H183" s="496">
        <f t="shared" si="34"/>
        <v>179602</v>
      </c>
      <c r="I183" s="497">
        <f t="shared" si="35"/>
        <v>179602</v>
      </c>
      <c r="J183" s="497">
        <f>J181+J182</f>
        <v>0</v>
      </c>
      <c r="K183" s="497">
        <f>K181+K182</f>
        <v>179602</v>
      </c>
      <c r="L183" s="497">
        <f t="shared" si="51"/>
        <v>0</v>
      </c>
      <c r="M183" s="497">
        <f>M181+M182</f>
        <v>0</v>
      </c>
      <c r="N183" s="497">
        <f>N181+N182</f>
        <v>0</v>
      </c>
    </row>
    <row r="184" spans="1:14" s="448" customFormat="1" ht="15" hidden="1" customHeight="1">
      <c r="A184" s="1025"/>
      <c r="B184" s="1026"/>
      <c r="C184" s="1027"/>
      <c r="D184" s="1028"/>
      <c r="E184" s="1014" t="s">
        <v>978</v>
      </c>
      <c r="F184" s="1061"/>
      <c r="G184" s="526" t="s">
        <v>5</v>
      </c>
      <c r="H184" s="496">
        <f t="shared" si="34"/>
        <v>160976</v>
      </c>
      <c r="I184" s="497">
        <f t="shared" si="35"/>
        <v>160976</v>
      </c>
      <c r="J184" s="497">
        <v>0</v>
      </c>
      <c r="K184" s="497">
        <v>160976</v>
      </c>
      <c r="L184" s="497">
        <f t="shared" si="51"/>
        <v>0</v>
      </c>
      <c r="M184" s="497">
        <v>0</v>
      </c>
      <c r="N184" s="497">
        <v>0</v>
      </c>
    </row>
    <row r="185" spans="1:14" s="448" customFormat="1" ht="15" hidden="1" customHeight="1">
      <c r="A185" s="1025"/>
      <c r="B185" s="1026"/>
      <c r="C185" s="1027"/>
      <c r="D185" s="1028"/>
      <c r="E185" s="1016"/>
      <c r="F185" s="1062"/>
      <c r="G185" s="526" t="s">
        <v>6</v>
      </c>
      <c r="H185" s="496">
        <f t="shared" si="34"/>
        <v>0</v>
      </c>
      <c r="I185" s="497">
        <f t="shared" si="35"/>
        <v>0</v>
      </c>
      <c r="J185" s="497">
        <v>0</v>
      </c>
      <c r="K185" s="497">
        <v>0</v>
      </c>
      <c r="L185" s="497">
        <f t="shared" si="51"/>
        <v>0</v>
      </c>
      <c r="M185" s="497">
        <v>0</v>
      </c>
      <c r="N185" s="497">
        <v>0</v>
      </c>
    </row>
    <row r="186" spans="1:14" s="448" customFormat="1" ht="15" hidden="1" customHeight="1">
      <c r="A186" s="1025"/>
      <c r="B186" s="1026"/>
      <c r="C186" s="1027"/>
      <c r="D186" s="1028"/>
      <c r="E186" s="1018"/>
      <c r="F186" s="1063"/>
      <c r="G186" s="527" t="s">
        <v>7</v>
      </c>
      <c r="H186" s="528">
        <f t="shared" si="34"/>
        <v>160976</v>
      </c>
      <c r="I186" s="529">
        <f t="shared" si="35"/>
        <v>160976</v>
      </c>
      <c r="J186" s="529">
        <f>J184+J185</f>
        <v>0</v>
      </c>
      <c r="K186" s="529">
        <f>K184+K185</f>
        <v>160976</v>
      </c>
      <c r="L186" s="529">
        <f t="shared" si="51"/>
        <v>0</v>
      </c>
      <c r="M186" s="529">
        <f>M184+M185</f>
        <v>0</v>
      </c>
      <c r="N186" s="529">
        <f>N184+N185</f>
        <v>0</v>
      </c>
    </row>
    <row r="187" spans="1:14" s="458" customFormat="1" ht="15" hidden="1" customHeight="1">
      <c r="A187" s="1117" t="s">
        <v>282</v>
      </c>
      <c r="B187" s="1118"/>
      <c r="C187" s="1118"/>
      <c r="D187" s="1118"/>
      <c r="E187" s="1118"/>
      <c r="F187" s="1118"/>
      <c r="G187" s="519" t="s">
        <v>5</v>
      </c>
      <c r="H187" s="520">
        <f t="shared" si="34"/>
        <v>5609496</v>
      </c>
      <c r="I187" s="521">
        <f t="shared" si="35"/>
        <v>5609496</v>
      </c>
      <c r="J187" s="521">
        <f t="shared" ref="J187:K189" si="54">J190+J193+J196+J199</f>
        <v>0</v>
      </c>
      <c r="K187" s="521">
        <f t="shared" si="54"/>
        <v>5609496</v>
      </c>
      <c r="L187" s="521">
        <f t="shared" si="51"/>
        <v>0</v>
      </c>
      <c r="M187" s="521">
        <f t="shared" ref="M187:N189" si="55">M190+M193+M196+M199</f>
        <v>0</v>
      </c>
      <c r="N187" s="521">
        <f t="shared" si="55"/>
        <v>0</v>
      </c>
    </row>
    <row r="188" spans="1:14" s="458" customFormat="1" ht="15" hidden="1" customHeight="1">
      <c r="A188" s="1119"/>
      <c r="B188" s="1120"/>
      <c r="C188" s="1120"/>
      <c r="D188" s="1120"/>
      <c r="E188" s="1120"/>
      <c r="F188" s="1120"/>
      <c r="G188" s="519" t="s">
        <v>6</v>
      </c>
      <c r="H188" s="520">
        <f t="shared" si="34"/>
        <v>0</v>
      </c>
      <c r="I188" s="521">
        <f t="shared" si="35"/>
        <v>0</v>
      </c>
      <c r="J188" s="521">
        <f t="shared" si="54"/>
        <v>0</v>
      </c>
      <c r="K188" s="521">
        <f t="shared" si="54"/>
        <v>0</v>
      </c>
      <c r="L188" s="521">
        <f t="shared" si="51"/>
        <v>0</v>
      </c>
      <c r="M188" s="521">
        <f t="shared" si="55"/>
        <v>0</v>
      </c>
      <c r="N188" s="521">
        <f t="shared" si="55"/>
        <v>0</v>
      </c>
    </row>
    <row r="189" spans="1:14" s="458" customFormat="1" ht="15" hidden="1" customHeight="1">
      <c r="A189" s="1121"/>
      <c r="B189" s="1122"/>
      <c r="C189" s="1122"/>
      <c r="D189" s="1122"/>
      <c r="E189" s="1122"/>
      <c r="F189" s="1122"/>
      <c r="G189" s="519" t="s">
        <v>7</v>
      </c>
      <c r="H189" s="520">
        <f t="shared" si="34"/>
        <v>5609496</v>
      </c>
      <c r="I189" s="521">
        <f t="shared" si="35"/>
        <v>5609496</v>
      </c>
      <c r="J189" s="521">
        <f t="shared" si="54"/>
        <v>0</v>
      </c>
      <c r="K189" s="521">
        <f t="shared" si="54"/>
        <v>5609496</v>
      </c>
      <c r="L189" s="521">
        <f t="shared" si="51"/>
        <v>0</v>
      </c>
      <c r="M189" s="521">
        <f t="shared" si="55"/>
        <v>0</v>
      </c>
      <c r="N189" s="521">
        <f t="shared" si="55"/>
        <v>0</v>
      </c>
    </row>
    <row r="190" spans="1:14" s="448" customFormat="1" ht="15" hidden="1" customHeight="1">
      <c r="A190" s="1029" t="s">
        <v>261</v>
      </c>
      <c r="B190" s="1030"/>
      <c r="C190" s="1031" t="s">
        <v>278</v>
      </c>
      <c r="D190" s="1032"/>
      <c r="E190" s="1014" t="s">
        <v>960</v>
      </c>
      <c r="F190" s="1015"/>
      <c r="G190" s="495" t="s">
        <v>5</v>
      </c>
      <c r="H190" s="496">
        <f t="shared" si="34"/>
        <v>5100000</v>
      </c>
      <c r="I190" s="497">
        <f t="shared" si="35"/>
        <v>5100000</v>
      </c>
      <c r="J190" s="497">
        <v>0</v>
      </c>
      <c r="K190" s="497">
        <v>5100000</v>
      </c>
      <c r="L190" s="497">
        <f t="shared" si="51"/>
        <v>0</v>
      </c>
      <c r="M190" s="497">
        <v>0</v>
      </c>
      <c r="N190" s="497">
        <v>0</v>
      </c>
    </row>
    <row r="191" spans="1:14" s="448" customFormat="1" ht="15" hidden="1" customHeight="1">
      <c r="A191" s="1025"/>
      <c r="B191" s="1026"/>
      <c r="C191" s="1027"/>
      <c r="D191" s="1028"/>
      <c r="E191" s="1016"/>
      <c r="F191" s="1017"/>
      <c r="G191" s="495" t="s">
        <v>6</v>
      </c>
      <c r="H191" s="496">
        <f t="shared" si="34"/>
        <v>0</v>
      </c>
      <c r="I191" s="497">
        <f t="shared" si="35"/>
        <v>0</v>
      </c>
      <c r="J191" s="497">
        <v>0</v>
      </c>
      <c r="K191" s="497">
        <v>0</v>
      </c>
      <c r="L191" s="497">
        <f t="shared" si="51"/>
        <v>0</v>
      </c>
      <c r="M191" s="497">
        <v>0</v>
      </c>
      <c r="N191" s="497">
        <v>0</v>
      </c>
    </row>
    <row r="192" spans="1:14" s="448" customFormat="1" ht="15" hidden="1" customHeight="1">
      <c r="A192" s="1025"/>
      <c r="B192" s="1026"/>
      <c r="C192" s="1027"/>
      <c r="D192" s="1028"/>
      <c r="E192" s="1018"/>
      <c r="F192" s="1019"/>
      <c r="G192" s="495" t="s">
        <v>7</v>
      </c>
      <c r="H192" s="496">
        <f t="shared" si="34"/>
        <v>5100000</v>
      </c>
      <c r="I192" s="497">
        <f t="shared" si="35"/>
        <v>5100000</v>
      </c>
      <c r="J192" s="497">
        <f>J190+J191</f>
        <v>0</v>
      </c>
      <c r="K192" s="497">
        <f>K190+K191</f>
        <v>5100000</v>
      </c>
      <c r="L192" s="497">
        <f t="shared" si="51"/>
        <v>0</v>
      </c>
      <c r="M192" s="497">
        <f>M190+M191</f>
        <v>0</v>
      </c>
      <c r="N192" s="497">
        <f>N190+N191</f>
        <v>0</v>
      </c>
    </row>
    <row r="193" spans="1:14" s="530" customFormat="1" ht="14.85" hidden="1" customHeight="1">
      <c r="A193" s="1010"/>
      <c r="B193" s="1020"/>
      <c r="C193" s="1012"/>
      <c r="D193" s="1013"/>
      <c r="E193" s="1014" t="s">
        <v>979</v>
      </c>
      <c r="F193" s="1061"/>
      <c r="G193" s="526" t="s">
        <v>5</v>
      </c>
      <c r="H193" s="496">
        <f t="shared" si="34"/>
        <v>286500</v>
      </c>
      <c r="I193" s="497">
        <f t="shared" si="35"/>
        <v>286500</v>
      </c>
      <c r="J193" s="497">
        <v>0</v>
      </c>
      <c r="K193" s="497">
        <v>286500</v>
      </c>
      <c r="L193" s="497">
        <f t="shared" si="51"/>
        <v>0</v>
      </c>
      <c r="M193" s="497">
        <v>0</v>
      </c>
      <c r="N193" s="497">
        <v>0</v>
      </c>
    </row>
    <row r="194" spans="1:14" s="530" customFormat="1" ht="14.85" hidden="1" customHeight="1">
      <c r="A194" s="1010"/>
      <c r="B194" s="1020"/>
      <c r="C194" s="1012"/>
      <c r="D194" s="1013"/>
      <c r="E194" s="1016"/>
      <c r="F194" s="1062"/>
      <c r="G194" s="526" t="s">
        <v>6</v>
      </c>
      <c r="H194" s="496">
        <f t="shared" si="34"/>
        <v>0</v>
      </c>
      <c r="I194" s="497">
        <f t="shared" si="35"/>
        <v>0</v>
      </c>
      <c r="J194" s="497">
        <v>0</v>
      </c>
      <c r="K194" s="497">
        <v>0</v>
      </c>
      <c r="L194" s="497">
        <f t="shared" si="51"/>
        <v>0</v>
      </c>
      <c r="M194" s="497">
        <v>0</v>
      </c>
      <c r="N194" s="497">
        <v>0</v>
      </c>
    </row>
    <row r="195" spans="1:14" s="448" customFormat="1" ht="14.85" hidden="1" customHeight="1">
      <c r="A195" s="1025"/>
      <c r="B195" s="1026"/>
      <c r="C195" s="1027"/>
      <c r="D195" s="1028"/>
      <c r="E195" s="1018"/>
      <c r="F195" s="1063"/>
      <c r="G195" s="527" t="s">
        <v>7</v>
      </c>
      <c r="H195" s="528">
        <f t="shared" ref="H195:H207" si="56">I195+L195</f>
        <v>286500</v>
      </c>
      <c r="I195" s="529">
        <f t="shared" ref="I195:I207" si="57">J195+K195</f>
        <v>286500</v>
      </c>
      <c r="J195" s="529">
        <f>J193+J194</f>
        <v>0</v>
      </c>
      <c r="K195" s="529">
        <f>K193+K194</f>
        <v>286500</v>
      </c>
      <c r="L195" s="529">
        <f t="shared" si="51"/>
        <v>0</v>
      </c>
      <c r="M195" s="529">
        <f>M193+M194</f>
        <v>0</v>
      </c>
      <c r="N195" s="529">
        <f>N193+N194</f>
        <v>0</v>
      </c>
    </row>
    <row r="196" spans="1:14" s="530" customFormat="1" ht="15" hidden="1" customHeight="1">
      <c r="A196" s="1010"/>
      <c r="B196" s="1020"/>
      <c r="C196" s="1012"/>
      <c r="D196" s="1013"/>
      <c r="E196" s="1014" t="s">
        <v>980</v>
      </c>
      <c r="F196" s="1061"/>
      <c r="G196" s="526" t="s">
        <v>5</v>
      </c>
      <c r="H196" s="496">
        <f t="shared" si="56"/>
        <v>51000</v>
      </c>
      <c r="I196" s="497">
        <f t="shared" si="57"/>
        <v>51000</v>
      </c>
      <c r="J196" s="497">
        <v>0</v>
      </c>
      <c r="K196" s="497">
        <v>51000</v>
      </c>
      <c r="L196" s="497">
        <f t="shared" si="51"/>
        <v>0</v>
      </c>
      <c r="M196" s="497">
        <v>0</v>
      </c>
      <c r="N196" s="497">
        <v>0</v>
      </c>
    </row>
    <row r="197" spans="1:14" s="530" customFormat="1" ht="15" hidden="1" customHeight="1">
      <c r="A197" s="1010"/>
      <c r="B197" s="1020"/>
      <c r="C197" s="1012"/>
      <c r="D197" s="1013"/>
      <c r="E197" s="1016"/>
      <c r="F197" s="1062"/>
      <c r="G197" s="526" t="s">
        <v>6</v>
      </c>
      <c r="H197" s="496">
        <f t="shared" si="56"/>
        <v>0</v>
      </c>
      <c r="I197" s="497">
        <f t="shared" si="57"/>
        <v>0</v>
      </c>
      <c r="J197" s="497">
        <v>0</v>
      </c>
      <c r="K197" s="497">
        <v>0</v>
      </c>
      <c r="L197" s="497">
        <f t="shared" si="51"/>
        <v>0</v>
      </c>
      <c r="M197" s="497">
        <v>0</v>
      </c>
      <c r="N197" s="497">
        <v>0</v>
      </c>
    </row>
    <row r="198" spans="1:14" s="448" customFormat="1" ht="15" hidden="1" customHeight="1">
      <c r="A198" s="1025"/>
      <c r="B198" s="1026"/>
      <c r="C198" s="1027"/>
      <c r="D198" s="1028"/>
      <c r="E198" s="1018"/>
      <c r="F198" s="1063"/>
      <c r="G198" s="531" t="s">
        <v>7</v>
      </c>
      <c r="H198" s="496">
        <f t="shared" si="56"/>
        <v>51000</v>
      </c>
      <c r="I198" s="497">
        <f t="shared" si="57"/>
        <v>51000</v>
      </c>
      <c r="J198" s="497">
        <f>J196+J197</f>
        <v>0</v>
      </c>
      <c r="K198" s="497">
        <f>K196+K197</f>
        <v>51000</v>
      </c>
      <c r="L198" s="497">
        <f t="shared" si="51"/>
        <v>0</v>
      </c>
      <c r="M198" s="497">
        <f>M196+M197</f>
        <v>0</v>
      </c>
      <c r="N198" s="497">
        <f>N196+N197</f>
        <v>0</v>
      </c>
    </row>
    <row r="199" spans="1:14" s="530" customFormat="1" ht="15" hidden="1" customHeight="1">
      <c r="A199" s="1010"/>
      <c r="B199" s="1020"/>
      <c r="C199" s="1012"/>
      <c r="D199" s="1013"/>
      <c r="E199" s="1014" t="s">
        <v>981</v>
      </c>
      <c r="F199" s="1015"/>
      <c r="G199" s="495" t="s">
        <v>5</v>
      </c>
      <c r="H199" s="496">
        <f t="shared" si="56"/>
        <v>171996</v>
      </c>
      <c r="I199" s="497">
        <f t="shared" si="57"/>
        <v>171996</v>
      </c>
      <c r="J199" s="497">
        <v>0</v>
      </c>
      <c r="K199" s="497">
        <v>171996</v>
      </c>
      <c r="L199" s="497">
        <f t="shared" si="51"/>
        <v>0</v>
      </c>
      <c r="M199" s="497">
        <v>0</v>
      </c>
      <c r="N199" s="497">
        <v>0</v>
      </c>
    </row>
    <row r="200" spans="1:14" s="530" customFormat="1" ht="15" hidden="1" customHeight="1">
      <c r="A200" s="1010"/>
      <c r="B200" s="1037"/>
      <c r="C200" s="1012"/>
      <c r="D200" s="1037"/>
      <c r="E200" s="1016"/>
      <c r="F200" s="1017"/>
      <c r="G200" s="495" t="s">
        <v>6</v>
      </c>
      <c r="H200" s="496">
        <f t="shared" si="56"/>
        <v>0</v>
      </c>
      <c r="I200" s="497">
        <f t="shared" si="57"/>
        <v>0</v>
      </c>
      <c r="J200" s="497">
        <v>0</v>
      </c>
      <c r="K200" s="497">
        <v>0</v>
      </c>
      <c r="L200" s="497">
        <f t="shared" si="51"/>
        <v>0</v>
      </c>
      <c r="M200" s="497">
        <v>0</v>
      </c>
      <c r="N200" s="497">
        <v>0</v>
      </c>
    </row>
    <row r="201" spans="1:14" s="530" customFormat="1" ht="15" hidden="1" customHeight="1">
      <c r="A201" s="1021"/>
      <c r="B201" s="1060"/>
      <c r="C201" s="1023"/>
      <c r="D201" s="1060"/>
      <c r="E201" s="1018"/>
      <c r="F201" s="1019"/>
      <c r="G201" s="495" t="s">
        <v>7</v>
      </c>
      <c r="H201" s="496">
        <f t="shared" si="56"/>
        <v>171996</v>
      </c>
      <c r="I201" s="497">
        <f t="shared" si="57"/>
        <v>171996</v>
      </c>
      <c r="J201" s="497">
        <f>J199+J200</f>
        <v>0</v>
      </c>
      <c r="K201" s="497">
        <f>K199+K200</f>
        <v>171996</v>
      </c>
      <c r="L201" s="497">
        <f t="shared" si="51"/>
        <v>0</v>
      </c>
      <c r="M201" s="497">
        <f>M199+M200</f>
        <v>0</v>
      </c>
      <c r="N201" s="497">
        <f>N199+N200</f>
        <v>0</v>
      </c>
    </row>
    <row r="202" spans="1:14" s="458" customFormat="1" ht="15" hidden="1" customHeight="1">
      <c r="A202" s="1117" t="s">
        <v>982</v>
      </c>
      <c r="B202" s="1118"/>
      <c r="C202" s="1118"/>
      <c r="D202" s="1118"/>
      <c r="E202" s="1118"/>
      <c r="F202" s="1118"/>
      <c r="G202" s="519" t="s">
        <v>5</v>
      </c>
      <c r="H202" s="520">
        <f t="shared" si="56"/>
        <v>2600000</v>
      </c>
      <c r="I202" s="521">
        <f t="shared" si="57"/>
        <v>2600000</v>
      </c>
      <c r="J202" s="521">
        <f t="shared" ref="J202:K204" si="58">J205</f>
        <v>0</v>
      </c>
      <c r="K202" s="521">
        <f t="shared" si="58"/>
        <v>2600000</v>
      </c>
      <c r="L202" s="521">
        <f t="shared" si="51"/>
        <v>0</v>
      </c>
      <c r="M202" s="521">
        <f t="shared" ref="M202:N204" si="59">M205</f>
        <v>0</v>
      </c>
      <c r="N202" s="521">
        <f t="shared" si="59"/>
        <v>0</v>
      </c>
    </row>
    <row r="203" spans="1:14" s="458" customFormat="1" ht="15" hidden="1" customHeight="1">
      <c r="A203" s="1119"/>
      <c r="B203" s="1120"/>
      <c r="C203" s="1120"/>
      <c r="D203" s="1120"/>
      <c r="E203" s="1120"/>
      <c r="F203" s="1120"/>
      <c r="G203" s="519" t="s">
        <v>6</v>
      </c>
      <c r="H203" s="520">
        <f t="shared" si="56"/>
        <v>0</v>
      </c>
      <c r="I203" s="521">
        <f t="shared" si="57"/>
        <v>0</v>
      </c>
      <c r="J203" s="521">
        <f t="shared" si="58"/>
        <v>0</v>
      </c>
      <c r="K203" s="521">
        <f t="shared" si="58"/>
        <v>0</v>
      </c>
      <c r="L203" s="521">
        <f t="shared" si="51"/>
        <v>0</v>
      </c>
      <c r="M203" s="521">
        <f t="shared" si="59"/>
        <v>0</v>
      </c>
      <c r="N203" s="521">
        <f t="shared" si="59"/>
        <v>0</v>
      </c>
    </row>
    <row r="204" spans="1:14" s="458" customFormat="1" ht="15" hidden="1" customHeight="1">
      <c r="A204" s="1121"/>
      <c r="B204" s="1122"/>
      <c r="C204" s="1122"/>
      <c r="D204" s="1122"/>
      <c r="E204" s="1122"/>
      <c r="F204" s="1122"/>
      <c r="G204" s="519" t="s">
        <v>7</v>
      </c>
      <c r="H204" s="520">
        <f t="shared" si="56"/>
        <v>2600000</v>
      </c>
      <c r="I204" s="521">
        <f t="shared" si="57"/>
        <v>2600000</v>
      </c>
      <c r="J204" s="521">
        <f t="shared" si="58"/>
        <v>0</v>
      </c>
      <c r="K204" s="521">
        <f t="shared" si="58"/>
        <v>2600000</v>
      </c>
      <c r="L204" s="521">
        <f t="shared" si="51"/>
        <v>0</v>
      </c>
      <c r="M204" s="521">
        <f t="shared" si="59"/>
        <v>0</v>
      </c>
      <c r="N204" s="521">
        <f t="shared" si="59"/>
        <v>0</v>
      </c>
    </row>
    <row r="205" spans="1:14" s="448" customFormat="1" ht="15" hidden="1" customHeight="1">
      <c r="A205" s="1029" t="s">
        <v>261</v>
      </c>
      <c r="B205" s="1123"/>
      <c r="C205" s="1031" t="s">
        <v>278</v>
      </c>
      <c r="D205" s="1032"/>
      <c r="E205" s="1014" t="s">
        <v>960</v>
      </c>
      <c r="F205" s="1015"/>
      <c r="G205" s="495" t="s">
        <v>5</v>
      </c>
      <c r="H205" s="496">
        <f t="shared" si="56"/>
        <v>2600000</v>
      </c>
      <c r="I205" s="497">
        <f t="shared" si="57"/>
        <v>2600000</v>
      </c>
      <c r="J205" s="497">
        <v>0</v>
      </c>
      <c r="K205" s="497">
        <v>2600000</v>
      </c>
      <c r="L205" s="497">
        <f t="shared" si="51"/>
        <v>0</v>
      </c>
      <c r="M205" s="497">
        <v>0</v>
      </c>
      <c r="N205" s="497">
        <v>0</v>
      </c>
    </row>
    <row r="206" spans="1:14" s="448" customFormat="1" ht="15" hidden="1" customHeight="1">
      <c r="A206" s="1025"/>
      <c r="B206" s="1026"/>
      <c r="C206" s="1027"/>
      <c r="D206" s="1028"/>
      <c r="E206" s="1016"/>
      <c r="F206" s="1017"/>
      <c r="G206" s="495" t="s">
        <v>6</v>
      </c>
      <c r="H206" s="496">
        <f t="shared" si="56"/>
        <v>0</v>
      </c>
      <c r="I206" s="497">
        <f t="shared" si="57"/>
        <v>0</v>
      </c>
      <c r="J206" s="497">
        <v>0</v>
      </c>
      <c r="K206" s="497">
        <v>0</v>
      </c>
      <c r="L206" s="497">
        <f t="shared" si="51"/>
        <v>0</v>
      </c>
      <c r="M206" s="497">
        <v>0</v>
      </c>
      <c r="N206" s="497">
        <v>0</v>
      </c>
    </row>
    <row r="207" spans="1:14" s="448" customFormat="1" ht="15" hidden="1" customHeight="1">
      <c r="A207" s="1033"/>
      <c r="B207" s="1034"/>
      <c r="C207" s="1035"/>
      <c r="D207" s="1036"/>
      <c r="E207" s="1018"/>
      <c r="F207" s="1019"/>
      <c r="G207" s="495" t="s">
        <v>7</v>
      </c>
      <c r="H207" s="496">
        <f t="shared" si="56"/>
        <v>2600000</v>
      </c>
      <c r="I207" s="497">
        <f t="shared" si="57"/>
        <v>2600000</v>
      </c>
      <c r="J207" s="497">
        <f>J205+J206</f>
        <v>0</v>
      </c>
      <c r="K207" s="497">
        <f>K205+K206</f>
        <v>2600000</v>
      </c>
      <c r="L207" s="497">
        <f t="shared" si="51"/>
        <v>0</v>
      </c>
      <c r="M207" s="497">
        <f>M205+M206</f>
        <v>0</v>
      </c>
      <c r="N207" s="497">
        <f>N205+N206</f>
        <v>0</v>
      </c>
    </row>
    <row r="208" spans="1:14" s="484" customFormat="1" ht="5.0999999999999996" customHeight="1">
      <c r="A208" s="499"/>
      <c r="B208" s="500"/>
      <c r="C208" s="500"/>
      <c r="D208" s="500"/>
      <c r="E208" s="501"/>
      <c r="F208" s="502"/>
      <c r="G208" s="501"/>
      <c r="H208" s="503"/>
      <c r="I208" s="504"/>
      <c r="J208" s="504"/>
      <c r="K208" s="504"/>
      <c r="L208" s="504"/>
      <c r="M208" s="504"/>
      <c r="N208" s="505"/>
    </row>
    <row r="209" spans="1:14" s="488" customFormat="1" ht="14.1" customHeight="1">
      <c r="A209" s="1111" t="s">
        <v>983</v>
      </c>
      <c r="B209" s="1112"/>
      <c r="C209" s="1112"/>
      <c r="D209" s="1112"/>
      <c r="E209" s="1112"/>
      <c r="F209" s="1112"/>
      <c r="G209" s="485" t="s">
        <v>5</v>
      </c>
      <c r="H209" s="507">
        <f>I209+L209</f>
        <v>396719137</v>
      </c>
      <c r="I209" s="507">
        <f>J209+K209</f>
        <v>269995220</v>
      </c>
      <c r="J209" s="507">
        <f t="shared" ref="J209:K211" si="60">J213+J389+J400+J408</f>
        <v>210097355</v>
      </c>
      <c r="K209" s="507">
        <f t="shared" si="60"/>
        <v>59897865</v>
      </c>
      <c r="L209" s="507">
        <f>M209+N209</f>
        <v>126723917</v>
      </c>
      <c r="M209" s="507">
        <f t="shared" ref="M209:N211" si="61">M213+M389+M400+M408</f>
        <v>24136178</v>
      </c>
      <c r="N209" s="507">
        <f t="shared" si="61"/>
        <v>102587739</v>
      </c>
    </row>
    <row r="210" spans="1:14" s="488" customFormat="1" ht="14.1" customHeight="1">
      <c r="A210" s="1113"/>
      <c r="B210" s="1114"/>
      <c r="C210" s="1114"/>
      <c r="D210" s="1114"/>
      <c r="E210" s="1114"/>
      <c r="F210" s="1114"/>
      <c r="G210" s="485" t="s">
        <v>6</v>
      </c>
      <c r="H210" s="507">
        <f>I210+L210</f>
        <v>7656107</v>
      </c>
      <c r="I210" s="507">
        <f>J210+K210</f>
        <v>9789457</v>
      </c>
      <c r="J210" s="507">
        <f t="shared" si="60"/>
        <v>12425142</v>
      </c>
      <c r="K210" s="507">
        <f t="shared" si="60"/>
        <v>-2635685</v>
      </c>
      <c r="L210" s="507">
        <f>M210+N210</f>
        <v>-2133350</v>
      </c>
      <c r="M210" s="507">
        <f t="shared" si="61"/>
        <v>3272430</v>
      </c>
      <c r="N210" s="507">
        <f t="shared" si="61"/>
        <v>-5405780</v>
      </c>
    </row>
    <row r="211" spans="1:14" s="488" customFormat="1" ht="14.1" customHeight="1">
      <c r="A211" s="1115"/>
      <c r="B211" s="1116"/>
      <c r="C211" s="1116"/>
      <c r="D211" s="1116"/>
      <c r="E211" s="1116"/>
      <c r="F211" s="1116"/>
      <c r="G211" s="485" t="s">
        <v>7</v>
      </c>
      <c r="H211" s="507">
        <f>I211+L211</f>
        <v>404375244</v>
      </c>
      <c r="I211" s="507">
        <f>J211+K211</f>
        <v>279784677</v>
      </c>
      <c r="J211" s="507">
        <f t="shared" si="60"/>
        <v>222522497</v>
      </c>
      <c r="K211" s="507">
        <f t="shared" si="60"/>
        <v>57262180</v>
      </c>
      <c r="L211" s="507">
        <f>M211+N211</f>
        <v>124590567</v>
      </c>
      <c r="M211" s="507">
        <f t="shared" si="61"/>
        <v>27408608</v>
      </c>
      <c r="N211" s="507">
        <f t="shared" si="61"/>
        <v>97181959</v>
      </c>
    </row>
    <row r="212" spans="1:14" s="484" customFormat="1" ht="5.0999999999999996" customHeight="1">
      <c r="A212" s="532"/>
      <c r="B212" s="533"/>
      <c r="C212" s="533"/>
      <c r="D212" s="533"/>
      <c r="E212" s="534"/>
      <c r="F212" s="534"/>
      <c r="G212" s="534"/>
      <c r="H212" s="535"/>
      <c r="I212" s="536"/>
      <c r="J212" s="536"/>
      <c r="K212" s="536"/>
      <c r="L212" s="536"/>
      <c r="M212" s="536"/>
      <c r="N212" s="537"/>
    </row>
    <row r="213" spans="1:14" s="541" customFormat="1" ht="15" customHeight="1">
      <c r="A213" s="1094" t="s">
        <v>984</v>
      </c>
      <c r="B213" s="1095"/>
      <c r="C213" s="1095"/>
      <c r="D213" s="1095"/>
      <c r="E213" s="1095"/>
      <c r="F213" s="1095"/>
      <c r="G213" s="538" t="s">
        <v>5</v>
      </c>
      <c r="H213" s="539">
        <f>I213+L213</f>
        <v>281092597</v>
      </c>
      <c r="I213" s="540">
        <f>J213+K213</f>
        <v>212933501</v>
      </c>
      <c r="J213" s="540">
        <f>J217+J220+J223+J226+J229+J232+J235+J238+J241+J244+J247+J250+J253+J256+J259+J262+J265+J268+J271+J274+J277+J280+J283+J286+J289+J292+J295+J298+J301+J304+J307+J310+J313+J316+J319+J322+J325+J328+J331+J334+J337+J340+J343+J346+J349+J352+J355+J358+J361+J364+J367+J370+J373+J376+J379+J382+J385</f>
        <v>178099290</v>
      </c>
      <c r="K213" s="540">
        <f>K217+K220+K223+K226+K229+K232+K235+K238+K241+K244+K247+K250+K253+K256+K259+K262+K265+K268+K271+K274+K277+K280+K283+K286+K289+K292+K295+K298+K301+K304+K307+K310+K313+K316+K319+K322+K325+K328+K331+K334+K337+K340+K343+K346+K349+K352+K355+K358+K361+K364+K367+K370+K373+K376+K379+K382+K385</f>
        <v>34834211</v>
      </c>
      <c r="L213" s="540">
        <f>M213+N213</f>
        <v>68159096</v>
      </c>
      <c r="M213" s="540">
        <f>M217+M220+M223+M226+M229+M232+M235+M238+M241+M244+M247+M250+M253+M256+M259+M262+M265+M268+M271+M274+M277+M280+M283+M286+M289+M292+M295+M298+M301+M304+M307+M310+M313+M316+M319+M322+M325+M328+M331+M334+M337+M340+M343+M346+M349+M352+M355+M358+M361+M364+M367+M370+M373+M376+M379+M382+M385</f>
        <v>24076178</v>
      </c>
      <c r="N213" s="540">
        <f>N217+N220+N223+N226+N229+N232+N235+N238+N241+N244+N247+N250+N253+N256+N259+N262+N265+N268+N271+N274+N277+N280+N283+N286+N289+N292+N295+N298+N301+N304+N307+N310+N313+N316+N319+N322+N325+N328+N331+N334+N337+N340+N343+N346+N349+N352+N355+N358+N361+N364+N367+N370+N373+N376+N379+N382+N385</f>
        <v>44082918</v>
      </c>
    </row>
    <row r="214" spans="1:14" s="541" customFormat="1" ht="15" customHeight="1">
      <c r="A214" s="1096"/>
      <c r="B214" s="1097"/>
      <c r="C214" s="1097"/>
      <c r="D214" s="1097"/>
      <c r="E214" s="1097"/>
      <c r="F214" s="1097"/>
      <c r="G214" s="538" t="s">
        <v>6</v>
      </c>
      <c r="H214" s="539">
        <f>I214+L214</f>
        <v>455527</v>
      </c>
      <c r="I214" s="540">
        <f>J214+K214</f>
        <v>4891084</v>
      </c>
      <c r="J214" s="540">
        <f t="shared" ref="J214:K215" si="62">J218+J221+J224+J227+J230+J233+J236+J239+J242+J245+J248+J251+J254+J257+J260+J263+J266+J269+J272+J275+J278+J281+J284+J287+J290+J293+J296+J299+J302+J305+J308+J311+J314+J317+J320+J323+J326+J329+J332+J335+J338+J341+J344+J347+J350+J353+J356+J359+J362+J365+J368+J371+J374+J377+J380+J383+J386</f>
        <v>7804683</v>
      </c>
      <c r="K214" s="540">
        <f t="shared" si="62"/>
        <v>-2913599</v>
      </c>
      <c r="L214" s="540">
        <f>M214+N214</f>
        <v>-4435557</v>
      </c>
      <c r="M214" s="540">
        <f t="shared" ref="M214:N215" si="63">M218+M221+M224+M227+M230+M233+M236+M239+M242+M245+M248+M251+M254+M257+M260+M263+M266+M269+M272+M275+M278+M281+M284+M287+M290+M293+M296+M299+M302+M305+M308+M311+M314+M317+M320+M323+M326+M329+M332+M335+M338+M341+M344+M347+M350+M353+M356+M359+M362+M365+M368+M371+M374+M377+M380+M383+M386</f>
        <v>3172430</v>
      </c>
      <c r="N214" s="540">
        <f t="shared" si="63"/>
        <v>-7607987</v>
      </c>
    </row>
    <row r="215" spans="1:14" s="541" customFormat="1" ht="15" customHeight="1">
      <c r="A215" s="1098"/>
      <c r="B215" s="1099"/>
      <c r="C215" s="1099"/>
      <c r="D215" s="1099"/>
      <c r="E215" s="1099"/>
      <c r="F215" s="1099"/>
      <c r="G215" s="538" t="s">
        <v>7</v>
      </c>
      <c r="H215" s="539">
        <f>I215+L215</f>
        <v>281548124</v>
      </c>
      <c r="I215" s="540">
        <f>J215+K215</f>
        <v>217824585</v>
      </c>
      <c r="J215" s="540">
        <f t="shared" si="62"/>
        <v>185903973</v>
      </c>
      <c r="K215" s="540">
        <f t="shared" si="62"/>
        <v>31920612</v>
      </c>
      <c r="L215" s="540">
        <f>M215+N215</f>
        <v>63723539</v>
      </c>
      <c r="M215" s="540">
        <f t="shared" si="63"/>
        <v>27248608</v>
      </c>
      <c r="N215" s="540">
        <f t="shared" si="63"/>
        <v>36474931</v>
      </c>
    </row>
    <row r="216" spans="1:14" s="518" customFormat="1" ht="5.25" customHeight="1">
      <c r="A216" s="542"/>
      <c r="B216" s="543"/>
      <c r="C216" s="544"/>
      <c r="D216" s="544"/>
      <c r="E216" s="544"/>
      <c r="F216" s="544"/>
      <c r="G216" s="514"/>
      <c r="H216" s="515"/>
      <c r="I216" s="516"/>
      <c r="J216" s="516"/>
      <c r="K216" s="516"/>
      <c r="L216" s="516"/>
      <c r="M216" s="516"/>
      <c r="N216" s="517"/>
    </row>
    <row r="217" spans="1:14" s="448" customFormat="1" ht="15.2" hidden="1" customHeight="1">
      <c r="A217" s="1029" t="s">
        <v>89</v>
      </c>
      <c r="B217" s="1030"/>
      <c r="C217" s="1031" t="s">
        <v>180</v>
      </c>
      <c r="D217" s="1032"/>
      <c r="E217" s="545" t="s">
        <v>635</v>
      </c>
      <c r="F217" s="1108" t="s">
        <v>637</v>
      </c>
      <c r="G217" s="546" t="s">
        <v>5</v>
      </c>
      <c r="H217" s="496">
        <f t="shared" ref="H217:H280" si="64">I217+L217</f>
        <v>2268000</v>
      </c>
      <c r="I217" s="497">
        <f t="shared" ref="I217:I280" si="65">J217+K217</f>
        <v>0</v>
      </c>
      <c r="J217" s="497">
        <v>0</v>
      </c>
      <c r="K217" s="497">
        <v>0</v>
      </c>
      <c r="L217" s="497">
        <f t="shared" ref="L217:L280" si="66">M217+N217</f>
        <v>2268000</v>
      </c>
      <c r="M217" s="497">
        <v>0</v>
      </c>
      <c r="N217" s="497">
        <v>2268000</v>
      </c>
    </row>
    <row r="218" spans="1:14" s="448" customFormat="1" ht="15.2" hidden="1" customHeight="1">
      <c r="A218" s="1025"/>
      <c r="B218" s="1070"/>
      <c r="C218" s="1027"/>
      <c r="D218" s="1070"/>
      <c r="E218" s="547"/>
      <c r="F218" s="1109"/>
      <c r="G218" s="526" t="s">
        <v>6</v>
      </c>
      <c r="H218" s="496">
        <f t="shared" si="64"/>
        <v>0</v>
      </c>
      <c r="I218" s="497">
        <f t="shared" si="65"/>
        <v>0</v>
      </c>
      <c r="J218" s="497">
        <v>0</v>
      </c>
      <c r="K218" s="497">
        <v>0</v>
      </c>
      <c r="L218" s="497">
        <f t="shared" si="66"/>
        <v>0</v>
      </c>
      <c r="M218" s="497">
        <v>0</v>
      </c>
      <c r="N218" s="497">
        <v>0</v>
      </c>
    </row>
    <row r="219" spans="1:14" s="448" customFormat="1" ht="15.2" hidden="1" customHeight="1">
      <c r="A219" s="1025"/>
      <c r="B219" s="1026"/>
      <c r="C219" s="1035"/>
      <c r="D219" s="1036"/>
      <c r="E219" s="548"/>
      <c r="F219" s="1110"/>
      <c r="G219" s="531" t="s">
        <v>7</v>
      </c>
      <c r="H219" s="496">
        <f t="shared" si="64"/>
        <v>2268000</v>
      </c>
      <c r="I219" s="497">
        <f t="shared" si="65"/>
        <v>0</v>
      </c>
      <c r="J219" s="497">
        <f>J217+J218</f>
        <v>0</v>
      </c>
      <c r="K219" s="497">
        <f>K217+K218</f>
        <v>0</v>
      </c>
      <c r="L219" s="497">
        <f t="shared" si="66"/>
        <v>2268000</v>
      </c>
      <c r="M219" s="497">
        <f>M217+M218</f>
        <v>0</v>
      </c>
      <c r="N219" s="497">
        <f>N217+N218</f>
        <v>2268000</v>
      </c>
    </row>
    <row r="220" spans="1:14" s="448" customFormat="1" ht="15" customHeight="1">
      <c r="A220" s="1029" t="s">
        <v>89</v>
      </c>
      <c r="B220" s="1030"/>
      <c r="C220" s="1031" t="s">
        <v>91</v>
      </c>
      <c r="D220" s="1032"/>
      <c r="E220" s="545" t="s">
        <v>840</v>
      </c>
      <c r="F220" s="1014" t="s">
        <v>842</v>
      </c>
      <c r="G220" s="495" t="s">
        <v>5</v>
      </c>
      <c r="H220" s="496">
        <f t="shared" si="64"/>
        <v>1500000</v>
      </c>
      <c r="I220" s="497">
        <f t="shared" si="65"/>
        <v>0</v>
      </c>
      <c r="J220" s="497">
        <v>0</v>
      </c>
      <c r="K220" s="497">
        <v>0</v>
      </c>
      <c r="L220" s="497">
        <f t="shared" si="66"/>
        <v>1500000</v>
      </c>
      <c r="M220" s="497">
        <v>0</v>
      </c>
      <c r="N220" s="497">
        <v>1500000</v>
      </c>
    </row>
    <row r="221" spans="1:14" s="448" customFormat="1" ht="15" customHeight="1">
      <c r="A221" s="1025"/>
      <c r="B221" s="1026"/>
      <c r="C221" s="1027"/>
      <c r="D221" s="1028"/>
      <c r="E221" s="547"/>
      <c r="F221" s="1016"/>
      <c r="G221" s="495" t="s">
        <v>6</v>
      </c>
      <c r="H221" s="496">
        <f t="shared" si="64"/>
        <v>-100000</v>
      </c>
      <c r="I221" s="497">
        <f t="shared" si="65"/>
        <v>0</v>
      </c>
      <c r="J221" s="497">
        <v>0</v>
      </c>
      <c r="K221" s="497">
        <v>0</v>
      </c>
      <c r="L221" s="497">
        <f t="shared" si="66"/>
        <v>-100000</v>
      </c>
      <c r="M221" s="497">
        <v>0</v>
      </c>
      <c r="N221" s="497">
        <v>-100000</v>
      </c>
    </row>
    <row r="222" spans="1:14" s="448" customFormat="1" ht="15" customHeight="1">
      <c r="A222" s="1033"/>
      <c r="B222" s="1034"/>
      <c r="C222" s="1035"/>
      <c r="D222" s="1036"/>
      <c r="E222" s="548"/>
      <c r="F222" s="1018"/>
      <c r="G222" s="495" t="s">
        <v>7</v>
      </c>
      <c r="H222" s="496">
        <f t="shared" si="64"/>
        <v>1400000</v>
      </c>
      <c r="I222" s="497">
        <f t="shared" si="65"/>
        <v>0</v>
      </c>
      <c r="J222" s="497">
        <f>J220+J221</f>
        <v>0</v>
      </c>
      <c r="K222" s="497">
        <f>K220+K221</f>
        <v>0</v>
      </c>
      <c r="L222" s="497">
        <f t="shared" si="66"/>
        <v>1400000</v>
      </c>
      <c r="M222" s="497">
        <f>M220+M221</f>
        <v>0</v>
      </c>
      <c r="N222" s="497">
        <f>N220+N221</f>
        <v>1400000</v>
      </c>
    </row>
    <row r="223" spans="1:14" s="448" customFormat="1" ht="15" hidden="1" customHeight="1">
      <c r="A223" s="1025"/>
      <c r="B223" s="1026"/>
      <c r="C223" s="1027"/>
      <c r="D223" s="1028"/>
      <c r="E223" s="547" t="s">
        <v>780</v>
      </c>
      <c r="F223" s="1016" t="s">
        <v>869</v>
      </c>
      <c r="G223" s="548" t="s">
        <v>5</v>
      </c>
      <c r="H223" s="549">
        <f t="shared" si="64"/>
        <v>900000</v>
      </c>
      <c r="I223" s="550">
        <f t="shared" si="65"/>
        <v>0</v>
      </c>
      <c r="J223" s="550">
        <v>0</v>
      </c>
      <c r="K223" s="550">
        <v>0</v>
      </c>
      <c r="L223" s="550">
        <f t="shared" si="66"/>
        <v>900000</v>
      </c>
      <c r="M223" s="550">
        <v>0</v>
      </c>
      <c r="N223" s="550">
        <v>900000</v>
      </c>
    </row>
    <row r="224" spans="1:14" s="448" customFormat="1" ht="15" hidden="1" customHeight="1">
      <c r="A224" s="1025"/>
      <c r="B224" s="1026"/>
      <c r="C224" s="1027"/>
      <c r="D224" s="1028"/>
      <c r="E224" s="547"/>
      <c r="F224" s="1016"/>
      <c r="G224" s="495" t="s">
        <v>6</v>
      </c>
      <c r="H224" s="496">
        <f t="shared" si="64"/>
        <v>0</v>
      </c>
      <c r="I224" s="497">
        <f t="shared" si="65"/>
        <v>0</v>
      </c>
      <c r="J224" s="497">
        <v>0</v>
      </c>
      <c r="K224" s="497">
        <v>0</v>
      </c>
      <c r="L224" s="497">
        <f t="shared" si="66"/>
        <v>0</v>
      </c>
      <c r="M224" s="497">
        <v>0</v>
      </c>
      <c r="N224" s="497">
        <v>0</v>
      </c>
    </row>
    <row r="225" spans="1:14" s="448" customFormat="1" ht="15" hidden="1" customHeight="1">
      <c r="A225" s="1025"/>
      <c r="B225" s="1026"/>
      <c r="C225" s="1027"/>
      <c r="D225" s="1028"/>
      <c r="E225" s="547"/>
      <c r="F225" s="1016"/>
      <c r="G225" s="545" t="s">
        <v>7</v>
      </c>
      <c r="H225" s="528">
        <f t="shared" si="64"/>
        <v>900000</v>
      </c>
      <c r="I225" s="529">
        <f t="shared" si="65"/>
        <v>0</v>
      </c>
      <c r="J225" s="529">
        <f>J223+J224</f>
        <v>0</v>
      </c>
      <c r="K225" s="529">
        <f>K223+K224</f>
        <v>0</v>
      </c>
      <c r="L225" s="529">
        <f t="shared" si="66"/>
        <v>900000</v>
      </c>
      <c r="M225" s="529">
        <f>M223+M224</f>
        <v>0</v>
      </c>
      <c r="N225" s="529">
        <f>N223+N224</f>
        <v>900000</v>
      </c>
    </row>
    <row r="226" spans="1:14" s="530" customFormat="1" ht="15" customHeight="1">
      <c r="A226" s="1064"/>
      <c r="B226" s="1065"/>
      <c r="C226" s="1052"/>
      <c r="D226" s="1053"/>
      <c r="E226" s="551" t="s">
        <v>780</v>
      </c>
      <c r="F226" s="1014" t="s">
        <v>985</v>
      </c>
      <c r="G226" s="495" t="s">
        <v>5</v>
      </c>
      <c r="H226" s="496">
        <f t="shared" si="64"/>
        <v>19270771</v>
      </c>
      <c r="I226" s="497">
        <f t="shared" si="65"/>
        <v>0</v>
      </c>
      <c r="J226" s="497">
        <v>0</v>
      </c>
      <c r="K226" s="497">
        <v>0</v>
      </c>
      <c r="L226" s="497">
        <f t="shared" si="66"/>
        <v>19270771</v>
      </c>
      <c r="M226" s="497">
        <v>0</v>
      </c>
      <c r="N226" s="497">
        <v>19270771</v>
      </c>
    </row>
    <row r="227" spans="1:14" s="530" customFormat="1" ht="15" customHeight="1">
      <c r="A227" s="1010"/>
      <c r="B227" s="1020"/>
      <c r="C227" s="1012"/>
      <c r="D227" s="1013"/>
      <c r="E227" s="552"/>
      <c r="F227" s="1016"/>
      <c r="G227" s="495" t="s">
        <v>6</v>
      </c>
      <c r="H227" s="496">
        <f t="shared" si="64"/>
        <v>-12270770</v>
      </c>
      <c r="I227" s="497">
        <f t="shared" si="65"/>
        <v>0</v>
      </c>
      <c r="J227" s="497">
        <v>0</v>
      </c>
      <c r="K227" s="497">
        <v>0</v>
      </c>
      <c r="L227" s="497">
        <f t="shared" si="66"/>
        <v>-12270770</v>
      </c>
      <c r="M227" s="497">
        <v>0</v>
      </c>
      <c r="N227" s="497">
        <v>-12270770</v>
      </c>
    </row>
    <row r="228" spans="1:14" s="530" customFormat="1" ht="15" customHeight="1">
      <c r="A228" s="1010"/>
      <c r="B228" s="1020"/>
      <c r="C228" s="1012"/>
      <c r="D228" s="1013"/>
      <c r="E228" s="553"/>
      <c r="F228" s="1018"/>
      <c r="G228" s="495" t="s">
        <v>7</v>
      </c>
      <c r="H228" s="496">
        <f t="shared" si="64"/>
        <v>7000001</v>
      </c>
      <c r="I228" s="497">
        <f t="shared" si="65"/>
        <v>0</v>
      </c>
      <c r="J228" s="497">
        <f>J226+J227</f>
        <v>0</v>
      </c>
      <c r="K228" s="497">
        <f>K226+K227</f>
        <v>0</v>
      </c>
      <c r="L228" s="497">
        <f t="shared" si="66"/>
        <v>7000001</v>
      </c>
      <c r="M228" s="497">
        <f>M226+M227</f>
        <v>0</v>
      </c>
      <c r="N228" s="497">
        <f>N226+N227</f>
        <v>7000001</v>
      </c>
    </row>
    <row r="229" spans="1:14" s="448" customFormat="1" ht="15" hidden="1" customHeight="1">
      <c r="A229" s="1025"/>
      <c r="B229" s="1026"/>
      <c r="C229" s="1027"/>
      <c r="D229" s="1028"/>
      <c r="E229" s="545" t="s">
        <v>871</v>
      </c>
      <c r="F229" s="1014" t="s">
        <v>872</v>
      </c>
      <c r="G229" s="495" t="s">
        <v>5</v>
      </c>
      <c r="H229" s="496">
        <f t="shared" si="64"/>
        <v>960000</v>
      </c>
      <c r="I229" s="497">
        <f t="shared" si="65"/>
        <v>710000</v>
      </c>
      <c r="J229" s="497">
        <v>0</v>
      </c>
      <c r="K229" s="497">
        <v>710000</v>
      </c>
      <c r="L229" s="497">
        <f t="shared" si="66"/>
        <v>250000</v>
      </c>
      <c r="M229" s="497">
        <v>0</v>
      </c>
      <c r="N229" s="497">
        <v>250000</v>
      </c>
    </row>
    <row r="230" spans="1:14" s="448" customFormat="1" ht="15" hidden="1" customHeight="1">
      <c r="A230" s="1025"/>
      <c r="B230" s="1026"/>
      <c r="C230" s="1027"/>
      <c r="D230" s="1028"/>
      <c r="E230" s="547"/>
      <c r="F230" s="1016"/>
      <c r="G230" s="495" t="s">
        <v>6</v>
      </c>
      <c r="H230" s="496">
        <f t="shared" si="64"/>
        <v>0</v>
      </c>
      <c r="I230" s="497">
        <f t="shared" si="65"/>
        <v>0</v>
      </c>
      <c r="J230" s="497">
        <v>0</v>
      </c>
      <c r="K230" s="497">
        <v>0</v>
      </c>
      <c r="L230" s="497">
        <f t="shared" si="66"/>
        <v>0</v>
      </c>
      <c r="M230" s="497">
        <v>0</v>
      </c>
      <c r="N230" s="497">
        <v>0</v>
      </c>
    </row>
    <row r="231" spans="1:14" s="448" customFormat="1" ht="15" hidden="1" customHeight="1">
      <c r="A231" s="1033"/>
      <c r="B231" s="1034"/>
      <c r="C231" s="1035"/>
      <c r="D231" s="1036"/>
      <c r="E231" s="548"/>
      <c r="F231" s="1018"/>
      <c r="G231" s="495" t="s">
        <v>7</v>
      </c>
      <c r="H231" s="496">
        <f t="shared" si="64"/>
        <v>960000</v>
      </c>
      <c r="I231" s="497">
        <f t="shared" si="65"/>
        <v>710000</v>
      </c>
      <c r="J231" s="497">
        <f>J229+J230</f>
        <v>0</v>
      </c>
      <c r="K231" s="497">
        <f>K229+K230</f>
        <v>710000</v>
      </c>
      <c r="L231" s="497">
        <f t="shared" si="66"/>
        <v>250000</v>
      </c>
      <c r="M231" s="497">
        <f>M229+M230</f>
        <v>0</v>
      </c>
      <c r="N231" s="497">
        <f>N229+N230</f>
        <v>250000</v>
      </c>
    </row>
    <row r="232" spans="1:14" s="530" customFormat="1" ht="18" hidden="1" customHeight="1">
      <c r="A232" s="1064" t="s">
        <v>11</v>
      </c>
      <c r="B232" s="1065"/>
      <c r="C232" s="1052" t="s">
        <v>13</v>
      </c>
      <c r="D232" s="1053"/>
      <c r="E232" s="551" t="s">
        <v>664</v>
      </c>
      <c r="F232" s="1014" t="s">
        <v>986</v>
      </c>
      <c r="G232" s="495" t="s">
        <v>5</v>
      </c>
      <c r="H232" s="496">
        <f t="shared" si="64"/>
        <v>586412</v>
      </c>
      <c r="I232" s="497">
        <f t="shared" si="65"/>
        <v>586412</v>
      </c>
      <c r="J232" s="497">
        <v>586412</v>
      </c>
      <c r="K232" s="497">
        <v>0</v>
      </c>
      <c r="L232" s="497">
        <f t="shared" si="66"/>
        <v>0</v>
      </c>
      <c r="M232" s="497">
        <v>0</v>
      </c>
      <c r="N232" s="497">
        <v>0</v>
      </c>
    </row>
    <row r="233" spans="1:14" s="530" customFormat="1" ht="18" hidden="1" customHeight="1">
      <c r="A233" s="1010"/>
      <c r="B233" s="1020"/>
      <c r="C233" s="1012"/>
      <c r="D233" s="1013"/>
      <c r="E233" s="552"/>
      <c r="F233" s="1016"/>
      <c r="G233" s="495" t="s">
        <v>6</v>
      </c>
      <c r="H233" s="496">
        <f t="shared" si="64"/>
        <v>0</v>
      </c>
      <c r="I233" s="497">
        <f t="shared" si="65"/>
        <v>0</v>
      </c>
      <c r="J233" s="497">
        <v>0</v>
      </c>
      <c r="K233" s="497">
        <v>0</v>
      </c>
      <c r="L233" s="497">
        <f t="shared" si="66"/>
        <v>0</v>
      </c>
      <c r="M233" s="497">
        <v>0</v>
      </c>
      <c r="N233" s="497">
        <v>0</v>
      </c>
    </row>
    <row r="234" spans="1:14" s="530" customFormat="1" ht="18" hidden="1" customHeight="1">
      <c r="A234" s="1021"/>
      <c r="B234" s="1022"/>
      <c r="C234" s="1023"/>
      <c r="D234" s="1024"/>
      <c r="E234" s="552"/>
      <c r="F234" s="1018"/>
      <c r="G234" s="495" t="s">
        <v>7</v>
      </c>
      <c r="H234" s="496">
        <f t="shared" si="64"/>
        <v>586412</v>
      </c>
      <c r="I234" s="497">
        <f t="shared" si="65"/>
        <v>586412</v>
      </c>
      <c r="J234" s="497">
        <f>J232+J233</f>
        <v>586412</v>
      </c>
      <c r="K234" s="497">
        <f>K232+K233</f>
        <v>0</v>
      </c>
      <c r="L234" s="497">
        <f t="shared" si="66"/>
        <v>0</v>
      </c>
      <c r="M234" s="497">
        <f>M232+M233</f>
        <v>0</v>
      </c>
      <c r="N234" s="497">
        <f>N232+N233</f>
        <v>0</v>
      </c>
    </row>
    <row r="235" spans="1:14" s="448" customFormat="1" ht="15" hidden="1" customHeight="1">
      <c r="A235" s="1029" t="s">
        <v>61</v>
      </c>
      <c r="B235" s="1030"/>
      <c r="C235" s="1031" t="s">
        <v>63</v>
      </c>
      <c r="D235" s="1032"/>
      <c r="E235" s="545" t="s">
        <v>529</v>
      </c>
      <c r="F235" s="1014" t="s">
        <v>641</v>
      </c>
      <c r="G235" s="495" t="s">
        <v>5</v>
      </c>
      <c r="H235" s="496">
        <f t="shared" si="64"/>
        <v>39231580</v>
      </c>
      <c r="I235" s="497">
        <f t="shared" si="65"/>
        <v>39231580</v>
      </c>
      <c r="J235" s="497">
        <v>39231580</v>
      </c>
      <c r="K235" s="497"/>
      <c r="L235" s="497">
        <f t="shared" si="66"/>
        <v>0</v>
      </c>
      <c r="M235" s="497">
        <v>0</v>
      </c>
      <c r="N235" s="497">
        <v>0</v>
      </c>
    </row>
    <row r="236" spans="1:14" s="448" customFormat="1" ht="15" hidden="1" customHeight="1">
      <c r="A236" s="1025"/>
      <c r="B236" s="1026"/>
      <c r="C236" s="1027"/>
      <c r="D236" s="1028"/>
      <c r="E236" s="547"/>
      <c r="F236" s="1016"/>
      <c r="G236" s="495" t="s">
        <v>6</v>
      </c>
      <c r="H236" s="496">
        <f t="shared" si="64"/>
        <v>0</v>
      </c>
      <c r="I236" s="497">
        <f t="shared" si="65"/>
        <v>0</v>
      </c>
      <c r="J236" s="497">
        <v>0</v>
      </c>
      <c r="K236" s="497"/>
      <c r="L236" s="497">
        <f t="shared" si="66"/>
        <v>0</v>
      </c>
      <c r="M236" s="497">
        <v>0</v>
      </c>
      <c r="N236" s="497">
        <v>0</v>
      </c>
    </row>
    <row r="237" spans="1:14" s="448" customFormat="1" ht="15" hidden="1" customHeight="1">
      <c r="A237" s="1025"/>
      <c r="B237" s="1026"/>
      <c r="C237" s="1027"/>
      <c r="D237" s="1028"/>
      <c r="E237" s="547"/>
      <c r="F237" s="1018"/>
      <c r="G237" s="495" t="s">
        <v>7</v>
      </c>
      <c r="H237" s="496">
        <f t="shared" si="64"/>
        <v>39231580</v>
      </c>
      <c r="I237" s="497">
        <f t="shared" si="65"/>
        <v>39231580</v>
      </c>
      <c r="J237" s="497">
        <f>J235+J236</f>
        <v>39231580</v>
      </c>
      <c r="K237" s="497">
        <f>K235+K236</f>
        <v>0</v>
      </c>
      <c r="L237" s="497">
        <f t="shared" si="66"/>
        <v>0</v>
      </c>
      <c r="M237" s="497">
        <f>M235+M236</f>
        <v>0</v>
      </c>
      <c r="N237" s="497">
        <f>N235+N236</f>
        <v>0</v>
      </c>
    </row>
    <row r="238" spans="1:14" s="530" customFormat="1" ht="15" hidden="1" customHeight="1">
      <c r="A238" s="1010"/>
      <c r="B238" s="1020"/>
      <c r="C238" s="1012"/>
      <c r="D238" s="1013"/>
      <c r="E238" s="552"/>
      <c r="F238" s="1014" t="s">
        <v>643</v>
      </c>
      <c r="G238" s="495" t="s">
        <v>5</v>
      </c>
      <c r="H238" s="496">
        <f t="shared" si="64"/>
        <v>19720000</v>
      </c>
      <c r="I238" s="497">
        <f t="shared" si="65"/>
        <v>19720000</v>
      </c>
      <c r="J238" s="497">
        <v>19720000</v>
      </c>
      <c r="K238" s="497">
        <v>0</v>
      </c>
      <c r="L238" s="497">
        <f t="shared" si="66"/>
        <v>0</v>
      </c>
      <c r="M238" s="497">
        <v>0</v>
      </c>
      <c r="N238" s="497">
        <v>0</v>
      </c>
    </row>
    <row r="239" spans="1:14" s="530" customFormat="1" ht="15" hidden="1" customHeight="1">
      <c r="A239" s="1010"/>
      <c r="B239" s="1020"/>
      <c r="C239" s="1012"/>
      <c r="D239" s="1013"/>
      <c r="E239" s="552"/>
      <c r="F239" s="1016"/>
      <c r="G239" s="495" t="s">
        <v>6</v>
      </c>
      <c r="H239" s="496">
        <f t="shared" si="64"/>
        <v>0</v>
      </c>
      <c r="I239" s="497">
        <f t="shared" si="65"/>
        <v>0</v>
      </c>
      <c r="J239" s="497">
        <v>0</v>
      </c>
      <c r="K239" s="497">
        <v>0</v>
      </c>
      <c r="L239" s="497">
        <f t="shared" si="66"/>
        <v>0</v>
      </c>
      <c r="M239" s="497">
        <v>0</v>
      </c>
      <c r="N239" s="497">
        <v>0</v>
      </c>
    </row>
    <row r="240" spans="1:14" s="530" customFormat="1" ht="15" hidden="1" customHeight="1">
      <c r="A240" s="1010"/>
      <c r="B240" s="1020"/>
      <c r="C240" s="1012"/>
      <c r="D240" s="1013"/>
      <c r="E240" s="552"/>
      <c r="F240" s="1018"/>
      <c r="G240" s="495" t="s">
        <v>7</v>
      </c>
      <c r="H240" s="496">
        <f t="shared" si="64"/>
        <v>19720000</v>
      </c>
      <c r="I240" s="497">
        <f t="shared" si="65"/>
        <v>19720000</v>
      </c>
      <c r="J240" s="497">
        <f>J238+J239</f>
        <v>19720000</v>
      </c>
      <c r="K240" s="497">
        <f>K238+K239</f>
        <v>0</v>
      </c>
      <c r="L240" s="497">
        <f t="shared" si="66"/>
        <v>0</v>
      </c>
      <c r="M240" s="497">
        <f>M238+M239</f>
        <v>0</v>
      </c>
      <c r="N240" s="497">
        <f>N238+N239</f>
        <v>0</v>
      </c>
    </row>
    <row r="241" spans="1:14" s="530" customFormat="1" ht="15" hidden="1" customHeight="1">
      <c r="A241" s="1010"/>
      <c r="B241" s="1020"/>
      <c r="C241" s="1012"/>
      <c r="D241" s="1013"/>
      <c r="E241" s="552"/>
      <c r="F241" s="1014" t="s">
        <v>644</v>
      </c>
      <c r="G241" s="495" t="s">
        <v>5</v>
      </c>
      <c r="H241" s="496">
        <f t="shared" si="64"/>
        <v>10000000</v>
      </c>
      <c r="I241" s="497">
        <f t="shared" si="65"/>
        <v>9617500</v>
      </c>
      <c r="J241" s="497">
        <v>9617500</v>
      </c>
      <c r="K241" s="497">
        <v>0</v>
      </c>
      <c r="L241" s="497">
        <f t="shared" si="66"/>
        <v>382500</v>
      </c>
      <c r="M241" s="497">
        <v>382500</v>
      </c>
      <c r="N241" s="497">
        <v>0</v>
      </c>
    </row>
    <row r="242" spans="1:14" s="530" customFormat="1" ht="15" hidden="1" customHeight="1">
      <c r="A242" s="1010"/>
      <c r="B242" s="1020"/>
      <c r="C242" s="1012"/>
      <c r="D242" s="1013"/>
      <c r="E242" s="552"/>
      <c r="F242" s="1016"/>
      <c r="G242" s="495" t="s">
        <v>6</v>
      </c>
      <c r="H242" s="496">
        <f t="shared" si="64"/>
        <v>0</v>
      </c>
      <c r="I242" s="497">
        <f t="shared" si="65"/>
        <v>0</v>
      </c>
      <c r="J242" s="497">
        <v>0</v>
      </c>
      <c r="K242" s="497">
        <v>0</v>
      </c>
      <c r="L242" s="497">
        <f t="shared" si="66"/>
        <v>0</v>
      </c>
      <c r="M242" s="497">
        <v>0</v>
      </c>
      <c r="N242" s="497">
        <v>0</v>
      </c>
    </row>
    <row r="243" spans="1:14" s="530" customFormat="1" ht="15" hidden="1" customHeight="1">
      <c r="A243" s="1010"/>
      <c r="B243" s="1020"/>
      <c r="C243" s="1012"/>
      <c r="D243" s="1013"/>
      <c r="E243" s="553"/>
      <c r="F243" s="1018"/>
      <c r="G243" s="495" t="s">
        <v>7</v>
      </c>
      <c r="H243" s="496">
        <f t="shared" si="64"/>
        <v>10000000</v>
      </c>
      <c r="I243" s="497">
        <f t="shared" si="65"/>
        <v>9617500</v>
      </c>
      <c r="J243" s="497">
        <f>J241+J242</f>
        <v>9617500</v>
      </c>
      <c r="K243" s="497">
        <f>K241+K242</f>
        <v>0</v>
      </c>
      <c r="L243" s="497">
        <f t="shared" si="66"/>
        <v>382500</v>
      </c>
      <c r="M243" s="497">
        <f>M241+M242</f>
        <v>382500</v>
      </c>
      <c r="N243" s="497">
        <f>N241+N242</f>
        <v>0</v>
      </c>
    </row>
    <row r="244" spans="1:14" s="448" customFormat="1" ht="15" hidden="1" customHeight="1">
      <c r="A244" s="1025"/>
      <c r="B244" s="1026"/>
      <c r="C244" s="1027"/>
      <c r="D244" s="1028"/>
      <c r="E244" s="545" t="s">
        <v>535</v>
      </c>
      <c r="F244" s="1014" t="s">
        <v>646</v>
      </c>
      <c r="G244" s="495" t="s">
        <v>5</v>
      </c>
      <c r="H244" s="496">
        <f t="shared" si="64"/>
        <v>8134469</v>
      </c>
      <c r="I244" s="497">
        <f t="shared" si="65"/>
        <v>7996513</v>
      </c>
      <c r="J244" s="497">
        <v>7996513</v>
      </c>
      <c r="K244" s="497">
        <v>0</v>
      </c>
      <c r="L244" s="497">
        <f t="shared" si="66"/>
        <v>137956</v>
      </c>
      <c r="M244" s="497">
        <v>137956</v>
      </c>
      <c r="N244" s="497">
        <v>0</v>
      </c>
    </row>
    <row r="245" spans="1:14" s="448" customFormat="1" ht="15" hidden="1" customHeight="1">
      <c r="A245" s="1025"/>
      <c r="B245" s="1026"/>
      <c r="C245" s="1027"/>
      <c r="D245" s="1028"/>
      <c r="E245" s="547"/>
      <c r="F245" s="1016"/>
      <c r="G245" s="495" t="s">
        <v>6</v>
      </c>
      <c r="H245" s="496">
        <f t="shared" si="64"/>
        <v>0</v>
      </c>
      <c r="I245" s="497">
        <f t="shared" si="65"/>
        <v>0</v>
      </c>
      <c r="J245" s="497">
        <v>0</v>
      </c>
      <c r="K245" s="497">
        <v>0</v>
      </c>
      <c r="L245" s="497">
        <f t="shared" si="66"/>
        <v>0</v>
      </c>
      <c r="M245" s="497">
        <v>0</v>
      </c>
      <c r="N245" s="497">
        <v>0</v>
      </c>
    </row>
    <row r="246" spans="1:14" s="448" customFormat="1" ht="15" hidden="1" customHeight="1">
      <c r="A246" s="1033"/>
      <c r="B246" s="1034"/>
      <c r="C246" s="1035"/>
      <c r="D246" s="1036"/>
      <c r="E246" s="547"/>
      <c r="F246" s="1018"/>
      <c r="G246" s="495" t="s">
        <v>7</v>
      </c>
      <c r="H246" s="496">
        <f t="shared" si="64"/>
        <v>8134469</v>
      </c>
      <c r="I246" s="497">
        <f t="shared" si="65"/>
        <v>7996513</v>
      </c>
      <c r="J246" s="497">
        <f>J244+J245</f>
        <v>7996513</v>
      </c>
      <c r="K246" s="497">
        <f>K244+K245</f>
        <v>0</v>
      </c>
      <c r="L246" s="497">
        <f t="shared" si="66"/>
        <v>137956</v>
      </c>
      <c r="M246" s="497">
        <f>M244+M245</f>
        <v>137956</v>
      </c>
      <c r="N246" s="497">
        <f>N244+N245</f>
        <v>0</v>
      </c>
    </row>
    <row r="247" spans="1:14" s="530" customFormat="1" ht="15" hidden="1" customHeight="1">
      <c r="A247" s="1064" t="s">
        <v>20</v>
      </c>
      <c r="B247" s="1065"/>
      <c r="C247" s="1052" t="s">
        <v>115</v>
      </c>
      <c r="D247" s="1053"/>
      <c r="E247" s="551" t="s">
        <v>621</v>
      </c>
      <c r="F247" s="1014" t="s">
        <v>623</v>
      </c>
      <c r="G247" s="495" t="s">
        <v>5</v>
      </c>
      <c r="H247" s="496">
        <f t="shared" si="64"/>
        <v>156000</v>
      </c>
      <c r="I247" s="497">
        <f t="shared" si="65"/>
        <v>156000</v>
      </c>
      <c r="J247" s="497">
        <v>0</v>
      </c>
      <c r="K247" s="497">
        <v>156000</v>
      </c>
      <c r="L247" s="497">
        <f t="shared" si="66"/>
        <v>0</v>
      </c>
      <c r="M247" s="497">
        <v>0</v>
      </c>
      <c r="N247" s="497">
        <v>0</v>
      </c>
    </row>
    <row r="248" spans="1:14" s="530" customFormat="1" ht="15" hidden="1" customHeight="1">
      <c r="A248" s="1010"/>
      <c r="B248" s="1020"/>
      <c r="C248" s="1012"/>
      <c r="D248" s="1013"/>
      <c r="E248" s="552"/>
      <c r="F248" s="1016"/>
      <c r="G248" s="495" t="s">
        <v>6</v>
      </c>
      <c r="H248" s="496">
        <f t="shared" si="64"/>
        <v>0</v>
      </c>
      <c r="I248" s="497">
        <f t="shared" si="65"/>
        <v>0</v>
      </c>
      <c r="J248" s="497">
        <v>0</v>
      </c>
      <c r="K248" s="497">
        <v>0</v>
      </c>
      <c r="L248" s="497">
        <f t="shared" si="66"/>
        <v>0</v>
      </c>
      <c r="M248" s="497">
        <v>0</v>
      </c>
      <c r="N248" s="497">
        <v>0</v>
      </c>
    </row>
    <row r="249" spans="1:14" s="530" customFormat="1" ht="15" hidden="1" customHeight="1">
      <c r="A249" s="1010"/>
      <c r="B249" s="1020"/>
      <c r="C249" s="1012"/>
      <c r="D249" s="1013"/>
      <c r="E249" s="552"/>
      <c r="F249" s="1018"/>
      <c r="G249" s="495" t="s">
        <v>7</v>
      </c>
      <c r="H249" s="496">
        <f t="shared" si="64"/>
        <v>156000</v>
      </c>
      <c r="I249" s="497">
        <f t="shared" si="65"/>
        <v>156000</v>
      </c>
      <c r="J249" s="497">
        <f>J247+J248</f>
        <v>0</v>
      </c>
      <c r="K249" s="497">
        <f>K247+K248</f>
        <v>156000</v>
      </c>
      <c r="L249" s="497">
        <f t="shared" si="66"/>
        <v>0</v>
      </c>
      <c r="M249" s="497">
        <f>M247+M248</f>
        <v>0</v>
      </c>
      <c r="N249" s="497">
        <f>N247+N248</f>
        <v>0</v>
      </c>
    </row>
    <row r="250" spans="1:14" s="448" customFormat="1" ht="15" hidden="1" customHeight="1">
      <c r="A250" s="1025"/>
      <c r="B250" s="1026"/>
      <c r="C250" s="1027"/>
      <c r="D250" s="1028"/>
      <c r="E250" s="547"/>
      <c r="F250" s="1014" t="s">
        <v>627</v>
      </c>
      <c r="G250" s="495" t="s">
        <v>5</v>
      </c>
      <c r="H250" s="496">
        <f t="shared" si="64"/>
        <v>5000</v>
      </c>
      <c r="I250" s="497">
        <f t="shared" si="65"/>
        <v>5000</v>
      </c>
      <c r="J250" s="497">
        <v>0</v>
      </c>
      <c r="K250" s="497">
        <v>5000</v>
      </c>
      <c r="L250" s="497">
        <f t="shared" si="66"/>
        <v>0</v>
      </c>
      <c r="M250" s="497">
        <v>0</v>
      </c>
      <c r="N250" s="497">
        <v>0</v>
      </c>
    </row>
    <row r="251" spans="1:14" s="448" customFormat="1" ht="15" hidden="1" customHeight="1">
      <c r="A251" s="1025"/>
      <c r="B251" s="1026"/>
      <c r="C251" s="1027"/>
      <c r="D251" s="1028"/>
      <c r="E251" s="547"/>
      <c r="F251" s="1016"/>
      <c r="G251" s="495" t="s">
        <v>6</v>
      </c>
      <c r="H251" s="496">
        <f t="shared" si="64"/>
        <v>0</v>
      </c>
      <c r="I251" s="497">
        <f t="shared" si="65"/>
        <v>0</v>
      </c>
      <c r="J251" s="497">
        <v>0</v>
      </c>
      <c r="K251" s="497">
        <v>0</v>
      </c>
      <c r="L251" s="497">
        <f t="shared" si="66"/>
        <v>0</v>
      </c>
      <c r="M251" s="497">
        <v>0</v>
      </c>
      <c r="N251" s="497">
        <v>0</v>
      </c>
    </row>
    <row r="252" spans="1:14" s="448" customFormat="1" ht="15" hidden="1" customHeight="1">
      <c r="A252" s="1025"/>
      <c r="B252" s="1037"/>
      <c r="C252" s="1027"/>
      <c r="D252" s="1037"/>
      <c r="E252" s="547"/>
      <c r="F252" s="1018"/>
      <c r="G252" s="495" t="s">
        <v>7</v>
      </c>
      <c r="H252" s="496">
        <f t="shared" si="64"/>
        <v>5000</v>
      </c>
      <c r="I252" s="497">
        <f t="shared" si="65"/>
        <v>5000</v>
      </c>
      <c r="J252" s="497">
        <f>J250+J251</f>
        <v>0</v>
      </c>
      <c r="K252" s="497">
        <f>K250+K251</f>
        <v>5000</v>
      </c>
      <c r="L252" s="497">
        <f t="shared" si="66"/>
        <v>0</v>
      </c>
      <c r="M252" s="497">
        <f>M250+M251</f>
        <v>0</v>
      </c>
      <c r="N252" s="497">
        <f>N250+N251</f>
        <v>0</v>
      </c>
    </row>
    <row r="253" spans="1:14" s="530" customFormat="1" ht="15" hidden="1" customHeight="1">
      <c r="A253" s="1010"/>
      <c r="B253" s="1020"/>
      <c r="C253" s="1012"/>
      <c r="D253" s="1013"/>
      <c r="E253" s="552"/>
      <c r="F253" s="1014" t="s">
        <v>630</v>
      </c>
      <c r="G253" s="495" t="s">
        <v>5</v>
      </c>
      <c r="H253" s="496">
        <f t="shared" si="64"/>
        <v>2252238</v>
      </c>
      <c r="I253" s="497">
        <f t="shared" si="65"/>
        <v>0</v>
      </c>
      <c r="J253" s="497">
        <v>0</v>
      </c>
      <c r="K253" s="497">
        <v>0</v>
      </c>
      <c r="L253" s="497">
        <f t="shared" si="66"/>
        <v>2252238</v>
      </c>
      <c r="M253" s="497">
        <v>0</v>
      </c>
      <c r="N253" s="497">
        <v>2252238</v>
      </c>
    </row>
    <row r="254" spans="1:14" s="530" customFormat="1" ht="15" hidden="1" customHeight="1">
      <c r="A254" s="1010"/>
      <c r="B254" s="1037"/>
      <c r="C254" s="1012"/>
      <c r="D254" s="1037"/>
      <c r="E254" s="552"/>
      <c r="F254" s="1016"/>
      <c r="G254" s="495" t="s">
        <v>6</v>
      </c>
      <c r="H254" s="496">
        <f t="shared" si="64"/>
        <v>0</v>
      </c>
      <c r="I254" s="497">
        <f t="shared" si="65"/>
        <v>0</v>
      </c>
      <c r="J254" s="497">
        <v>0</v>
      </c>
      <c r="K254" s="497">
        <v>0</v>
      </c>
      <c r="L254" s="497">
        <f t="shared" si="66"/>
        <v>0</v>
      </c>
      <c r="M254" s="497">
        <v>0</v>
      </c>
      <c r="N254" s="497">
        <v>0</v>
      </c>
    </row>
    <row r="255" spans="1:14" s="530" customFormat="1" ht="15" hidden="1" customHeight="1">
      <c r="A255" s="1021"/>
      <c r="B255" s="1060"/>
      <c r="C255" s="1023"/>
      <c r="D255" s="1060"/>
      <c r="E255" s="552"/>
      <c r="F255" s="1018"/>
      <c r="G255" s="495" t="s">
        <v>7</v>
      </c>
      <c r="H255" s="496">
        <f t="shared" si="64"/>
        <v>2252238</v>
      </c>
      <c r="I255" s="497">
        <f t="shared" si="65"/>
        <v>0</v>
      </c>
      <c r="J255" s="497">
        <f>J253+J254</f>
        <v>0</v>
      </c>
      <c r="K255" s="497">
        <f>K253+K254</f>
        <v>0</v>
      </c>
      <c r="L255" s="497">
        <f t="shared" si="66"/>
        <v>2252238</v>
      </c>
      <c r="M255" s="497">
        <f>M253+M254</f>
        <v>0</v>
      </c>
      <c r="N255" s="497">
        <f>N253+N254</f>
        <v>2252238</v>
      </c>
    </row>
    <row r="256" spans="1:14" s="530" customFormat="1" ht="15" hidden="1" customHeight="1">
      <c r="A256" s="1064" t="s">
        <v>118</v>
      </c>
      <c r="B256" s="1065"/>
      <c r="C256" s="1052" t="s">
        <v>987</v>
      </c>
      <c r="D256" s="1053"/>
      <c r="E256" s="551" t="s">
        <v>553</v>
      </c>
      <c r="F256" s="1014" t="s">
        <v>809</v>
      </c>
      <c r="G256" s="495" t="s">
        <v>5</v>
      </c>
      <c r="H256" s="496">
        <f t="shared" si="64"/>
        <v>1037995</v>
      </c>
      <c r="I256" s="497">
        <f t="shared" si="65"/>
        <v>0</v>
      </c>
      <c r="J256" s="497">
        <v>0</v>
      </c>
      <c r="K256" s="497">
        <v>0</v>
      </c>
      <c r="L256" s="497">
        <f t="shared" si="66"/>
        <v>1037995</v>
      </c>
      <c r="M256" s="497">
        <v>1037995</v>
      </c>
      <c r="N256" s="497">
        <v>0</v>
      </c>
    </row>
    <row r="257" spans="1:14" s="530" customFormat="1" ht="15" hidden="1" customHeight="1">
      <c r="A257" s="1010"/>
      <c r="B257" s="1020"/>
      <c r="C257" s="1012"/>
      <c r="D257" s="1013"/>
      <c r="E257" s="552"/>
      <c r="F257" s="1016"/>
      <c r="G257" s="495" t="s">
        <v>6</v>
      </c>
      <c r="H257" s="496">
        <f t="shared" si="64"/>
        <v>0</v>
      </c>
      <c r="I257" s="497">
        <f t="shared" si="65"/>
        <v>0</v>
      </c>
      <c r="J257" s="497">
        <v>0</v>
      </c>
      <c r="K257" s="497">
        <v>0</v>
      </c>
      <c r="L257" s="497">
        <f t="shared" si="66"/>
        <v>0</v>
      </c>
      <c r="M257" s="497">
        <v>0</v>
      </c>
      <c r="N257" s="497">
        <v>0</v>
      </c>
    </row>
    <row r="258" spans="1:14" s="530" customFormat="1" ht="15" hidden="1" customHeight="1">
      <c r="A258" s="1010"/>
      <c r="B258" s="1020"/>
      <c r="C258" s="1012"/>
      <c r="D258" s="1013"/>
      <c r="E258" s="552"/>
      <c r="F258" s="1018"/>
      <c r="G258" s="495" t="s">
        <v>7</v>
      </c>
      <c r="H258" s="496">
        <f t="shared" si="64"/>
        <v>1037995</v>
      </c>
      <c r="I258" s="497">
        <f t="shared" si="65"/>
        <v>0</v>
      </c>
      <c r="J258" s="497">
        <f>J256+J257</f>
        <v>0</v>
      </c>
      <c r="K258" s="497">
        <f>K256+K257</f>
        <v>0</v>
      </c>
      <c r="L258" s="497">
        <f t="shared" si="66"/>
        <v>1037995</v>
      </c>
      <c r="M258" s="497">
        <f>M256+M257</f>
        <v>1037995</v>
      </c>
      <c r="N258" s="497">
        <f>N256+N257</f>
        <v>0</v>
      </c>
    </row>
    <row r="259" spans="1:14" s="448" customFormat="1" ht="15" hidden="1" customHeight="1">
      <c r="A259" s="1029" t="s">
        <v>23</v>
      </c>
      <c r="B259" s="1030"/>
      <c r="C259" s="1031" t="s">
        <v>988</v>
      </c>
      <c r="D259" s="1032"/>
      <c r="E259" s="545" t="s">
        <v>710</v>
      </c>
      <c r="F259" s="1014" t="s">
        <v>825</v>
      </c>
      <c r="G259" s="495" t="s">
        <v>5</v>
      </c>
      <c r="H259" s="496">
        <f t="shared" si="64"/>
        <v>192660</v>
      </c>
      <c r="I259" s="497">
        <f t="shared" si="65"/>
        <v>192660</v>
      </c>
      <c r="J259" s="497">
        <v>192660</v>
      </c>
      <c r="K259" s="497">
        <v>0</v>
      </c>
      <c r="L259" s="497">
        <f t="shared" si="66"/>
        <v>0</v>
      </c>
      <c r="M259" s="497">
        <v>0</v>
      </c>
      <c r="N259" s="497">
        <v>0</v>
      </c>
    </row>
    <row r="260" spans="1:14" s="448" customFormat="1" ht="15" hidden="1" customHeight="1">
      <c r="A260" s="1025"/>
      <c r="B260" s="1037"/>
      <c r="C260" s="1027"/>
      <c r="D260" s="1037"/>
      <c r="E260" s="547"/>
      <c r="F260" s="1016"/>
      <c r="G260" s="495" t="s">
        <v>6</v>
      </c>
      <c r="H260" s="496">
        <f t="shared" si="64"/>
        <v>0</v>
      </c>
      <c r="I260" s="497">
        <f t="shared" si="65"/>
        <v>0</v>
      </c>
      <c r="J260" s="497">
        <v>0</v>
      </c>
      <c r="K260" s="497">
        <v>0</v>
      </c>
      <c r="L260" s="497">
        <f t="shared" si="66"/>
        <v>0</v>
      </c>
      <c r="M260" s="497">
        <v>0</v>
      </c>
      <c r="N260" s="497">
        <v>0</v>
      </c>
    </row>
    <row r="261" spans="1:14" s="448" customFormat="1" ht="15" hidden="1" customHeight="1">
      <c r="A261" s="1025"/>
      <c r="B261" s="1037"/>
      <c r="C261" s="1035"/>
      <c r="D261" s="1060"/>
      <c r="E261" s="547"/>
      <c r="F261" s="1018"/>
      <c r="G261" s="495" t="s">
        <v>7</v>
      </c>
      <c r="H261" s="496">
        <f t="shared" si="64"/>
        <v>192660</v>
      </c>
      <c r="I261" s="497">
        <f t="shared" si="65"/>
        <v>192660</v>
      </c>
      <c r="J261" s="497">
        <f>J259+J260</f>
        <v>192660</v>
      </c>
      <c r="K261" s="497">
        <f>K259+K260</f>
        <v>0</v>
      </c>
      <c r="L261" s="497">
        <f t="shared" si="66"/>
        <v>0</v>
      </c>
      <c r="M261" s="497">
        <f>M259+M260</f>
        <v>0</v>
      </c>
      <c r="N261" s="497">
        <f>N259+N260</f>
        <v>0</v>
      </c>
    </row>
    <row r="262" spans="1:14" s="448" customFormat="1" ht="15" hidden="1" customHeight="1">
      <c r="A262" s="1025"/>
      <c r="B262" s="1026"/>
      <c r="C262" s="1031" t="s">
        <v>989</v>
      </c>
      <c r="D262" s="1032"/>
      <c r="E262" s="545" t="s">
        <v>715</v>
      </c>
      <c r="F262" s="1014" t="s">
        <v>828</v>
      </c>
      <c r="G262" s="495" t="s">
        <v>5</v>
      </c>
      <c r="H262" s="496">
        <f t="shared" si="64"/>
        <v>19129</v>
      </c>
      <c r="I262" s="497">
        <f t="shared" si="65"/>
        <v>0</v>
      </c>
      <c r="J262" s="497">
        <v>0</v>
      </c>
      <c r="K262" s="497">
        <v>0</v>
      </c>
      <c r="L262" s="497">
        <f t="shared" si="66"/>
        <v>19129</v>
      </c>
      <c r="M262" s="497">
        <v>19129</v>
      </c>
      <c r="N262" s="497">
        <v>0</v>
      </c>
    </row>
    <row r="263" spans="1:14" s="448" customFormat="1" ht="15" hidden="1" customHeight="1">
      <c r="A263" s="1025"/>
      <c r="B263" s="1037"/>
      <c r="C263" s="1027"/>
      <c r="D263" s="1037"/>
      <c r="E263" s="547"/>
      <c r="F263" s="1016"/>
      <c r="G263" s="495" t="s">
        <v>6</v>
      </c>
      <c r="H263" s="496">
        <f t="shared" si="64"/>
        <v>0</v>
      </c>
      <c r="I263" s="497">
        <f t="shared" si="65"/>
        <v>0</v>
      </c>
      <c r="J263" s="497">
        <v>0</v>
      </c>
      <c r="K263" s="497">
        <v>0</v>
      </c>
      <c r="L263" s="497">
        <f t="shared" si="66"/>
        <v>0</v>
      </c>
      <c r="M263" s="497">
        <v>0</v>
      </c>
      <c r="N263" s="497">
        <v>0</v>
      </c>
    </row>
    <row r="264" spans="1:14" s="448" customFormat="1" ht="15" hidden="1" customHeight="1">
      <c r="A264" s="1025"/>
      <c r="B264" s="1037"/>
      <c r="C264" s="1035"/>
      <c r="D264" s="1060"/>
      <c r="E264" s="547"/>
      <c r="F264" s="1018"/>
      <c r="G264" s="495" t="s">
        <v>7</v>
      </c>
      <c r="H264" s="496">
        <f t="shared" si="64"/>
        <v>19129</v>
      </c>
      <c r="I264" s="497">
        <f t="shared" si="65"/>
        <v>0</v>
      </c>
      <c r="J264" s="497">
        <f>J262+J263</f>
        <v>0</v>
      </c>
      <c r="K264" s="497">
        <f>K262+K263</f>
        <v>0</v>
      </c>
      <c r="L264" s="497">
        <f t="shared" si="66"/>
        <v>19129</v>
      </c>
      <c r="M264" s="497">
        <f>M262+M263</f>
        <v>19129</v>
      </c>
      <c r="N264" s="497">
        <f>N262+N263</f>
        <v>0</v>
      </c>
    </row>
    <row r="265" spans="1:14" s="530" customFormat="1" ht="15" hidden="1" customHeight="1">
      <c r="A265" s="1010"/>
      <c r="B265" s="1020"/>
      <c r="C265" s="1052" t="s">
        <v>147</v>
      </c>
      <c r="D265" s="1053"/>
      <c r="E265" s="551" t="s">
        <v>806</v>
      </c>
      <c r="F265" s="1014" t="s">
        <v>807</v>
      </c>
      <c r="G265" s="495" t="s">
        <v>5</v>
      </c>
      <c r="H265" s="496">
        <f t="shared" si="64"/>
        <v>446832</v>
      </c>
      <c r="I265" s="497">
        <f t="shared" si="65"/>
        <v>446832</v>
      </c>
      <c r="J265" s="497">
        <v>446832</v>
      </c>
      <c r="K265" s="497">
        <v>0</v>
      </c>
      <c r="L265" s="497">
        <f t="shared" si="66"/>
        <v>0</v>
      </c>
      <c r="M265" s="497">
        <v>0</v>
      </c>
      <c r="N265" s="497">
        <v>0</v>
      </c>
    </row>
    <row r="266" spans="1:14" s="530" customFormat="1" ht="15" hidden="1" customHeight="1">
      <c r="A266" s="1010"/>
      <c r="B266" s="1037"/>
      <c r="C266" s="1012"/>
      <c r="D266" s="1037"/>
      <c r="E266" s="552"/>
      <c r="F266" s="1016"/>
      <c r="G266" s="495" t="s">
        <v>6</v>
      </c>
      <c r="H266" s="496">
        <f t="shared" si="64"/>
        <v>0</v>
      </c>
      <c r="I266" s="497">
        <f t="shared" si="65"/>
        <v>0</v>
      </c>
      <c r="J266" s="497">
        <v>0</v>
      </c>
      <c r="K266" s="497">
        <v>0</v>
      </c>
      <c r="L266" s="497">
        <f t="shared" si="66"/>
        <v>0</v>
      </c>
      <c r="M266" s="497">
        <v>0</v>
      </c>
      <c r="N266" s="497">
        <v>0</v>
      </c>
    </row>
    <row r="267" spans="1:14" s="530" customFormat="1" ht="15" hidden="1" customHeight="1">
      <c r="A267" s="1010"/>
      <c r="B267" s="1037"/>
      <c r="C267" s="1012"/>
      <c r="D267" s="1037"/>
      <c r="E267" s="552"/>
      <c r="F267" s="1018"/>
      <c r="G267" s="495" t="s">
        <v>7</v>
      </c>
      <c r="H267" s="496">
        <f t="shared" si="64"/>
        <v>446832</v>
      </c>
      <c r="I267" s="497">
        <f t="shared" si="65"/>
        <v>446832</v>
      </c>
      <c r="J267" s="497">
        <f>J265+J266</f>
        <v>446832</v>
      </c>
      <c r="K267" s="497">
        <f>K265+K266</f>
        <v>0</v>
      </c>
      <c r="L267" s="497">
        <f t="shared" si="66"/>
        <v>0</v>
      </c>
      <c r="M267" s="497">
        <f>M265+M266</f>
        <v>0</v>
      </c>
      <c r="N267" s="497">
        <f>N265+N266</f>
        <v>0</v>
      </c>
    </row>
    <row r="268" spans="1:14" s="448" customFormat="1" ht="15" hidden="1" customHeight="1">
      <c r="A268" s="1025"/>
      <c r="B268" s="1026"/>
      <c r="C268" s="1027"/>
      <c r="D268" s="1028"/>
      <c r="E268" s="545" t="s">
        <v>861</v>
      </c>
      <c r="F268" s="1014" t="s">
        <v>862</v>
      </c>
      <c r="G268" s="495" t="s">
        <v>5</v>
      </c>
      <c r="H268" s="496">
        <f t="shared" si="64"/>
        <v>680000</v>
      </c>
      <c r="I268" s="497">
        <f t="shared" si="65"/>
        <v>588000</v>
      </c>
      <c r="J268" s="497">
        <v>73000</v>
      </c>
      <c r="K268" s="497">
        <v>515000</v>
      </c>
      <c r="L268" s="497">
        <f t="shared" si="66"/>
        <v>92000</v>
      </c>
      <c r="M268" s="497">
        <v>2000</v>
      </c>
      <c r="N268" s="497">
        <v>90000</v>
      </c>
    </row>
    <row r="269" spans="1:14" s="448" customFormat="1" ht="15" hidden="1" customHeight="1">
      <c r="A269" s="1025"/>
      <c r="B269" s="1037"/>
      <c r="C269" s="1027"/>
      <c r="D269" s="1037"/>
      <c r="E269" s="547"/>
      <c r="F269" s="1016"/>
      <c r="G269" s="495" t="s">
        <v>6</v>
      </c>
      <c r="H269" s="496">
        <f t="shared" si="64"/>
        <v>0</v>
      </c>
      <c r="I269" s="497">
        <f t="shared" si="65"/>
        <v>0</v>
      </c>
      <c r="J269" s="497">
        <v>0</v>
      </c>
      <c r="K269" s="497">
        <v>0</v>
      </c>
      <c r="L269" s="497">
        <f t="shared" si="66"/>
        <v>0</v>
      </c>
      <c r="M269" s="497">
        <v>0</v>
      </c>
      <c r="N269" s="497">
        <v>0</v>
      </c>
    </row>
    <row r="270" spans="1:14" s="448" customFormat="1" ht="15" hidden="1" customHeight="1">
      <c r="A270" s="1025"/>
      <c r="B270" s="1037"/>
      <c r="C270" s="1027"/>
      <c r="D270" s="1037"/>
      <c r="E270" s="547"/>
      <c r="F270" s="1018"/>
      <c r="G270" s="495" t="s">
        <v>7</v>
      </c>
      <c r="H270" s="496">
        <f t="shared" si="64"/>
        <v>680000</v>
      </c>
      <c r="I270" s="497">
        <f t="shared" si="65"/>
        <v>588000</v>
      </c>
      <c r="J270" s="497">
        <f>J268+J269</f>
        <v>73000</v>
      </c>
      <c r="K270" s="497">
        <f>K268+K269</f>
        <v>515000</v>
      </c>
      <c r="L270" s="497">
        <f t="shared" si="66"/>
        <v>92000</v>
      </c>
      <c r="M270" s="497">
        <f>M268+M269</f>
        <v>2000</v>
      </c>
      <c r="N270" s="497">
        <f>N268+N269</f>
        <v>90000</v>
      </c>
    </row>
    <row r="271" spans="1:14" s="448" customFormat="1" ht="15" hidden="1" customHeight="1">
      <c r="A271" s="1025"/>
      <c r="B271" s="1026"/>
      <c r="C271" s="1027"/>
      <c r="D271" s="1028"/>
      <c r="E271" s="545" t="s">
        <v>864</v>
      </c>
      <c r="F271" s="1014" t="s">
        <v>865</v>
      </c>
      <c r="G271" s="495" t="s">
        <v>5</v>
      </c>
      <c r="H271" s="496">
        <f t="shared" si="64"/>
        <v>525000</v>
      </c>
      <c r="I271" s="497">
        <f t="shared" si="65"/>
        <v>450000</v>
      </c>
      <c r="J271" s="497">
        <v>0</v>
      </c>
      <c r="K271" s="497">
        <f>375000+75000</f>
        <v>450000</v>
      </c>
      <c r="L271" s="497">
        <f t="shared" si="66"/>
        <v>75000</v>
      </c>
      <c r="M271" s="497">
        <v>0</v>
      </c>
      <c r="N271" s="497">
        <v>75000</v>
      </c>
    </row>
    <row r="272" spans="1:14" s="448" customFormat="1" ht="15" hidden="1" customHeight="1">
      <c r="A272" s="1025"/>
      <c r="B272" s="1037"/>
      <c r="C272" s="1027"/>
      <c r="D272" s="1037"/>
      <c r="E272" s="547"/>
      <c r="F272" s="1016"/>
      <c r="G272" s="495" t="s">
        <v>6</v>
      </c>
      <c r="H272" s="496">
        <f t="shared" si="64"/>
        <v>0</v>
      </c>
      <c r="I272" s="497">
        <f t="shared" si="65"/>
        <v>0</v>
      </c>
      <c r="J272" s="497">
        <v>0</v>
      </c>
      <c r="K272" s="497">
        <v>0</v>
      </c>
      <c r="L272" s="497">
        <f t="shared" si="66"/>
        <v>0</v>
      </c>
      <c r="M272" s="497">
        <v>0</v>
      </c>
      <c r="N272" s="497">
        <v>0</v>
      </c>
    </row>
    <row r="273" spans="1:14" s="448" customFormat="1" ht="15" hidden="1" customHeight="1">
      <c r="A273" s="1025"/>
      <c r="B273" s="1037"/>
      <c r="C273" s="1027"/>
      <c r="D273" s="1037"/>
      <c r="E273" s="547"/>
      <c r="F273" s="1018"/>
      <c r="G273" s="495" t="s">
        <v>7</v>
      </c>
      <c r="H273" s="496">
        <f t="shared" si="64"/>
        <v>525000</v>
      </c>
      <c r="I273" s="497">
        <f t="shared" si="65"/>
        <v>450000</v>
      </c>
      <c r="J273" s="497">
        <f>J271+J272</f>
        <v>0</v>
      </c>
      <c r="K273" s="497">
        <f>K271+K272</f>
        <v>450000</v>
      </c>
      <c r="L273" s="497">
        <f t="shared" si="66"/>
        <v>75000</v>
      </c>
      <c r="M273" s="497">
        <f>M271+M272</f>
        <v>0</v>
      </c>
      <c r="N273" s="497">
        <f>N271+N272</f>
        <v>75000</v>
      </c>
    </row>
    <row r="274" spans="1:14" s="448" customFormat="1" ht="15" hidden="1" customHeight="1">
      <c r="A274" s="1025"/>
      <c r="B274" s="1026"/>
      <c r="C274" s="1027"/>
      <c r="D274" s="1028"/>
      <c r="E274" s="545" t="s">
        <v>764</v>
      </c>
      <c r="F274" s="1014" t="s">
        <v>765</v>
      </c>
      <c r="G274" s="495" t="s">
        <v>5</v>
      </c>
      <c r="H274" s="496">
        <f t="shared" si="64"/>
        <v>370933</v>
      </c>
      <c r="I274" s="497">
        <f t="shared" si="65"/>
        <v>370933</v>
      </c>
      <c r="J274" s="497">
        <v>0</v>
      </c>
      <c r="K274" s="497">
        <v>370933</v>
      </c>
      <c r="L274" s="497">
        <f t="shared" si="66"/>
        <v>0</v>
      </c>
      <c r="M274" s="497">
        <v>0</v>
      </c>
      <c r="N274" s="497">
        <v>0</v>
      </c>
    </row>
    <row r="275" spans="1:14" s="448" customFormat="1" ht="15" hidden="1" customHeight="1">
      <c r="A275" s="1025"/>
      <c r="B275" s="1037"/>
      <c r="C275" s="1027"/>
      <c r="D275" s="1037"/>
      <c r="E275" s="547"/>
      <c r="F275" s="1016"/>
      <c r="G275" s="495" t="s">
        <v>6</v>
      </c>
      <c r="H275" s="496">
        <f t="shared" si="64"/>
        <v>0</v>
      </c>
      <c r="I275" s="497">
        <f t="shared" si="65"/>
        <v>0</v>
      </c>
      <c r="J275" s="497">
        <v>0</v>
      </c>
      <c r="K275" s="497">
        <v>0</v>
      </c>
      <c r="L275" s="497">
        <f t="shared" si="66"/>
        <v>0</v>
      </c>
      <c r="M275" s="497">
        <v>0</v>
      </c>
      <c r="N275" s="497">
        <v>0</v>
      </c>
    </row>
    <row r="276" spans="1:14" s="448" customFormat="1" ht="15" hidden="1" customHeight="1">
      <c r="A276" s="1025"/>
      <c r="B276" s="1037"/>
      <c r="C276" s="1027"/>
      <c r="D276" s="1037"/>
      <c r="E276" s="547"/>
      <c r="F276" s="1018"/>
      <c r="G276" s="495" t="s">
        <v>7</v>
      </c>
      <c r="H276" s="496">
        <f t="shared" si="64"/>
        <v>370933</v>
      </c>
      <c r="I276" s="497">
        <f t="shared" si="65"/>
        <v>370933</v>
      </c>
      <c r="J276" s="497">
        <f>J274+J275</f>
        <v>0</v>
      </c>
      <c r="K276" s="497">
        <f>K274+K275</f>
        <v>370933</v>
      </c>
      <c r="L276" s="497">
        <f t="shared" si="66"/>
        <v>0</v>
      </c>
      <c r="M276" s="497">
        <f>M274+M275</f>
        <v>0</v>
      </c>
      <c r="N276" s="497">
        <f>N274+N275</f>
        <v>0</v>
      </c>
    </row>
    <row r="277" spans="1:14" s="448" customFormat="1" ht="15" hidden="1" customHeight="1">
      <c r="A277" s="1025"/>
      <c r="B277" s="1026"/>
      <c r="C277" s="1027"/>
      <c r="D277" s="1028"/>
      <c r="E277" s="547"/>
      <c r="F277" s="1014" t="s">
        <v>767</v>
      </c>
      <c r="G277" s="495" t="s">
        <v>5</v>
      </c>
      <c r="H277" s="496">
        <f t="shared" si="64"/>
        <v>534420</v>
      </c>
      <c r="I277" s="497">
        <f t="shared" si="65"/>
        <v>534420</v>
      </c>
      <c r="J277" s="497">
        <v>0</v>
      </c>
      <c r="K277" s="497">
        <v>534420</v>
      </c>
      <c r="L277" s="497">
        <f t="shared" si="66"/>
        <v>0</v>
      </c>
      <c r="M277" s="497">
        <v>0</v>
      </c>
      <c r="N277" s="497">
        <v>0</v>
      </c>
    </row>
    <row r="278" spans="1:14" s="448" customFormat="1" ht="15" hidden="1" customHeight="1">
      <c r="A278" s="1025"/>
      <c r="B278" s="1037"/>
      <c r="C278" s="1027"/>
      <c r="D278" s="1037"/>
      <c r="E278" s="547"/>
      <c r="F278" s="1016"/>
      <c r="G278" s="495" t="s">
        <v>6</v>
      </c>
      <c r="H278" s="496">
        <f t="shared" si="64"/>
        <v>0</v>
      </c>
      <c r="I278" s="497">
        <f t="shared" si="65"/>
        <v>0</v>
      </c>
      <c r="J278" s="497">
        <v>0</v>
      </c>
      <c r="K278" s="497">
        <v>0</v>
      </c>
      <c r="L278" s="497">
        <f t="shared" si="66"/>
        <v>0</v>
      </c>
      <c r="M278" s="497">
        <v>0</v>
      </c>
      <c r="N278" s="497">
        <v>0</v>
      </c>
    </row>
    <row r="279" spans="1:14" s="448" customFormat="1" ht="15" hidden="1" customHeight="1">
      <c r="A279" s="1025"/>
      <c r="B279" s="1037"/>
      <c r="C279" s="1027"/>
      <c r="D279" s="1037"/>
      <c r="E279" s="547"/>
      <c r="F279" s="1018"/>
      <c r="G279" s="495" t="s">
        <v>7</v>
      </c>
      <c r="H279" s="496">
        <f t="shared" si="64"/>
        <v>534420</v>
      </c>
      <c r="I279" s="497">
        <f t="shared" si="65"/>
        <v>534420</v>
      </c>
      <c r="J279" s="497">
        <f>J277+J278</f>
        <v>0</v>
      </c>
      <c r="K279" s="497">
        <f>K277+K278</f>
        <v>534420</v>
      </c>
      <c r="L279" s="497">
        <f t="shared" si="66"/>
        <v>0</v>
      </c>
      <c r="M279" s="497">
        <f>M277+M278</f>
        <v>0</v>
      </c>
      <c r="N279" s="497">
        <f>N277+N278</f>
        <v>0</v>
      </c>
    </row>
    <row r="280" spans="1:14" s="448" customFormat="1" ht="15" customHeight="1">
      <c r="A280" s="1029" t="s">
        <v>23</v>
      </c>
      <c r="B280" s="1030"/>
      <c r="C280" s="1031" t="s">
        <v>147</v>
      </c>
      <c r="D280" s="1032"/>
      <c r="E280" s="545" t="s">
        <v>764</v>
      </c>
      <c r="F280" s="1014" t="s">
        <v>866</v>
      </c>
      <c r="G280" s="495" t="s">
        <v>5</v>
      </c>
      <c r="H280" s="496">
        <f t="shared" si="64"/>
        <v>653000</v>
      </c>
      <c r="I280" s="497">
        <f t="shared" si="65"/>
        <v>512000</v>
      </c>
      <c r="J280" s="497">
        <v>15000</v>
      </c>
      <c r="K280" s="497">
        <f>480000+17000</f>
        <v>497000</v>
      </c>
      <c r="L280" s="497">
        <f t="shared" si="66"/>
        <v>141000</v>
      </c>
      <c r="M280" s="497">
        <v>0</v>
      </c>
      <c r="N280" s="497">
        <v>141000</v>
      </c>
    </row>
    <row r="281" spans="1:14" s="448" customFormat="1" ht="15" customHeight="1">
      <c r="A281" s="1025"/>
      <c r="B281" s="1037"/>
      <c r="C281" s="1027"/>
      <c r="D281" s="1037"/>
      <c r="E281" s="547"/>
      <c r="F281" s="1016"/>
      <c r="G281" s="495" t="s">
        <v>6</v>
      </c>
      <c r="H281" s="496">
        <f t="shared" ref="H281:H344" si="67">I281+L281</f>
        <v>4000</v>
      </c>
      <c r="I281" s="497">
        <f t="shared" ref="I281:I344" si="68">J281+K281</f>
        <v>0</v>
      </c>
      <c r="J281" s="497">
        <v>0</v>
      </c>
      <c r="K281" s="497">
        <v>0</v>
      </c>
      <c r="L281" s="497">
        <f t="shared" ref="L281:L344" si="69">M281+N281</f>
        <v>4000</v>
      </c>
      <c r="M281" s="497">
        <v>4000</v>
      </c>
      <c r="N281" s="497">
        <v>0</v>
      </c>
    </row>
    <row r="282" spans="1:14" s="448" customFormat="1" ht="15" customHeight="1">
      <c r="A282" s="1025"/>
      <c r="B282" s="1037"/>
      <c r="C282" s="1027"/>
      <c r="D282" s="1037"/>
      <c r="E282" s="547"/>
      <c r="F282" s="1018"/>
      <c r="G282" s="495" t="s">
        <v>7</v>
      </c>
      <c r="H282" s="496">
        <f t="shared" si="67"/>
        <v>657000</v>
      </c>
      <c r="I282" s="497">
        <f t="shared" si="68"/>
        <v>512000</v>
      </c>
      <c r="J282" s="497">
        <f>J280+J281</f>
        <v>15000</v>
      </c>
      <c r="K282" s="497">
        <f>K280+K281</f>
        <v>497000</v>
      </c>
      <c r="L282" s="497">
        <f t="shared" si="69"/>
        <v>145000</v>
      </c>
      <c r="M282" s="497">
        <f>M280+M281</f>
        <v>4000</v>
      </c>
      <c r="N282" s="497">
        <f>N280+N281</f>
        <v>141000</v>
      </c>
    </row>
    <row r="283" spans="1:14" s="448" customFormat="1" ht="15" hidden="1" customHeight="1">
      <c r="A283" s="1025"/>
      <c r="B283" s="1026"/>
      <c r="C283" s="1027"/>
      <c r="D283" s="1028"/>
      <c r="E283" s="545" t="s">
        <v>768</v>
      </c>
      <c r="F283" s="1014" t="s">
        <v>867</v>
      </c>
      <c r="G283" s="495" t="s">
        <v>5</v>
      </c>
      <c r="H283" s="496">
        <f t="shared" si="67"/>
        <v>1358000</v>
      </c>
      <c r="I283" s="497">
        <f t="shared" si="68"/>
        <v>1193000</v>
      </c>
      <c r="J283" s="497">
        <v>48000</v>
      </c>
      <c r="K283" s="497">
        <f>1070000+75000</f>
        <v>1145000</v>
      </c>
      <c r="L283" s="497">
        <f t="shared" si="69"/>
        <v>165000</v>
      </c>
      <c r="M283" s="497">
        <v>15000</v>
      </c>
      <c r="N283" s="497">
        <v>150000</v>
      </c>
    </row>
    <row r="284" spans="1:14" s="448" customFormat="1" ht="15" hidden="1" customHeight="1">
      <c r="A284" s="1025"/>
      <c r="B284" s="1037"/>
      <c r="C284" s="1027"/>
      <c r="D284" s="1037"/>
      <c r="E284" s="547"/>
      <c r="F284" s="1016"/>
      <c r="G284" s="495" t="s">
        <v>6</v>
      </c>
      <c r="H284" s="496">
        <f t="shared" si="67"/>
        <v>0</v>
      </c>
      <c r="I284" s="497">
        <f t="shared" si="68"/>
        <v>0</v>
      </c>
      <c r="J284" s="497">
        <v>0</v>
      </c>
      <c r="K284" s="497">
        <v>0</v>
      </c>
      <c r="L284" s="497">
        <f t="shared" si="69"/>
        <v>0</v>
      </c>
      <c r="M284" s="497">
        <v>0</v>
      </c>
      <c r="N284" s="497">
        <v>0</v>
      </c>
    </row>
    <row r="285" spans="1:14" s="448" customFormat="1" ht="15" hidden="1" customHeight="1">
      <c r="A285" s="1033"/>
      <c r="B285" s="1060"/>
      <c r="C285" s="1035"/>
      <c r="D285" s="1060"/>
      <c r="E285" s="547"/>
      <c r="F285" s="1018"/>
      <c r="G285" s="495" t="s">
        <v>7</v>
      </c>
      <c r="H285" s="496">
        <f t="shared" si="67"/>
        <v>1358000</v>
      </c>
      <c r="I285" s="497">
        <f t="shared" si="68"/>
        <v>1193000</v>
      </c>
      <c r="J285" s="497">
        <f>J283+J284</f>
        <v>48000</v>
      </c>
      <c r="K285" s="497">
        <f>K283+K284</f>
        <v>1145000</v>
      </c>
      <c r="L285" s="497">
        <f t="shared" si="69"/>
        <v>165000</v>
      </c>
      <c r="M285" s="497">
        <f>M283+M284</f>
        <v>15000</v>
      </c>
      <c r="N285" s="497">
        <f>N283+N284</f>
        <v>150000</v>
      </c>
    </row>
    <row r="286" spans="1:14" s="448" customFormat="1" ht="15" hidden="1" customHeight="1">
      <c r="A286" s="1029" t="s">
        <v>26</v>
      </c>
      <c r="B286" s="1030"/>
      <c r="C286" s="1031" t="s">
        <v>211</v>
      </c>
      <c r="D286" s="1032"/>
      <c r="E286" s="545" t="s">
        <v>704</v>
      </c>
      <c r="F286" s="1014" t="s">
        <v>816</v>
      </c>
      <c r="G286" s="495" t="s">
        <v>5</v>
      </c>
      <c r="H286" s="496">
        <f t="shared" si="67"/>
        <v>22707639</v>
      </c>
      <c r="I286" s="497">
        <f t="shared" si="68"/>
        <v>20970332</v>
      </c>
      <c r="J286" s="497">
        <v>20807860</v>
      </c>
      <c r="K286" s="497">
        <v>162472</v>
      </c>
      <c r="L286" s="497">
        <f t="shared" si="69"/>
        <v>1737307</v>
      </c>
      <c r="M286" s="497">
        <v>1686316</v>
      </c>
      <c r="N286" s="497">
        <v>50991</v>
      </c>
    </row>
    <row r="287" spans="1:14" s="448" customFormat="1" ht="15" hidden="1" customHeight="1">
      <c r="A287" s="1025"/>
      <c r="B287" s="1037"/>
      <c r="C287" s="1027"/>
      <c r="D287" s="1037"/>
      <c r="E287" s="547"/>
      <c r="F287" s="1016"/>
      <c r="G287" s="495" t="s">
        <v>6</v>
      </c>
      <c r="H287" s="496">
        <f t="shared" si="67"/>
        <v>0</v>
      </c>
      <c r="I287" s="497">
        <f t="shared" si="68"/>
        <v>0</v>
      </c>
      <c r="J287" s="497">
        <v>0</v>
      </c>
      <c r="K287" s="497">
        <v>0</v>
      </c>
      <c r="L287" s="497">
        <f t="shared" si="69"/>
        <v>0</v>
      </c>
      <c r="M287" s="497">
        <v>0</v>
      </c>
      <c r="N287" s="497">
        <v>0</v>
      </c>
    </row>
    <row r="288" spans="1:14" s="448" customFormat="1" ht="15" hidden="1" customHeight="1">
      <c r="A288" s="1025"/>
      <c r="B288" s="1037"/>
      <c r="C288" s="1035"/>
      <c r="D288" s="1060"/>
      <c r="E288" s="548"/>
      <c r="F288" s="1018"/>
      <c r="G288" s="495" t="s">
        <v>7</v>
      </c>
      <c r="H288" s="496">
        <f t="shared" si="67"/>
        <v>22707639</v>
      </c>
      <c r="I288" s="497">
        <f t="shared" si="68"/>
        <v>20970332</v>
      </c>
      <c r="J288" s="497">
        <f>J286+J287</f>
        <v>20807860</v>
      </c>
      <c r="K288" s="497">
        <f>K286+K287</f>
        <v>162472</v>
      </c>
      <c r="L288" s="497">
        <f t="shared" si="69"/>
        <v>1737307</v>
      </c>
      <c r="M288" s="497">
        <f>M286+M287</f>
        <v>1686316</v>
      </c>
      <c r="N288" s="497">
        <f>N286+N287</f>
        <v>50991</v>
      </c>
    </row>
    <row r="289" spans="1:14" s="448" customFormat="1" ht="15" hidden="1" customHeight="1">
      <c r="A289" s="1025"/>
      <c r="B289" s="1026"/>
      <c r="C289" s="1027" t="s">
        <v>990</v>
      </c>
      <c r="D289" s="1028"/>
      <c r="E289" s="547" t="s">
        <v>704</v>
      </c>
      <c r="F289" s="1016" t="s">
        <v>816</v>
      </c>
      <c r="G289" s="548" t="s">
        <v>5</v>
      </c>
      <c r="H289" s="549">
        <f t="shared" si="67"/>
        <v>464053</v>
      </c>
      <c r="I289" s="550">
        <f t="shared" si="68"/>
        <v>0</v>
      </c>
      <c r="J289" s="550">
        <v>0</v>
      </c>
      <c r="K289" s="550">
        <v>0</v>
      </c>
      <c r="L289" s="550">
        <f t="shared" si="69"/>
        <v>464053</v>
      </c>
      <c r="M289" s="550">
        <v>464053</v>
      </c>
      <c r="N289" s="550">
        <v>0</v>
      </c>
    </row>
    <row r="290" spans="1:14" s="448" customFormat="1" ht="15" hidden="1" customHeight="1">
      <c r="A290" s="1025"/>
      <c r="B290" s="1037"/>
      <c r="C290" s="1027"/>
      <c r="D290" s="1037"/>
      <c r="E290" s="547"/>
      <c r="F290" s="1016"/>
      <c r="G290" s="495" t="s">
        <v>6</v>
      </c>
      <c r="H290" s="496">
        <f t="shared" si="67"/>
        <v>0</v>
      </c>
      <c r="I290" s="497">
        <f t="shared" si="68"/>
        <v>0</v>
      </c>
      <c r="J290" s="497">
        <v>0</v>
      </c>
      <c r="K290" s="497">
        <v>0</v>
      </c>
      <c r="L290" s="497">
        <f t="shared" si="69"/>
        <v>0</v>
      </c>
      <c r="M290" s="497">
        <v>0</v>
      </c>
      <c r="N290" s="497">
        <v>0</v>
      </c>
    </row>
    <row r="291" spans="1:14" s="448" customFormat="1" ht="15" hidden="1" customHeight="1">
      <c r="A291" s="1025"/>
      <c r="B291" s="1037"/>
      <c r="C291" s="1035"/>
      <c r="D291" s="1060"/>
      <c r="E291" s="548"/>
      <c r="F291" s="1018"/>
      <c r="G291" s="495" t="s">
        <v>7</v>
      </c>
      <c r="H291" s="496">
        <f t="shared" si="67"/>
        <v>464053</v>
      </c>
      <c r="I291" s="497">
        <f t="shared" si="68"/>
        <v>0</v>
      </c>
      <c r="J291" s="497">
        <f>J289+J290</f>
        <v>0</v>
      </c>
      <c r="K291" s="497">
        <f>K289+K290</f>
        <v>0</v>
      </c>
      <c r="L291" s="497">
        <f t="shared" si="69"/>
        <v>464053</v>
      </c>
      <c r="M291" s="497">
        <f>M289+M290</f>
        <v>464053</v>
      </c>
      <c r="N291" s="497">
        <f>N289+N290</f>
        <v>0</v>
      </c>
    </row>
    <row r="292" spans="1:14" s="448" customFormat="1" ht="15" hidden="1" customHeight="1">
      <c r="A292" s="1025"/>
      <c r="B292" s="1026"/>
      <c r="C292" s="1031" t="s">
        <v>991</v>
      </c>
      <c r="D292" s="1032"/>
      <c r="E292" s="545" t="s">
        <v>849</v>
      </c>
      <c r="F292" s="1014" t="s">
        <v>992</v>
      </c>
      <c r="G292" s="495" t="s">
        <v>5</v>
      </c>
      <c r="H292" s="496">
        <f t="shared" si="67"/>
        <v>760000</v>
      </c>
      <c r="I292" s="497">
        <f t="shared" si="68"/>
        <v>328000</v>
      </c>
      <c r="J292" s="497">
        <v>0</v>
      </c>
      <c r="K292" s="497">
        <v>328000</v>
      </c>
      <c r="L292" s="497">
        <f t="shared" si="69"/>
        <v>432000</v>
      </c>
      <c r="M292" s="497">
        <v>0</v>
      </c>
      <c r="N292" s="497">
        <v>432000</v>
      </c>
    </row>
    <row r="293" spans="1:14" s="448" customFormat="1" ht="15" hidden="1" customHeight="1">
      <c r="A293" s="1025"/>
      <c r="B293" s="1037"/>
      <c r="C293" s="1027"/>
      <c r="D293" s="1037"/>
      <c r="E293" s="547"/>
      <c r="F293" s="1016"/>
      <c r="G293" s="495" t="s">
        <v>6</v>
      </c>
      <c r="H293" s="496">
        <f t="shared" si="67"/>
        <v>0</v>
      </c>
      <c r="I293" s="497">
        <f t="shared" si="68"/>
        <v>0</v>
      </c>
      <c r="J293" s="497">
        <v>0</v>
      </c>
      <c r="K293" s="497">
        <v>0</v>
      </c>
      <c r="L293" s="497">
        <f t="shared" si="69"/>
        <v>0</v>
      </c>
      <c r="M293" s="497">
        <v>0</v>
      </c>
      <c r="N293" s="497">
        <v>0</v>
      </c>
    </row>
    <row r="294" spans="1:14" s="448" customFormat="1" ht="15" hidden="1" customHeight="1">
      <c r="A294" s="1025"/>
      <c r="B294" s="1037"/>
      <c r="C294" s="1035"/>
      <c r="D294" s="1060"/>
      <c r="E294" s="548"/>
      <c r="F294" s="1018"/>
      <c r="G294" s="495" t="s">
        <v>7</v>
      </c>
      <c r="H294" s="496">
        <f t="shared" si="67"/>
        <v>760000</v>
      </c>
      <c r="I294" s="497">
        <f t="shared" si="68"/>
        <v>328000</v>
      </c>
      <c r="J294" s="497">
        <f>J292+J293</f>
        <v>0</v>
      </c>
      <c r="K294" s="497">
        <f>K292+K293</f>
        <v>328000</v>
      </c>
      <c r="L294" s="497">
        <f t="shared" si="69"/>
        <v>432000</v>
      </c>
      <c r="M294" s="497">
        <f>M292+M293</f>
        <v>0</v>
      </c>
      <c r="N294" s="497">
        <f>N292+N293</f>
        <v>432000</v>
      </c>
    </row>
    <row r="295" spans="1:14" s="530" customFormat="1" ht="15" customHeight="1">
      <c r="A295" s="1064" t="s">
        <v>26</v>
      </c>
      <c r="B295" s="1065"/>
      <c r="C295" s="1052" t="s">
        <v>993</v>
      </c>
      <c r="D295" s="1053"/>
      <c r="E295" s="551" t="s">
        <v>704</v>
      </c>
      <c r="F295" s="1014" t="s">
        <v>994</v>
      </c>
      <c r="G295" s="495" t="s">
        <v>5</v>
      </c>
      <c r="H295" s="496">
        <f t="shared" si="67"/>
        <v>61904264</v>
      </c>
      <c r="I295" s="497">
        <f t="shared" si="68"/>
        <v>48728536</v>
      </c>
      <c r="J295" s="497">
        <v>42555028</v>
      </c>
      <c r="K295" s="497">
        <v>6173508</v>
      </c>
      <c r="L295" s="497">
        <f t="shared" si="69"/>
        <v>13175728</v>
      </c>
      <c r="M295" s="497">
        <v>11966353</v>
      </c>
      <c r="N295" s="497">
        <v>1209375</v>
      </c>
    </row>
    <row r="296" spans="1:14" s="530" customFormat="1" ht="15" customHeight="1">
      <c r="A296" s="1010"/>
      <c r="B296" s="1037"/>
      <c r="C296" s="1012"/>
      <c r="D296" s="1037"/>
      <c r="E296" s="552"/>
      <c r="F296" s="1016"/>
      <c r="G296" s="495" t="s">
        <v>6</v>
      </c>
      <c r="H296" s="496">
        <f t="shared" si="67"/>
        <v>961</v>
      </c>
      <c r="I296" s="497">
        <f t="shared" si="68"/>
        <v>961</v>
      </c>
      <c r="J296" s="497">
        <v>2839696</v>
      </c>
      <c r="K296" s="497">
        <v>-2838735</v>
      </c>
      <c r="L296" s="497">
        <f t="shared" si="69"/>
        <v>0</v>
      </c>
      <c r="M296" s="497">
        <v>106577</v>
      </c>
      <c r="N296" s="497">
        <v>-106577</v>
      </c>
    </row>
    <row r="297" spans="1:14" s="530" customFormat="1" ht="15" customHeight="1">
      <c r="A297" s="1010"/>
      <c r="B297" s="1037"/>
      <c r="C297" s="1012"/>
      <c r="D297" s="1037"/>
      <c r="E297" s="552"/>
      <c r="F297" s="1018"/>
      <c r="G297" s="495" t="s">
        <v>7</v>
      </c>
      <c r="H297" s="496">
        <f t="shared" si="67"/>
        <v>61905225</v>
      </c>
      <c r="I297" s="497">
        <f t="shared" si="68"/>
        <v>48729497</v>
      </c>
      <c r="J297" s="497">
        <f>J295+J296</f>
        <v>45394724</v>
      </c>
      <c r="K297" s="497">
        <f>K295+K296</f>
        <v>3334773</v>
      </c>
      <c r="L297" s="497">
        <f t="shared" si="69"/>
        <v>13175728</v>
      </c>
      <c r="M297" s="497">
        <f>M295+M296</f>
        <v>12072930</v>
      </c>
      <c r="N297" s="497">
        <f>N295+N296</f>
        <v>1102798</v>
      </c>
    </row>
    <row r="298" spans="1:14" s="448" customFormat="1" ht="14.85" customHeight="1">
      <c r="A298" s="1025"/>
      <c r="B298" s="1026"/>
      <c r="C298" s="1027"/>
      <c r="D298" s="1028"/>
      <c r="E298" s="547"/>
      <c r="F298" s="1108" t="s">
        <v>995</v>
      </c>
      <c r="G298" s="526" t="s">
        <v>5</v>
      </c>
      <c r="H298" s="528">
        <f t="shared" si="67"/>
        <v>33080095</v>
      </c>
      <c r="I298" s="529">
        <f t="shared" si="68"/>
        <v>25563661</v>
      </c>
      <c r="J298" s="529">
        <v>22910455</v>
      </c>
      <c r="K298" s="529">
        <v>2653206</v>
      </c>
      <c r="L298" s="529">
        <f t="shared" si="69"/>
        <v>7516434</v>
      </c>
      <c r="M298" s="529">
        <v>7516434</v>
      </c>
      <c r="N298" s="529">
        <v>0</v>
      </c>
    </row>
    <row r="299" spans="1:14" s="448" customFormat="1" ht="14.85" customHeight="1">
      <c r="A299" s="1025"/>
      <c r="B299" s="1070"/>
      <c r="C299" s="1027"/>
      <c r="D299" s="1070"/>
      <c r="E299" s="547"/>
      <c r="F299" s="1109"/>
      <c r="G299" s="526" t="s">
        <v>6</v>
      </c>
      <c r="H299" s="528">
        <f t="shared" si="67"/>
        <v>8407336</v>
      </c>
      <c r="I299" s="529">
        <f t="shared" si="68"/>
        <v>5322483</v>
      </c>
      <c r="J299" s="529">
        <v>4939987</v>
      </c>
      <c r="K299" s="529">
        <v>382496</v>
      </c>
      <c r="L299" s="529">
        <f t="shared" si="69"/>
        <v>3084853</v>
      </c>
      <c r="M299" s="529">
        <v>2990853</v>
      </c>
      <c r="N299" s="529">
        <v>94000</v>
      </c>
    </row>
    <row r="300" spans="1:14" s="448" customFormat="1" ht="14.85" customHeight="1">
      <c r="A300" s="1025"/>
      <c r="B300" s="1026"/>
      <c r="C300" s="1027"/>
      <c r="D300" s="1028"/>
      <c r="E300" s="552"/>
      <c r="F300" s="1110"/>
      <c r="G300" s="527" t="s">
        <v>7</v>
      </c>
      <c r="H300" s="528">
        <f t="shared" si="67"/>
        <v>41487431</v>
      </c>
      <c r="I300" s="529">
        <f t="shared" si="68"/>
        <v>30886144</v>
      </c>
      <c r="J300" s="529">
        <f>J298+J299</f>
        <v>27850442</v>
      </c>
      <c r="K300" s="529">
        <f>K298+K299</f>
        <v>3035702</v>
      </c>
      <c r="L300" s="529">
        <f t="shared" si="69"/>
        <v>10601287</v>
      </c>
      <c r="M300" s="529">
        <f>M298+M299</f>
        <v>10507287</v>
      </c>
      <c r="N300" s="529">
        <f>N298+N299</f>
        <v>94000</v>
      </c>
    </row>
    <row r="301" spans="1:14" s="448" customFormat="1" ht="15" hidden="1" customHeight="1">
      <c r="A301" s="1025"/>
      <c r="B301" s="1026"/>
      <c r="C301" s="1027"/>
      <c r="D301" s="1028"/>
      <c r="E301" s="545" t="s">
        <v>728</v>
      </c>
      <c r="F301" s="1014" t="s">
        <v>996</v>
      </c>
      <c r="G301" s="495" t="s">
        <v>5</v>
      </c>
      <c r="H301" s="496">
        <f t="shared" si="67"/>
        <v>315000</v>
      </c>
      <c r="I301" s="497">
        <f t="shared" si="68"/>
        <v>233000</v>
      </c>
      <c r="J301" s="497">
        <v>0</v>
      </c>
      <c r="K301" s="497">
        <f>176000+57000</f>
        <v>233000</v>
      </c>
      <c r="L301" s="497">
        <f t="shared" si="69"/>
        <v>82000</v>
      </c>
      <c r="M301" s="497">
        <v>0</v>
      </c>
      <c r="N301" s="497">
        <v>82000</v>
      </c>
    </row>
    <row r="302" spans="1:14" s="448" customFormat="1" ht="15" hidden="1" customHeight="1">
      <c r="A302" s="1025"/>
      <c r="B302" s="1037"/>
      <c r="C302" s="1027"/>
      <c r="D302" s="1037"/>
      <c r="E302" s="547"/>
      <c r="F302" s="1016"/>
      <c r="G302" s="495" t="s">
        <v>6</v>
      </c>
      <c r="H302" s="496">
        <f t="shared" si="67"/>
        <v>0</v>
      </c>
      <c r="I302" s="497">
        <f t="shared" si="68"/>
        <v>0</v>
      </c>
      <c r="J302" s="497">
        <v>0</v>
      </c>
      <c r="K302" s="497">
        <v>0</v>
      </c>
      <c r="L302" s="497">
        <f t="shared" si="69"/>
        <v>0</v>
      </c>
      <c r="M302" s="497">
        <v>0</v>
      </c>
      <c r="N302" s="497">
        <v>0</v>
      </c>
    </row>
    <row r="303" spans="1:14" s="448" customFormat="1" ht="15" hidden="1" customHeight="1">
      <c r="A303" s="1025"/>
      <c r="B303" s="1037"/>
      <c r="C303" s="1027"/>
      <c r="D303" s="1037"/>
      <c r="E303" s="548"/>
      <c r="F303" s="1018"/>
      <c r="G303" s="495" t="s">
        <v>7</v>
      </c>
      <c r="H303" s="496">
        <f t="shared" si="67"/>
        <v>315000</v>
      </c>
      <c r="I303" s="497">
        <f t="shared" si="68"/>
        <v>233000</v>
      </c>
      <c r="J303" s="497">
        <f>J301+J302</f>
        <v>0</v>
      </c>
      <c r="K303" s="497">
        <f>K301+K302</f>
        <v>233000</v>
      </c>
      <c r="L303" s="497">
        <f t="shared" si="69"/>
        <v>82000</v>
      </c>
      <c r="M303" s="497">
        <f>M301+M302</f>
        <v>0</v>
      </c>
      <c r="N303" s="497">
        <f>N301+N302</f>
        <v>82000</v>
      </c>
    </row>
    <row r="304" spans="1:14" s="448" customFormat="1" ht="15" hidden="1" customHeight="1">
      <c r="A304" s="1025"/>
      <c r="B304" s="1026"/>
      <c r="C304" s="1027"/>
      <c r="D304" s="1028"/>
      <c r="E304" s="547" t="s">
        <v>741</v>
      </c>
      <c r="F304" s="1014" t="s">
        <v>856</v>
      </c>
      <c r="G304" s="495" t="s">
        <v>5</v>
      </c>
      <c r="H304" s="496">
        <f t="shared" si="67"/>
        <v>500000</v>
      </c>
      <c r="I304" s="497">
        <f t="shared" si="68"/>
        <v>0</v>
      </c>
      <c r="J304" s="497">
        <v>0</v>
      </c>
      <c r="K304" s="497">
        <v>0</v>
      </c>
      <c r="L304" s="497">
        <f t="shared" si="69"/>
        <v>500000</v>
      </c>
      <c r="M304" s="497">
        <v>0</v>
      </c>
      <c r="N304" s="497">
        <v>500000</v>
      </c>
    </row>
    <row r="305" spans="1:14" s="448" customFormat="1" ht="15" hidden="1" customHeight="1">
      <c r="A305" s="1025"/>
      <c r="B305" s="1037"/>
      <c r="C305" s="1027"/>
      <c r="D305" s="1037"/>
      <c r="E305" s="547"/>
      <c r="F305" s="1016"/>
      <c r="G305" s="495" t="s">
        <v>6</v>
      </c>
      <c r="H305" s="496">
        <f t="shared" si="67"/>
        <v>0</v>
      </c>
      <c r="I305" s="497">
        <f t="shared" si="68"/>
        <v>0</v>
      </c>
      <c r="J305" s="497">
        <v>0</v>
      </c>
      <c r="K305" s="497">
        <v>0</v>
      </c>
      <c r="L305" s="497">
        <f t="shared" si="69"/>
        <v>0</v>
      </c>
      <c r="M305" s="497">
        <v>0</v>
      </c>
      <c r="N305" s="497">
        <v>0</v>
      </c>
    </row>
    <row r="306" spans="1:14" s="448" customFormat="1" ht="15" hidden="1" customHeight="1">
      <c r="A306" s="1025"/>
      <c r="B306" s="1037"/>
      <c r="C306" s="1027"/>
      <c r="D306" s="1037"/>
      <c r="E306" s="547"/>
      <c r="F306" s="1018"/>
      <c r="G306" s="495" t="s">
        <v>7</v>
      </c>
      <c r="H306" s="496">
        <f t="shared" si="67"/>
        <v>500000</v>
      </c>
      <c r="I306" s="497">
        <f t="shared" si="68"/>
        <v>0</v>
      </c>
      <c r="J306" s="497">
        <f>J304+J305</f>
        <v>0</v>
      </c>
      <c r="K306" s="497">
        <f>K304+K305</f>
        <v>0</v>
      </c>
      <c r="L306" s="497">
        <f t="shared" si="69"/>
        <v>500000</v>
      </c>
      <c r="M306" s="497">
        <f>M304+M305</f>
        <v>0</v>
      </c>
      <c r="N306" s="497">
        <f>N304+N305</f>
        <v>500000</v>
      </c>
    </row>
    <row r="307" spans="1:14" s="530" customFormat="1" ht="15" customHeight="1">
      <c r="A307" s="1010"/>
      <c r="B307" s="1020"/>
      <c r="C307" s="1012"/>
      <c r="D307" s="1013"/>
      <c r="E307" s="551" t="s">
        <v>741</v>
      </c>
      <c r="F307" s="1014" t="s">
        <v>997</v>
      </c>
      <c r="G307" s="495" t="s">
        <v>5</v>
      </c>
      <c r="H307" s="496">
        <f t="shared" si="67"/>
        <v>4907447</v>
      </c>
      <c r="I307" s="497">
        <f t="shared" si="68"/>
        <v>2754166</v>
      </c>
      <c r="J307" s="497">
        <v>1215000</v>
      </c>
      <c r="K307" s="497">
        <v>1539166</v>
      </c>
      <c r="L307" s="497">
        <f t="shared" si="69"/>
        <v>2153281</v>
      </c>
      <c r="M307" s="497">
        <v>332500</v>
      </c>
      <c r="N307" s="497">
        <v>1820781</v>
      </c>
    </row>
    <row r="308" spans="1:14" s="530" customFormat="1" ht="15" customHeight="1">
      <c r="A308" s="1010"/>
      <c r="B308" s="1037"/>
      <c r="C308" s="1012"/>
      <c r="D308" s="1037"/>
      <c r="E308" s="552"/>
      <c r="F308" s="1016"/>
      <c r="G308" s="495" t="s">
        <v>6</v>
      </c>
      <c r="H308" s="496">
        <f t="shared" si="67"/>
        <v>0</v>
      </c>
      <c r="I308" s="497">
        <f t="shared" si="68"/>
        <v>-457360</v>
      </c>
      <c r="J308" s="497">
        <v>0</v>
      </c>
      <c r="K308" s="497">
        <v>-457360</v>
      </c>
      <c r="L308" s="497">
        <f t="shared" si="69"/>
        <v>457360</v>
      </c>
      <c r="M308" s="497">
        <v>0</v>
      </c>
      <c r="N308" s="497">
        <v>457360</v>
      </c>
    </row>
    <row r="309" spans="1:14" s="530" customFormat="1" ht="15" customHeight="1">
      <c r="A309" s="1021"/>
      <c r="B309" s="1060"/>
      <c r="C309" s="1023"/>
      <c r="D309" s="1060"/>
      <c r="E309" s="553"/>
      <c r="F309" s="1018"/>
      <c r="G309" s="495" t="s">
        <v>7</v>
      </c>
      <c r="H309" s="496">
        <f t="shared" si="67"/>
        <v>4907447</v>
      </c>
      <c r="I309" s="497">
        <f t="shared" si="68"/>
        <v>2296806</v>
      </c>
      <c r="J309" s="497">
        <f>J307+J308</f>
        <v>1215000</v>
      </c>
      <c r="K309" s="497">
        <f>K307+K308</f>
        <v>1081806</v>
      </c>
      <c r="L309" s="497">
        <f t="shared" si="69"/>
        <v>2610641</v>
      </c>
      <c r="M309" s="497">
        <f>M307+M308</f>
        <v>332500</v>
      </c>
      <c r="N309" s="497">
        <f>N307+N308</f>
        <v>2278141</v>
      </c>
    </row>
    <row r="310" spans="1:14" s="448" customFormat="1" ht="15" hidden="1" customHeight="1">
      <c r="A310" s="1029" t="s">
        <v>248</v>
      </c>
      <c r="B310" s="1030"/>
      <c r="C310" s="1031" t="s">
        <v>998</v>
      </c>
      <c r="D310" s="1032"/>
      <c r="E310" s="545" t="s">
        <v>858</v>
      </c>
      <c r="F310" s="1014" t="s">
        <v>859</v>
      </c>
      <c r="G310" s="495" t="s">
        <v>5</v>
      </c>
      <c r="H310" s="496">
        <f t="shared" si="67"/>
        <v>1500000</v>
      </c>
      <c r="I310" s="497">
        <f t="shared" si="68"/>
        <v>0</v>
      </c>
      <c r="J310" s="497">
        <v>0</v>
      </c>
      <c r="K310" s="497">
        <v>0</v>
      </c>
      <c r="L310" s="497">
        <f t="shared" si="69"/>
        <v>1500000</v>
      </c>
      <c r="M310" s="497">
        <v>0</v>
      </c>
      <c r="N310" s="497">
        <v>1500000</v>
      </c>
    </row>
    <row r="311" spans="1:14" s="448" customFormat="1" ht="15" hidden="1" customHeight="1">
      <c r="A311" s="1025"/>
      <c r="B311" s="1037"/>
      <c r="C311" s="1027"/>
      <c r="D311" s="1037"/>
      <c r="E311" s="547"/>
      <c r="F311" s="1016"/>
      <c r="G311" s="495" t="s">
        <v>6</v>
      </c>
      <c r="H311" s="496">
        <f t="shared" si="67"/>
        <v>0</v>
      </c>
      <c r="I311" s="497">
        <f t="shared" si="68"/>
        <v>0</v>
      </c>
      <c r="J311" s="497">
        <v>0</v>
      </c>
      <c r="K311" s="497">
        <v>0</v>
      </c>
      <c r="L311" s="497">
        <f t="shared" si="69"/>
        <v>0</v>
      </c>
      <c r="M311" s="497">
        <v>0</v>
      </c>
      <c r="N311" s="497">
        <v>0</v>
      </c>
    </row>
    <row r="312" spans="1:14" s="448" customFormat="1" ht="15" hidden="1" customHeight="1">
      <c r="A312" s="1025"/>
      <c r="B312" s="1037"/>
      <c r="C312" s="1035"/>
      <c r="D312" s="1060"/>
      <c r="E312" s="547"/>
      <c r="F312" s="1018"/>
      <c r="G312" s="495" t="s">
        <v>7</v>
      </c>
      <c r="H312" s="496">
        <f t="shared" si="67"/>
        <v>1500000</v>
      </c>
      <c r="I312" s="497">
        <f t="shared" si="68"/>
        <v>0</v>
      </c>
      <c r="J312" s="497">
        <f>J310+J311</f>
        <v>0</v>
      </c>
      <c r="K312" s="497">
        <f>K310+K311</f>
        <v>0</v>
      </c>
      <c r="L312" s="497">
        <f t="shared" si="69"/>
        <v>1500000</v>
      </c>
      <c r="M312" s="497">
        <f>M310+M311</f>
        <v>0</v>
      </c>
      <c r="N312" s="497">
        <f>N310+N311</f>
        <v>1500000</v>
      </c>
    </row>
    <row r="313" spans="1:14" s="448" customFormat="1" ht="15" hidden="1" customHeight="1">
      <c r="A313" s="1025"/>
      <c r="B313" s="1026"/>
      <c r="C313" s="1031" t="s">
        <v>999</v>
      </c>
      <c r="D313" s="1032"/>
      <c r="E313" s="545" t="s">
        <v>566</v>
      </c>
      <c r="F313" s="1014" t="s">
        <v>852</v>
      </c>
      <c r="G313" s="495" t="s">
        <v>5</v>
      </c>
      <c r="H313" s="496">
        <f t="shared" si="67"/>
        <v>93619</v>
      </c>
      <c r="I313" s="497">
        <f t="shared" si="68"/>
        <v>93619</v>
      </c>
      <c r="J313" s="497">
        <v>0</v>
      </c>
      <c r="K313" s="497">
        <v>93619</v>
      </c>
      <c r="L313" s="497">
        <f t="shared" si="69"/>
        <v>0</v>
      </c>
      <c r="M313" s="497">
        <v>0</v>
      </c>
      <c r="N313" s="497">
        <v>0</v>
      </c>
    </row>
    <row r="314" spans="1:14" s="448" customFormat="1" ht="15" hidden="1" customHeight="1">
      <c r="A314" s="1025"/>
      <c r="B314" s="1037"/>
      <c r="C314" s="1027"/>
      <c r="D314" s="1037"/>
      <c r="E314" s="547"/>
      <c r="F314" s="1016"/>
      <c r="G314" s="495" t="s">
        <v>6</v>
      </c>
      <c r="H314" s="496">
        <f t="shared" si="67"/>
        <v>0</v>
      </c>
      <c r="I314" s="497">
        <f t="shared" si="68"/>
        <v>0</v>
      </c>
      <c r="J314" s="497">
        <v>0</v>
      </c>
      <c r="K314" s="497">
        <v>0</v>
      </c>
      <c r="L314" s="497">
        <f t="shared" si="69"/>
        <v>0</v>
      </c>
      <c r="M314" s="497">
        <v>0</v>
      </c>
      <c r="N314" s="497">
        <v>0</v>
      </c>
    </row>
    <row r="315" spans="1:14" s="448" customFormat="1" ht="15" hidden="1" customHeight="1">
      <c r="A315" s="1025"/>
      <c r="B315" s="1037"/>
      <c r="C315" s="1035"/>
      <c r="D315" s="1060"/>
      <c r="E315" s="547"/>
      <c r="F315" s="1018"/>
      <c r="G315" s="495" t="s">
        <v>7</v>
      </c>
      <c r="H315" s="496">
        <f t="shared" si="67"/>
        <v>93619</v>
      </c>
      <c r="I315" s="497">
        <f t="shared" si="68"/>
        <v>93619</v>
      </c>
      <c r="J315" s="497">
        <f>J313+J314</f>
        <v>0</v>
      </c>
      <c r="K315" s="497">
        <f>K313+K314</f>
        <v>93619</v>
      </c>
      <c r="L315" s="497">
        <f t="shared" si="69"/>
        <v>0</v>
      </c>
      <c r="M315" s="497">
        <f>M313+M314</f>
        <v>0</v>
      </c>
      <c r="N315" s="497">
        <f>N313+N314</f>
        <v>0</v>
      </c>
    </row>
    <row r="316" spans="1:14" s="448" customFormat="1" ht="15.6" hidden="1" customHeight="1">
      <c r="A316" s="1025"/>
      <c r="B316" s="1026"/>
      <c r="C316" s="1031" t="s">
        <v>1000</v>
      </c>
      <c r="D316" s="1032"/>
      <c r="E316" s="545" t="s">
        <v>818</v>
      </c>
      <c r="F316" s="1014" t="s">
        <v>820</v>
      </c>
      <c r="G316" s="495" t="s">
        <v>5</v>
      </c>
      <c r="H316" s="496">
        <f t="shared" si="67"/>
        <v>698851</v>
      </c>
      <c r="I316" s="497">
        <f t="shared" si="68"/>
        <v>592512</v>
      </c>
      <c r="J316" s="497">
        <v>583899</v>
      </c>
      <c r="K316" s="497">
        <v>8613</v>
      </c>
      <c r="L316" s="497">
        <f t="shared" si="69"/>
        <v>106339</v>
      </c>
      <c r="M316" s="497">
        <v>103361</v>
      </c>
      <c r="N316" s="497">
        <v>2978</v>
      </c>
    </row>
    <row r="317" spans="1:14" s="448" customFormat="1" ht="15.6" hidden="1" customHeight="1">
      <c r="A317" s="1025"/>
      <c r="B317" s="1037"/>
      <c r="C317" s="1027"/>
      <c r="D317" s="1037"/>
      <c r="E317" s="547"/>
      <c r="F317" s="1016"/>
      <c r="G317" s="495" t="s">
        <v>6</v>
      </c>
      <c r="H317" s="496">
        <f t="shared" si="67"/>
        <v>0</v>
      </c>
      <c r="I317" s="497">
        <f t="shared" si="68"/>
        <v>0</v>
      </c>
      <c r="J317" s="497">
        <v>0</v>
      </c>
      <c r="K317" s="497">
        <v>0</v>
      </c>
      <c r="L317" s="497">
        <f t="shared" si="69"/>
        <v>0</v>
      </c>
      <c r="M317" s="497">
        <v>0</v>
      </c>
      <c r="N317" s="497">
        <v>0</v>
      </c>
    </row>
    <row r="318" spans="1:14" s="448" customFormat="1" ht="15.6" hidden="1" customHeight="1">
      <c r="A318" s="1025"/>
      <c r="B318" s="1037"/>
      <c r="C318" s="1027"/>
      <c r="D318" s="1037"/>
      <c r="E318" s="548"/>
      <c r="F318" s="1018"/>
      <c r="G318" s="495" t="s">
        <v>7</v>
      </c>
      <c r="H318" s="496">
        <f t="shared" si="67"/>
        <v>698851</v>
      </c>
      <c r="I318" s="497">
        <f t="shared" si="68"/>
        <v>592512</v>
      </c>
      <c r="J318" s="497">
        <f>J316+J317</f>
        <v>583899</v>
      </c>
      <c r="K318" s="497">
        <f>K316+K317</f>
        <v>8613</v>
      </c>
      <c r="L318" s="497">
        <f t="shared" si="69"/>
        <v>106339</v>
      </c>
      <c r="M318" s="497">
        <f>M316+M317</f>
        <v>103361</v>
      </c>
      <c r="N318" s="497">
        <f>N316+N317</f>
        <v>2978</v>
      </c>
    </row>
    <row r="319" spans="1:14" s="448" customFormat="1" ht="15.6" hidden="1" customHeight="1">
      <c r="A319" s="1025"/>
      <c r="B319" s="1026"/>
      <c r="C319" s="1027"/>
      <c r="D319" s="1028"/>
      <c r="E319" s="545" t="s">
        <v>724</v>
      </c>
      <c r="F319" s="1014" t="s">
        <v>726</v>
      </c>
      <c r="G319" s="495" t="s">
        <v>5</v>
      </c>
      <c r="H319" s="496">
        <f t="shared" si="67"/>
        <v>3277688</v>
      </c>
      <c r="I319" s="497">
        <f t="shared" si="68"/>
        <v>3277688</v>
      </c>
      <c r="J319" s="497">
        <v>0</v>
      </c>
      <c r="K319" s="497">
        <v>3277688</v>
      </c>
      <c r="L319" s="497">
        <f t="shared" si="69"/>
        <v>0</v>
      </c>
      <c r="M319" s="497">
        <v>0</v>
      </c>
      <c r="N319" s="497">
        <v>0</v>
      </c>
    </row>
    <row r="320" spans="1:14" s="448" customFormat="1" ht="15.6" hidden="1" customHeight="1">
      <c r="A320" s="1025"/>
      <c r="B320" s="1037"/>
      <c r="C320" s="1027"/>
      <c r="D320" s="1037"/>
      <c r="E320" s="547"/>
      <c r="F320" s="1016"/>
      <c r="G320" s="495" t="s">
        <v>6</v>
      </c>
      <c r="H320" s="496">
        <f t="shared" si="67"/>
        <v>0</v>
      </c>
      <c r="I320" s="497">
        <f t="shared" si="68"/>
        <v>0</v>
      </c>
      <c r="J320" s="497">
        <v>0</v>
      </c>
      <c r="K320" s="497">
        <v>0</v>
      </c>
      <c r="L320" s="497">
        <f t="shared" si="69"/>
        <v>0</v>
      </c>
      <c r="M320" s="497">
        <v>0</v>
      </c>
      <c r="N320" s="497">
        <v>0</v>
      </c>
    </row>
    <row r="321" spans="1:14" s="448" customFormat="1" ht="15.6" hidden="1" customHeight="1">
      <c r="A321" s="1025"/>
      <c r="B321" s="1037"/>
      <c r="C321" s="1027"/>
      <c r="D321" s="1037"/>
      <c r="E321" s="547"/>
      <c r="F321" s="1018"/>
      <c r="G321" s="495" t="s">
        <v>7</v>
      </c>
      <c r="H321" s="496">
        <f t="shared" si="67"/>
        <v>3277688</v>
      </c>
      <c r="I321" s="497">
        <f t="shared" si="68"/>
        <v>3277688</v>
      </c>
      <c r="J321" s="497">
        <f>J319+J320</f>
        <v>0</v>
      </c>
      <c r="K321" s="497">
        <f>K319+K320</f>
        <v>3277688</v>
      </c>
      <c r="L321" s="497">
        <f t="shared" si="69"/>
        <v>0</v>
      </c>
      <c r="M321" s="497">
        <f>M319+M320</f>
        <v>0</v>
      </c>
      <c r="N321" s="497">
        <f>N319+N320</f>
        <v>0</v>
      </c>
    </row>
    <row r="322" spans="1:14" s="448" customFormat="1" ht="15" hidden="1" customHeight="1">
      <c r="A322" s="1025"/>
      <c r="B322" s="1026"/>
      <c r="C322" s="1027"/>
      <c r="D322" s="1028"/>
      <c r="E322" s="547"/>
      <c r="F322" s="1014" t="s">
        <v>843</v>
      </c>
      <c r="G322" s="495" t="s">
        <v>5</v>
      </c>
      <c r="H322" s="496">
        <f t="shared" si="67"/>
        <v>38563</v>
      </c>
      <c r="I322" s="497">
        <f t="shared" si="68"/>
        <v>0</v>
      </c>
      <c r="J322" s="497">
        <v>0</v>
      </c>
      <c r="K322" s="497">
        <v>0</v>
      </c>
      <c r="L322" s="497">
        <f t="shared" si="69"/>
        <v>38563</v>
      </c>
      <c r="M322" s="497">
        <v>0</v>
      </c>
      <c r="N322" s="497">
        <v>38563</v>
      </c>
    </row>
    <row r="323" spans="1:14" s="448" customFormat="1" ht="15" hidden="1" customHeight="1">
      <c r="A323" s="1025"/>
      <c r="B323" s="1037"/>
      <c r="C323" s="1027"/>
      <c r="D323" s="1037"/>
      <c r="E323" s="547"/>
      <c r="F323" s="1016"/>
      <c r="G323" s="495" t="s">
        <v>6</v>
      </c>
      <c r="H323" s="496">
        <f t="shared" si="67"/>
        <v>0</v>
      </c>
      <c r="I323" s="497">
        <f t="shared" si="68"/>
        <v>0</v>
      </c>
      <c r="J323" s="497">
        <v>0</v>
      </c>
      <c r="K323" s="497">
        <v>0</v>
      </c>
      <c r="L323" s="497">
        <f t="shared" si="69"/>
        <v>0</v>
      </c>
      <c r="M323" s="497">
        <v>0</v>
      </c>
      <c r="N323" s="497">
        <v>0</v>
      </c>
    </row>
    <row r="324" spans="1:14" s="448" customFormat="1" ht="15" hidden="1" customHeight="1">
      <c r="A324" s="1025"/>
      <c r="B324" s="1037"/>
      <c r="C324" s="1027"/>
      <c r="D324" s="1037"/>
      <c r="E324" s="547"/>
      <c r="F324" s="1018"/>
      <c r="G324" s="495" t="s">
        <v>7</v>
      </c>
      <c r="H324" s="496">
        <f t="shared" si="67"/>
        <v>38563</v>
      </c>
      <c r="I324" s="497">
        <f t="shared" si="68"/>
        <v>0</v>
      </c>
      <c r="J324" s="497">
        <f>J322+J323</f>
        <v>0</v>
      </c>
      <c r="K324" s="497">
        <f>K322+K323</f>
        <v>0</v>
      </c>
      <c r="L324" s="497">
        <f t="shared" si="69"/>
        <v>38563</v>
      </c>
      <c r="M324" s="497">
        <f>M322+M323</f>
        <v>0</v>
      </c>
      <c r="N324" s="497">
        <f>N322+N323</f>
        <v>38563</v>
      </c>
    </row>
    <row r="325" spans="1:14" s="448" customFormat="1" ht="15" hidden="1" customHeight="1">
      <c r="A325" s="1025"/>
      <c r="B325" s="1026"/>
      <c r="C325" s="1027"/>
      <c r="D325" s="1028"/>
      <c r="E325" s="545" t="s">
        <v>735</v>
      </c>
      <c r="F325" s="1014" t="s">
        <v>740</v>
      </c>
      <c r="G325" s="495" t="s">
        <v>5</v>
      </c>
      <c r="H325" s="496">
        <f t="shared" si="67"/>
        <v>1417157</v>
      </c>
      <c r="I325" s="497">
        <f t="shared" si="68"/>
        <v>0</v>
      </c>
      <c r="J325" s="497">
        <v>0</v>
      </c>
      <c r="K325" s="497">
        <v>0</v>
      </c>
      <c r="L325" s="497">
        <f t="shared" si="69"/>
        <v>1417157</v>
      </c>
      <c r="M325" s="497">
        <v>0</v>
      </c>
      <c r="N325" s="497">
        <v>1417157</v>
      </c>
    </row>
    <row r="326" spans="1:14" s="448" customFormat="1" ht="15" hidden="1" customHeight="1">
      <c r="A326" s="1025"/>
      <c r="B326" s="1037"/>
      <c r="C326" s="1027"/>
      <c r="D326" s="1037"/>
      <c r="E326" s="547"/>
      <c r="F326" s="1016"/>
      <c r="G326" s="495" t="s">
        <v>6</v>
      </c>
      <c r="H326" s="496">
        <f t="shared" si="67"/>
        <v>0</v>
      </c>
      <c r="I326" s="497">
        <f t="shared" si="68"/>
        <v>0</v>
      </c>
      <c r="J326" s="497">
        <v>0</v>
      </c>
      <c r="K326" s="497">
        <v>0</v>
      </c>
      <c r="L326" s="497">
        <f t="shared" si="69"/>
        <v>0</v>
      </c>
      <c r="M326" s="497">
        <v>0</v>
      </c>
      <c r="N326" s="497">
        <v>0</v>
      </c>
    </row>
    <row r="327" spans="1:14" s="448" customFormat="1" ht="15" hidden="1" customHeight="1">
      <c r="A327" s="1025"/>
      <c r="B327" s="1037"/>
      <c r="C327" s="1027"/>
      <c r="D327" s="1037"/>
      <c r="E327" s="547"/>
      <c r="F327" s="1018"/>
      <c r="G327" s="495" t="s">
        <v>7</v>
      </c>
      <c r="H327" s="496">
        <f t="shared" si="67"/>
        <v>1417157</v>
      </c>
      <c r="I327" s="497">
        <f t="shared" si="68"/>
        <v>0</v>
      </c>
      <c r="J327" s="497">
        <f>J325+J326</f>
        <v>0</v>
      </c>
      <c r="K327" s="497">
        <f>K325+K326</f>
        <v>0</v>
      </c>
      <c r="L327" s="497">
        <f t="shared" si="69"/>
        <v>1417157</v>
      </c>
      <c r="M327" s="497">
        <f>M325+M326</f>
        <v>0</v>
      </c>
      <c r="N327" s="497">
        <f>N325+N326</f>
        <v>1417157</v>
      </c>
    </row>
    <row r="328" spans="1:14" s="448" customFormat="1" ht="15.6" hidden="1" customHeight="1">
      <c r="A328" s="1025"/>
      <c r="B328" s="1026"/>
      <c r="C328" s="1027"/>
      <c r="D328" s="1028"/>
      <c r="E328" s="547"/>
      <c r="F328" s="1014" t="s">
        <v>737</v>
      </c>
      <c r="G328" s="495" t="s">
        <v>5</v>
      </c>
      <c r="H328" s="496">
        <f t="shared" si="67"/>
        <v>1032709</v>
      </c>
      <c r="I328" s="497">
        <f t="shared" si="68"/>
        <v>1032709</v>
      </c>
      <c r="J328" s="497">
        <v>0</v>
      </c>
      <c r="K328" s="497">
        <v>1032709</v>
      </c>
      <c r="L328" s="497">
        <f t="shared" si="69"/>
        <v>0</v>
      </c>
      <c r="M328" s="497">
        <v>0</v>
      </c>
      <c r="N328" s="497">
        <v>0</v>
      </c>
    </row>
    <row r="329" spans="1:14" s="448" customFormat="1" ht="15.6" hidden="1" customHeight="1">
      <c r="A329" s="1025"/>
      <c r="B329" s="1037"/>
      <c r="C329" s="1027"/>
      <c r="D329" s="1037"/>
      <c r="E329" s="547"/>
      <c r="F329" s="1016"/>
      <c r="G329" s="495" t="s">
        <v>6</v>
      </c>
      <c r="H329" s="496">
        <f t="shared" si="67"/>
        <v>0</v>
      </c>
      <c r="I329" s="497">
        <f t="shared" si="68"/>
        <v>0</v>
      </c>
      <c r="J329" s="497">
        <v>0</v>
      </c>
      <c r="K329" s="497">
        <v>0</v>
      </c>
      <c r="L329" s="497">
        <f t="shared" si="69"/>
        <v>0</v>
      </c>
      <c r="M329" s="497">
        <v>0</v>
      </c>
      <c r="N329" s="497">
        <v>0</v>
      </c>
    </row>
    <row r="330" spans="1:14" s="448" customFormat="1" ht="15.6" hidden="1" customHeight="1">
      <c r="A330" s="1025"/>
      <c r="B330" s="1037"/>
      <c r="C330" s="1027"/>
      <c r="D330" s="1037"/>
      <c r="E330" s="547"/>
      <c r="F330" s="1018"/>
      <c r="G330" s="495" t="s">
        <v>7</v>
      </c>
      <c r="H330" s="496">
        <f t="shared" si="67"/>
        <v>1032709</v>
      </c>
      <c r="I330" s="497">
        <f t="shared" si="68"/>
        <v>1032709</v>
      </c>
      <c r="J330" s="497">
        <f>J328+J329</f>
        <v>0</v>
      </c>
      <c r="K330" s="497">
        <f>K328+K329</f>
        <v>1032709</v>
      </c>
      <c r="L330" s="497">
        <f t="shared" si="69"/>
        <v>0</v>
      </c>
      <c r="M330" s="497">
        <f>M328+M329</f>
        <v>0</v>
      </c>
      <c r="N330" s="497">
        <f>N328+N329</f>
        <v>0</v>
      </c>
    </row>
    <row r="331" spans="1:14" s="530" customFormat="1" ht="15" hidden="1" customHeight="1">
      <c r="A331" s="1010"/>
      <c r="B331" s="1020"/>
      <c r="C331" s="1012"/>
      <c r="D331" s="1013"/>
      <c r="E331" s="552"/>
      <c r="F331" s="1014" t="s">
        <v>854</v>
      </c>
      <c r="G331" s="495" t="s">
        <v>5</v>
      </c>
      <c r="H331" s="496">
        <f t="shared" si="67"/>
        <v>200000</v>
      </c>
      <c r="I331" s="497">
        <f t="shared" si="68"/>
        <v>100000</v>
      </c>
      <c r="J331" s="497">
        <v>0</v>
      </c>
      <c r="K331" s="497">
        <v>100000</v>
      </c>
      <c r="L331" s="497">
        <f t="shared" si="69"/>
        <v>100000</v>
      </c>
      <c r="M331" s="497">
        <v>0</v>
      </c>
      <c r="N331" s="497">
        <v>100000</v>
      </c>
    </row>
    <row r="332" spans="1:14" s="530" customFormat="1" ht="15" hidden="1" customHeight="1">
      <c r="A332" s="1010"/>
      <c r="B332" s="1037"/>
      <c r="C332" s="1012"/>
      <c r="D332" s="1037"/>
      <c r="E332" s="552"/>
      <c r="F332" s="1016"/>
      <c r="G332" s="495" t="s">
        <v>6</v>
      </c>
      <c r="H332" s="496">
        <f t="shared" si="67"/>
        <v>0</v>
      </c>
      <c r="I332" s="497">
        <f t="shared" si="68"/>
        <v>0</v>
      </c>
      <c r="J332" s="497">
        <v>0</v>
      </c>
      <c r="K332" s="497">
        <v>0</v>
      </c>
      <c r="L332" s="497">
        <f t="shared" si="69"/>
        <v>0</v>
      </c>
      <c r="M332" s="497">
        <v>0</v>
      </c>
      <c r="N332" s="497">
        <v>0</v>
      </c>
    </row>
    <row r="333" spans="1:14" s="530" customFormat="1" ht="15" hidden="1" customHeight="1">
      <c r="A333" s="1010"/>
      <c r="B333" s="1037"/>
      <c r="C333" s="1012"/>
      <c r="D333" s="1037"/>
      <c r="E333" s="552"/>
      <c r="F333" s="1018"/>
      <c r="G333" s="495" t="s">
        <v>7</v>
      </c>
      <c r="H333" s="496">
        <f t="shared" si="67"/>
        <v>200000</v>
      </c>
      <c r="I333" s="497">
        <f t="shared" si="68"/>
        <v>100000</v>
      </c>
      <c r="J333" s="497">
        <f>J331+J332</f>
        <v>0</v>
      </c>
      <c r="K333" s="497">
        <f>K331+K332</f>
        <v>100000</v>
      </c>
      <c r="L333" s="497">
        <f t="shared" si="69"/>
        <v>100000</v>
      </c>
      <c r="M333" s="497">
        <f>M331+M332</f>
        <v>0</v>
      </c>
      <c r="N333" s="497">
        <f>N331+N332</f>
        <v>100000</v>
      </c>
    </row>
    <row r="334" spans="1:14" s="448" customFormat="1" ht="15" customHeight="1">
      <c r="A334" s="1025" t="s">
        <v>248</v>
      </c>
      <c r="B334" s="1026"/>
      <c r="C334" s="1027" t="s">
        <v>1000</v>
      </c>
      <c r="D334" s="1028"/>
      <c r="E334" s="545" t="s">
        <v>747</v>
      </c>
      <c r="F334" s="1014" t="s">
        <v>857</v>
      </c>
      <c r="G334" s="495" t="s">
        <v>5</v>
      </c>
      <c r="H334" s="496">
        <f t="shared" si="67"/>
        <v>3300904</v>
      </c>
      <c r="I334" s="497">
        <f t="shared" si="68"/>
        <v>1529437</v>
      </c>
      <c r="J334" s="497">
        <f>19000+16000</f>
        <v>35000</v>
      </c>
      <c r="K334" s="497">
        <v>1494437</v>
      </c>
      <c r="L334" s="497">
        <f t="shared" si="69"/>
        <v>1771467</v>
      </c>
      <c r="M334" s="497">
        <v>104105</v>
      </c>
      <c r="N334" s="497">
        <v>1667362</v>
      </c>
    </row>
    <row r="335" spans="1:14" s="448" customFormat="1" ht="15" customHeight="1">
      <c r="A335" s="1025"/>
      <c r="B335" s="1037"/>
      <c r="C335" s="1027"/>
      <c r="D335" s="1037"/>
      <c r="E335" s="547"/>
      <c r="F335" s="1016"/>
      <c r="G335" s="495" t="s">
        <v>6</v>
      </c>
      <c r="H335" s="496">
        <f t="shared" si="67"/>
        <v>96000</v>
      </c>
      <c r="I335" s="497">
        <f t="shared" si="68"/>
        <v>25000</v>
      </c>
      <c r="J335" s="497">
        <v>25000</v>
      </c>
      <c r="K335" s="497">
        <v>0</v>
      </c>
      <c r="L335" s="497">
        <f t="shared" si="69"/>
        <v>71000</v>
      </c>
      <c r="M335" s="497">
        <v>71000</v>
      </c>
      <c r="N335" s="497">
        <v>0</v>
      </c>
    </row>
    <row r="336" spans="1:14" s="448" customFormat="1" ht="15" customHeight="1">
      <c r="A336" s="1025"/>
      <c r="B336" s="1037"/>
      <c r="C336" s="1027"/>
      <c r="D336" s="1037"/>
      <c r="E336" s="547"/>
      <c r="F336" s="1018"/>
      <c r="G336" s="495" t="s">
        <v>7</v>
      </c>
      <c r="H336" s="496">
        <f t="shared" si="67"/>
        <v>3396904</v>
      </c>
      <c r="I336" s="497">
        <f t="shared" si="68"/>
        <v>1554437</v>
      </c>
      <c r="J336" s="497">
        <f>J334+J335</f>
        <v>60000</v>
      </c>
      <c r="K336" s="497">
        <f>K334+K335</f>
        <v>1494437</v>
      </c>
      <c r="L336" s="497">
        <f t="shared" si="69"/>
        <v>1842467</v>
      </c>
      <c r="M336" s="497">
        <f>M334+M335</f>
        <v>175105</v>
      </c>
      <c r="N336" s="497">
        <f>N334+N335</f>
        <v>1667362</v>
      </c>
    </row>
    <row r="337" spans="1:14" s="448" customFormat="1" ht="15" hidden="1" customHeight="1">
      <c r="A337" s="1025"/>
      <c r="B337" s="1026"/>
      <c r="C337" s="1027"/>
      <c r="D337" s="1028"/>
      <c r="E337" s="547"/>
      <c r="F337" s="1014" t="s">
        <v>752</v>
      </c>
      <c r="G337" s="495" t="s">
        <v>5</v>
      </c>
      <c r="H337" s="496">
        <f t="shared" si="67"/>
        <v>3546295</v>
      </c>
      <c r="I337" s="497">
        <f t="shared" si="68"/>
        <v>909670</v>
      </c>
      <c r="J337" s="497">
        <v>0</v>
      </c>
      <c r="K337" s="497">
        <v>909670</v>
      </c>
      <c r="L337" s="497">
        <f t="shared" si="69"/>
        <v>2636625</v>
      </c>
      <c r="M337" s="497">
        <v>0</v>
      </c>
      <c r="N337" s="497">
        <v>2636625</v>
      </c>
    </row>
    <row r="338" spans="1:14" s="448" customFormat="1" ht="15" hidden="1" customHeight="1">
      <c r="A338" s="1025"/>
      <c r="B338" s="1037"/>
      <c r="C338" s="1027"/>
      <c r="D338" s="1037"/>
      <c r="E338" s="547"/>
      <c r="F338" s="1016"/>
      <c r="G338" s="495" t="s">
        <v>6</v>
      </c>
      <c r="H338" s="496">
        <f t="shared" si="67"/>
        <v>0</v>
      </c>
      <c r="I338" s="497">
        <f t="shared" si="68"/>
        <v>0</v>
      </c>
      <c r="J338" s="497">
        <v>0</v>
      </c>
      <c r="K338" s="497">
        <v>0</v>
      </c>
      <c r="L338" s="497">
        <f t="shared" si="69"/>
        <v>0</v>
      </c>
      <c r="M338" s="497">
        <v>0</v>
      </c>
      <c r="N338" s="497">
        <v>0</v>
      </c>
    </row>
    <row r="339" spans="1:14" s="448" customFormat="1" ht="15" hidden="1" customHeight="1">
      <c r="A339" s="1033"/>
      <c r="B339" s="1060"/>
      <c r="C339" s="1035"/>
      <c r="D339" s="1060"/>
      <c r="E339" s="547"/>
      <c r="F339" s="1018"/>
      <c r="G339" s="495" t="s">
        <v>7</v>
      </c>
      <c r="H339" s="496">
        <f t="shared" si="67"/>
        <v>3546295</v>
      </c>
      <c r="I339" s="497">
        <f t="shared" si="68"/>
        <v>909670</v>
      </c>
      <c r="J339" s="497">
        <f>J337+J338</f>
        <v>0</v>
      </c>
      <c r="K339" s="497">
        <f>K337+K338</f>
        <v>909670</v>
      </c>
      <c r="L339" s="497">
        <f t="shared" si="69"/>
        <v>2636625</v>
      </c>
      <c r="M339" s="497">
        <f>M337+M338</f>
        <v>0</v>
      </c>
      <c r="N339" s="497">
        <f>N337+N338</f>
        <v>2636625</v>
      </c>
    </row>
    <row r="340" spans="1:14" s="530" customFormat="1" ht="15" hidden="1" customHeight="1">
      <c r="A340" s="1064" t="s">
        <v>431</v>
      </c>
      <c r="B340" s="1065"/>
      <c r="C340" s="1052" t="s">
        <v>1001</v>
      </c>
      <c r="D340" s="1053"/>
      <c r="E340" s="551" t="s">
        <v>835</v>
      </c>
      <c r="F340" s="1014" t="s">
        <v>836</v>
      </c>
      <c r="G340" s="495" t="s">
        <v>5</v>
      </c>
      <c r="H340" s="496">
        <f t="shared" si="67"/>
        <v>56650</v>
      </c>
      <c r="I340" s="497">
        <f t="shared" si="68"/>
        <v>0</v>
      </c>
      <c r="J340" s="497">
        <v>0</v>
      </c>
      <c r="K340" s="497">
        <v>0</v>
      </c>
      <c r="L340" s="497">
        <f t="shared" si="69"/>
        <v>56650</v>
      </c>
      <c r="M340" s="497">
        <v>0</v>
      </c>
      <c r="N340" s="497">
        <v>56650</v>
      </c>
    </row>
    <row r="341" spans="1:14" s="530" customFormat="1" ht="15" hidden="1" customHeight="1">
      <c r="A341" s="1010"/>
      <c r="B341" s="1037"/>
      <c r="C341" s="1012"/>
      <c r="D341" s="1037"/>
      <c r="E341" s="552"/>
      <c r="F341" s="1016"/>
      <c r="G341" s="495" t="s">
        <v>6</v>
      </c>
      <c r="H341" s="496">
        <f t="shared" si="67"/>
        <v>0</v>
      </c>
      <c r="I341" s="497">
        <f t="shared" si="68"/>
        <v>0</v>
      </c>
      <c r="J341" s="497">
        <v>0</v>
      </c>
      <c r="K341" s="497">
        <v>0</v>
      </c>
      <c r="L341" s="497">
        <f t="shared" si="69"/>
        <v>0</v>
      </c>
      <c r="M341" s="497">
        <v>0</v>
      </c>
      <c r="N341" s="497">
        <v>0</v>
      </c>
    </row>
    <row r="342" spans="1:14" s="530" customFormat="1" ht="15" hidden="1" customHeight="1">
      <c r="A342" s="1010"/>
      <c r="B342" s="1037"/>
      <c r="C342" s="1012"/>
      <c r="D342" s="1037"/>
      <c r="E342" s="553"/>
      <c r="F342" s="1018"/>
      <c r="G342" s="495" t="s">
        <v>7</v>
      </c>
      <c r="H342" s="496">
        <f t="shared" si="67"/>
        <v>56650</v>
      </c>
      <c r="I342" s="497">
        <f t="shared" si="68"/>
        <v>0</v>
      </c>
      <c r="J342" s="497">
        <f>J340+J341</f>
        <v>0</v>
      </c>
      <c r="K342" s="497">
        <f>K340+K341</f>
        <v>0</v>
      </c>
      <c r="L342" s="497">
        <f t="shared" si="69"/>
        <v>56650</v>
      </c>
      <c r="M342" s="497">
        <f>M340+M341</f>
        <v>0</v>
      </c>
      <c r="N342" s="497">
        <f>N340+N341</f>
        <v>56650</v>
      </c>
    </row>
    <row r="343" spans="1:14" s="530" customFormat="1" ht="15" hidden="1" customHeight="1">
      <c r="A343" s="1010"/>
      <c r="B343" s="1020"/>
      <c r="C343" s="1012"/>
      <c r="D343" s="1013"/>
      <c r="E343" s="551" t="s">
        <v>837</v>
      </c>
      <c r="F343" s="1014" t="s">
        <v>839</v>
      </c>
      <c r="G343" s="495" t="s">
        <v>5</v>
      </c>
      <c r="H343" s="496">
        <f t="shared" si="67"/>
        <v>525200</v>
      </c>
      <c r="I343" s="497">
        <f t="shared" si="68"/>
        <v>0</v>
      </c>
      <c r="J343" s="497">
        <v>0</v>
      </c>
      <c r="K343" s="497">
        <v>0</v>
      </c>
      <c r="L343" s="497">
        <f t="shared" si="69"/>
        <v>525200</v>
      </c>
      <c r="M343" s="497">
        <v>0</v>
      </c>
      <c r="N343" s="497">
        <v>525200</v>
      </c>
    </row>
    <row r="344" spans="1:14" s="530" customFormat="1" ht="15" hidden="1" customHeight="1">
      <c r="A344" s="1010"/>
      <c r="B344" s="1037"/>
      <c r="C344" s="1012"/>
      <c r="D344" s="1037"/>
      <c r="E344" s="552"/>
      <c r="F344" s="1016"/>
      <c r="G344" s="495" t="s">
        <v>6</v>
      </c>
      <c r="H344" s="496">
        <f t="shared" si="67"/>
        <v>0</v>
      </c>
      <c r="I344" s="497">
        <f t="shared" si="68"/>
        <v>0</v>
      </c>
      <c r="J344" s="497">
        <v>0</v>
      </c>
      <c r="K344" s="497">
        <v>0</v>
      </c>
      <c r="L344" s="497">
        <f t="shared" si="69"/>
        <v>0</v>
      </c>
      <c r="M344" s="497">
        <v>0</v>
      </c>
      <c r="N344" s="497">
        <v>0</v>
      </c>
    </row>
    <row r="345" spans="1:14" s="530" customFormat="1" ht="15" hidden="1" customHeight="1">
      <c r="A345" s="1010"/>
      <c r="B345" s="1037"/>
      <c r="C345" s="1012"/>
      <c r="D345" s="1037"/>
      <c r="E345" s="552"/>
      <c r="F345" s="1018"/>
      <c r="G345" s="495" t="s">
        <v>7</v>
      </c>
      <c r="H345" s="496">
        <f t="shared" ref="H345:H387" si="70">I345+L345</f>
        <v>525200</v>
      </c>
      <c r="I345" s="497">
        <f t="shared" ref="I345:I387" si="71">J345+K345</f>
        <v>0</v>
      </c>
      <c r="J345" s="497">
        <f>J343+J344</f>
        <v>0</v>
      </c>
      <c r="K345" s="497">
        <f>K343+K344</f>
        <v>0</v>
      </c>
      <c r="L345" s="497">
        <f t="shared" ref="L345:L387" si="72">M345+N345</f>
        <v>525200</v>
      </c>
      <c r="M345" s="497">
        <f>M343+M344</f>
        <v>0</v>
      </c>
      <c r="N345" s="497">
        <f>N343+N344</f>
        <v>525200</v>
      </c>
    </row>
    <row r="346" spans="1:14" s="448" customFormat="1" ht="15" hidden="1" customHeight="1">
      <c r="A346" s="1025"/>
      <c r="B346" s="1026"/>
      <c r="C346" s="1027"/>
      <c r="D346" s="1028"/>
      <c r="E346" s="545" t="s">
        <v>844</v>
      </c>
      <c r="F346" s="1014" t="s">
        <v>846</v>
      </c>
      <c r="G346" s="495" t="s">
        <v>5</v>
      </c>
      <c r="H346" s="496">
        <f t="shared" si="70"/>
        <v>718150</v>
      </c>
      <c r="I346" s="497">
        <f t="shared" si="71"/>
        <v>4980</v>
      </c>
      <c r="J346" s="497">
        <v>0</v>
      </c>
      <c r="K346" s="497">
        <v>4980</v>
      </c>
      <c r="L346" s="497">
        <f t="shared" si="72"/>
        <v>713170</v>
      </c>
      <c r="M346" s="497">
        <v>0</v>
      </c>
      <c r="N346" s="497">
        <v>713170</v>
      </c>
    </row>
    <row r="347" spans="1:14" s="448" customFormat="1" ht="15" hidden="1" customHeight="1">
      <c r="A347" s="1025"/>
      <c r="B347" s="1037"/>
      <c r="C347" s="1027"/>
      <c r="D347" s="1037"/>
      <c r="E347" s="547"/>
      <c r="F347" s="1016"/>
      <c r="G347" s="495" t="s">
        <v>6</v>
      </c>
      <c r="H347" s="496">
        <f t="shared" si="70"/>
        <v>0</v>
      </c>
      <c r="I347" s="497">
        <f t="shared" si="71"/>
        <v>0</v>
      </c>
      <c r="J347" s="497">
        <v>0</v>
      </c>
      <c r="K347" s="497">
        <v>0</v>
      </c>
      <c r="L347" s="497">
        <f t="shared" si="72"/>
        <v>0</v>
      </c>
      <c r="M347" s="497">
        <v>0</v>
      </c>
      <c r="N347" s="497">
        <v>0</v>
      </c>
    </row>
    <row r="348" spans="1:14" s="448" customFormat="1" ht="15" hidden="1" customHeight="1">
      <c r="A348" s="1025"/>
      <c r="B348" s="1037"/>
      <c r="C348" s="1027"/>
      <c r="D348" s="1037"/>
      <c r="E348" s="547"/>
      <c r="F348" s="1018"/>
      <c r="G348" s="495" t="s">
        <v>7</v>
      </c>
      <c r="H348" s="496">
        <f t="shared" si="70"/>
        <v>718150</v>
      </c>
      <c r="I348" s="497">
        <f t="shared" si="71"/>
        <v>4980</v>
      </c>
      <c r="J348" s="497">
        <f>J346+J347</f>
        <v>0</v>
      </c>
      <c r="K348" s="497">
        <f>K346+K347</f>
        <v>4980</v>
      </c>
      <c r="L348" s="497">
        <f t="shared" si="72"/>
        <v>713170</v>
      </c>
      <c r="M348" s="497">
        <f>M346+M347</f>
        <v>0</v>
      </c>
      <c r="N348" s="497">
        <f>N346+N347</f>
        <v>713170</v>
      </c>
    </row>
    <row r="349" spans="1:14" s="530" customFormat="1" ht="15.6" hidden="1" customHeight="1">
      <c r="A349" s="1010"/>
      <c r="B349" s="1020"/>
      <c r="C349" s="1012"/>
      <c r="D349" s="1013"/>
      <c r="E349" s="551" t="s">
        <v>747</v>
      </c>
      <c r="F349" s="1014" t="s">
        <v>754</v>
      </c>
      <c r="G349" s="495" t="s">
        <v>5</v>
      </c>
      <c r="H349" s="496">
        <f t="shared" si="70"/>
        <v>7429941</v>
      </c>
      <c r="I349" s="497">
        <f t="shared" si="71"/>
        <v>4285662</v>
      </c>
      <c r="J349" s="497">
        <v>0</v>
      </c>
      <c r="K349" s="497">
        <v>4285662</v>
      </c>
      <c r="L349" s="497">
        <f t="shared" si="72"/>
        <v>3144279</v>
      </c>
      <c r="M349" s="497">
        <v>0</v>
      </c>
      <c r="N349" s="497">
        <v>3144279</v>
      </c>
    </row>
    <row r="350" spans="1:14" s="530" customFormat="1" ht="15.6" hidden="1" customHeight="1">
      <c r="A350" s="1010"/>
      <c r="B350" s="1037"/>
      <c r="C350" s="1012"/>
      <c r="D350" s="1037"/>
      <c r="E350" s="552"/>
      <c r="F350" s="1016"/>
      <c r="G350" s="495" t="s">
        <v>6</v>
      </c>
      <c r="H350" s="496">
        <f t="shared" si="70"/>
        <v>0</v>
      </c>
      <c r="I350" s="497">
        <f t="shared" si="71"/>
        <v>0</v>
      </c>
      <c r="J350" s="497">
        <v>0</v>
      </c>
      <c r="K350" s="497">
        <v>0</v>
      </c>
      <c r="L350" s="497">
        <f t="shared" si="72"/>
        <v>0</v>
      </c>
      <c r="M350" s="497">
        <v>0</v>
      </c>
      <c r="N350" s="497">
        <v>0</v>
      </c>
    </row>
    <row r="351" spans="1:14" s="530" customFormat="1" ht="15.6" hidden="1" customHeight="1">
      <c r="A351" s="1021"/>
      <c r="B351" s="1060"/>
      <c r="C351" s="1023"/>
      <c r="D351" s="1060"/>
      <c r="E351" s="552"/>
      <c r="F351" s="1018"/>
      <c r="G351" s="495" t="s">
        <v>7</v>
      </c>
      <c r="H351" s="496">
        <f t="shared" si="70"/>
        <v>7429941</v>
      </c>
      <c r="I351" s="497">
        <f t="shared" si="71"/>
        <v>4285662</v>
      </c>
      <c r="J351" s="497">
        <f>J349+J350</f>
        <v>0</v>
      </c>
      <c r="K351" s="497">
        <f>K349+K350</f>
        <v>4285662</v>
      </c>
      <c r="L351" s="497">
        <f t="shared" si="72"/>
        <v>3144279</v>
      </c>
      <c r="M351" s="497">
        <f>M349+M350</f>
        <v>0</v>
      </c>
      <c r="N351" s="497">
        <f>N349+N350</f>
        <v>3144279</v>
      </c>
    </row>
    <row r="352" spans="1:14" s="530" customFormat="1" ht="15.6" customHeight="1">
      <c r="A352" s="1064" t="s">
        <v>431</v>
      </c>
      <c r="B352" s="1065"/>
      <c r="C352" s="1052" t="s">
        <v>1001</v>
      </c>
      <c r="D352" s="1053"/>
      <c r="E352" s="551" t="s">
        <v>747</v>
      </c>
      <c r="F352" s="1014" t="s">
        <v>1002</v>
      </c>
      <c r="G352" s="495" t="s">
        <v>5</v>
      </c>
      <c r="H352" s="496">
        <f t="shared" si="70"/>
        <v>0</v>
      </c>
      <c r="I352" s="497">
        <f t="shared" si="71"/>
        <v>0</v>
      </c>
      <c r="J352" s="497">
        <v>0</v>
      </c>
      <c r="K352" s="497">
        <v>0</v>
      </c>
      <c r="L352" s="497">
        <f t="shared" si="72"/>
        <v>0</v>
      </c>
      <c r="M352" s="497">
        <v>0</v>
      </c>
      <c r="N352" s="497">
        <v>0</v>
      </c>
    </row>
    <row r="353" spans="1:14" s="530" customFormat="1" ht="15.6" customHeight="1">
      <c r="A353" s="1010"/>
      <c r="B353" s="1037"/>
      <c r="C353" s="1012"/>
      <c r="D353" s="1037"/>
      <c r="E353" s="552"/>
      <c r="F353" s="1016"/>
      <c r="G353" s="495" t="s">
        <v>6</v>
      </c>
      <c r="H353" s="496">
        <f t="shared" si="70"/>
        <v>4318000</v>
      </c>
      <c r="I353" s="497">
        <f t="shared" si="71"/>
        <v>0</v>
      </c>
      <c r="J353" s="497">
        <v>0</v>
      </c>
      <c r="K353" s="497">
        <v>0</v>
      </c>
      <c r="L353" s="497">
        <f t="shared" si="72"/>
        <v>4318000</v>
      </c>
      <c r="M353" s="497">
        <v>0</v>
      </c>
      <c r="N353" s="497">
        <v>4318000</v>
      </c>
    </row>
    <row r="354" spans="1:14" s="530" customFormat="1" ht="15.6" customHeight="1">
      <c r="A354" s="1021"/>
      <c r="B354" s="1060"/>
      <c r="C354" s="1023"/>
      <c r="D354" s="1060"/>
      <c r="E354" s="552"/>
      <c r="F354" s="1018"/>
      <c r="G354" s="495" t="s">
        <v>7</v>
      </c>
      <c r="H354" s="496">
        <f t="shared" si="70"/>
        <v>4318000</v>
      </c>
      <c r="I354" s="497">
        <f t="shared" si="71"/>
        <v>0</v>
      </c>
      <c r="J354" s="497">
        <f>J352+J353</f>
        <v>0</v>
      </c>
      <c r="K354" s="497">
        <f>K352+K353</f>
        <v>0</v>
      </c>
      <c r="L354" s="497">
        <f t="shared" si="72"/>
        <v>4318000</v>
      </c>
      <c r="M354" s="497">
        <f>M352+M353</f>
        <v>0</v>
      </c>
      <c r="N354" s="497">
        <f>N352+N353</f>
        <v>4318000</v>
      </c>
    </row>
    <row r="355" spans="1:14" s="448" customFormat="1" ht="15" hidden="1" customHeight="1">
      <c r="A355" s="1029" t="s">
        <v>433</v>
      </c>
      <c r="B355" s="1030"/>
      <c r="C355" s="1031" t="s">
        <v>1003</v>
      </c>
      <c r="D355" s="1032"/>
      <c r="E355" s="545" t="s">
        <v>747</v>
      </c>
      <c r="F355" s="1014" t="s">
        <v>748</v>
      </c>
      <c r="G355" s="495" t="s">
        <v>5</v>
      </c>
      <c r="H355" s="496">
        <f t="shared" si="70"/>
        <v>7686960</v>
      </c>
      <c r="I355" s="497">
        <f t="shared" si="71"/>
        <v>7453560</v>
      </c>
      <c r="J355" s="497">
        <v>0</v>
      </c>
      <c r="K355" s="497">
        <v>7453560</v>
      </c>
      <c r="L355" s="497">
        <f t="shared" si="72"/>
        <v>233400</v>
      </c>
      <c r="M355" s="497">
        <v>0</v>
      </c>
      <c r="N355" s="497">
        <v>233400</v>
      </c>
    </row>
    <row r="356" spans="1:14" s="448" customFormat="1" ht="15" hidden="1" customHeight="1">
      <c r="A356" s="1025"/>
      <c r="B356" s="1037"/>
      <c r="C356" s="1027"/>
      <c r="D356" s="1037"/>
      <c r="E356" s="547"/>
      <c r="F356" s="1016"/>
      <c r="G356" s="495" t="s">
        <v>6</v>
      </c>
      <c r="H356" s="496">
        <f t="shared" si="70"/>
        <v>0</v>
      </c>
      <c r="I356" s="497">
        <f t="shared" si="71"/>
        <v>0</v>
      </c>
      <c r="J356" s="497">
        <v>0</v>
      </c>
      <c r="K356" s="497">
        <v>0</v>
      </c>
      <c r="L356" s="497">
        <f t="shared" si="72"/>
        <v>0</v>
      </c>
      <c r="M356" s="497">
        <v>0</v>
      </c>
      <c r="N356" s="497">
        <v>0</v>
      </c>
    </row>
    <row r="357" spans="1:14" s="448" customFormat="1" ht="15" hidden="1" customHeight="1">
      <c r="A357" s="1033"/>
      <c r="B357" s="1060"/>
      <c r="C357" s="1035"/>
      <c r="D357" s="1060"/>
      <c r="E357" s="548"/>
      <c r="F357" s="1018"/>
      <c r="G357" s="495" t="s">
        <v>7</v>
      </c>
      <c r="H357" s="496">
        <f t="shared" si="70"/>
        <v>7686960</v>
      </c>
      <c r="I357" s="497">
        <f t="shared" si="71"/>
        <v>7453560</v>
      </c>
      <c r="J357" s="497">
        <f>J355+J356</f>
        <v>0</v>
      </c>
      <c r="K357" s="497">
        <f>K355+K356</f>
        <v>7453560</v>
      </c>
      <c r="L357" s="497">
        <f t="shared" si="72"/>
        <v>233400</v>
      </c>
      <c r="M357" s="497">
        <f>M355+M356</f>
        <v>0</v>
      </c>
      <c r="N357" s="497">
        <f>N355+N356</f>
        <v>233400</v>
      </c>
    </row>
    <row r="358" spans="1:14" s="448" customFormat="1" ht="15" hidden="1" customHeight="1">
      <c r="A358" s="1029" t="s">
        <v>370</v>
      </c>
      <c r="B358" s="1030"/>
      <c r="C358" s="1031" t="s">
        <v>1004</v>
      </c>
      <c r="D358" s="1032"/>
      <c r="E358" s="545" t="s">
        <v>811</v>
      </c>
      <c r="F358" s="1014" t="s">
        <v>813</v>
      </c>
      <c r="G358" s="495" t="s">
        <v>5</v>
      </c>
      <c r="H358" s="496">
        <f t="shared" si="70"/>
        <v>60878</v>
      </c>
      <c r="I358" s="497">
        <f t="shared" si="71"/>
        <v>60878</v>
      </c>
      <c r="J358" s="497">
        <v>60878</v>
      </c>
      <c r="K358" s="497">
        <v>0</v>
      </c>
      <c r="L358" s="497">
        <f t="shared" si="72"/>
        <v>0</v>
      </c>
      <c r="M358" s="497">
        <v>0</v>
      </c>
      <c r="N358" s="497">
        <v>0</v>
      </c>
    </row>
    <row r="359" spans="1:14" s="448" customFormat="1" ht="15" hidden="1" customHeight="1">
      <c r="A359" s="1025"/>
      <c r="B359" s="1037"/>
      <c r="C359" s="1106"/>
      <c r="D359" s="1107"/>
      <c r="E359" s="547"/>
      <c r="F359" s="1016"/>
      <c r="G359" s="495" t="s">
        <v>6</v>
      </c>
      <c r="H359" s="496">
        <f t="shared" si="70"/>
        <v>0</v>
      </c>
      <c r="I359" s="497">
        <f t="shared" si="71"/>
        <v>0</v>
      </c>
      <c r="J359" s="497">
        <v>0</v>
      </c>
      <c r="K359" s="497">
        <v>0</v>
      </c>
      <c r="L359" s="497">
        <f t="shared" si="72"/>
        <v>0</v>
      </c>
      <c r="M359" s="497">
        <v>0</v>
      </c>
      <c r="N359" s="497">
        <v>0</v>
      </c>
    </row>
    <row r="360" spans="1:14" s="448" customFormat="1" ht="15" hidden="1" customHeight="1">
      <c r="A360" s="1025"/>
      <c r="B360" s="1037"/>
      <c r="C360" s="1035"/>
      <c r="D360" s="1060"/>
      <c r="E360" s="548"/>
      <c r="F360" s="1018"/>
      <c r="G360" s="495" t="s">
        <v>7</v>
      </c>
      <c r="H360" s="496">
        <f t="shared" si="70"/>
        <v>60878</v>
      </c>
      <c r="I360" s="497">
        <f t="shared" si="71"/>
        <v>60878</v>
      </c>
      <c r="J360" s="497">
        <f>J358+J359</f>
        <v>60878</v>
      </c>
      <c r="K360" s="497">
        <f>K358+K359</f>
        <v>0</v>
      </c>
      <c r="L360" s="497">
        <f t="shared" si="72"/>
        <v>0</v>
      </c>
      <c r="M360" s="497">
        <f>M358+M359</f>
        <v>0</v>
      </c>
      <c r="N360" s="497">
        <f>N358+N359</f>
        <v>0</v>
      </c>
    </row>
    <row r="361" spans="1:14" s="530" customFormat="1" ht="15" hidden="1" customHeight="1">
      <c r="A361" s="1010"/>
      <c r="B361" s="1020"/>
      <c r="C361" s="1052" t="s">
        <v>1005</v>
      </c>
      <c r="D361" s="1053"/>
      <c r="E361" s="551" t="s">
        <v>653</v>
      </c>
      <c r="F361" s="1014" t="s">
        <v>804</v>
      </c>
      <c r="G361" s="495" t="s">
        <v>5</v>
      </c>
      <c r="H361" s="496">
        <f t="shared" si="70"/>
        <v>556985</v>
      </c>
      <c r="I361" s="497">
        <f t="shared" si="71"/>
        <v>556985</v>
      </c>
      <c r="J361" s="497">
        <v>545845</v>
      </c>
      <c r="K361" s="497">
        <v>11140</v>
      </c>
      <c r="L361" s="497">
        <f t="shared" si="72"/>
        <v>0</v>
      </c>
      <c r="M361" s="497">
        <v>0</v>
      </c>
      <c r="N361" s="497">
        <v>0</v>
      </c>
    </row>
    <row r="362" spans="1:14" s="530" customFormat="1" ht="15" hidden="1" customHeight="1">
      <c r="A362" s="1010"/>
      <c r="B362" s="1037"/>
      <c r="C362" s="1012"/>
      <c r="D362" s="1037"/>
      <c r="E362" s="552"/>
      <c r="F362" s="1016"/>
      <c r="G362" s="495" t="s">
        <v>6</v>
      </c>
      <c r="H362" s="496">
        <f t="shared" si="70"/>
        <v>0</v>
      </c>
      <c r="I362" s="497">
        <f t="shared" si="71"/>
        <v>0</v>
      </c>
      <c r="J362" s="497">
        <v>0</v>
      </c>
      <c r="K362" s="497">
        <v>0</v>
      </c>
      <c r="L362" s="497">
        <f t="shared" si="72"/>
        <v>0</v>
      </c>
      <c r="M362" s="497">
        <v>0</v>
      </c>
      <c r="N362" s="497">
        <v>0</v>
      </c>
    </row>
    <row r="363" spans="1:14" s="530" customFormat="1" ht="15" hidden="1" customHeight="1">
      <c r="A363" s="1010"/>
      <c r="B363" s="1037"/>
      <c r="C363" s="1023"/>
      <c r="D363" s="1060"/>
      <c r="E363" s="553"/>
      <c r="F363" s="1018"/>
      <c r="G363" s="495" t="s">
        <v>7</v>
      </c>
      <c r="H363" s="496">
        <f t="shared" si="70"/>
        <v>556985</v>
      </c>
      <c r="I363" s="497">
        <f t="shared" si="71"/>
        <v>556985</v>
      </c>
      <c r="J363" s="497">
        <f>J361+J362</f>
        <v>545845</v>
      </c>
      <c r="K363" s="497">
        <f>K361+K362</f>
        <v>11140</v>
      </c>
      <c r="L363" s="497">
        <f t="shared" si="72"/>
        <v>0</v>
      </c>
      <c r="M363" s="497">
        <f>M361+M362</f>
        <v>0</v>
      </c>
      <c r="N363" s="497">
        <f>N361+N362</f>
        <v>0</v>
      </c>
    </row>
    <row r="364" spans="1:14" s="530" customFormat="1" ht="15" hidden="1" customHeight="1">
      <c r="A364" s="1010"/>
      <c r="B364" s="1020"/>
      <c r="C364" s="1052" t="s">
        <v>1006</v>
      </c>
      <c r="D364" s="1053"/>
      <c r="E364" s="551" t="s">
        <v>555</v>
      </c>
      <c r="F364" s="1014" t="s">
        <v>669</v>
      </c>
      <c r="G364" s="495" t="s">
        <v>5</v>
      </c>
      <c r="H364" s="496">
        <f t="shared" si="70"/>
        <v>2562347</v>
      </c>
      <c r="I364" s="497">
        <f t="shared" si="71"/>
        <v>2562347</v>
      </c>
      <c r="J364" s="497">
        <v>2562347</v>
      </c>
      <c r="K364" s="497">
        <v>0</v>
      </c>
      <c r="L364" s="497">
        <f t="shared" si="72"/>
        <v>0</v>
      </c>
      <c r="M364" s="497">
        <v>0</v>
      </c>
      <c r="N364" s="497">
        <v>0</v>
      </c>
    </row>
    <row r="365" spans="1:14" s="530" customFormat="1" ht="15" hidden="1" customHeight="1">
      <c r="A365" s="1010"/>
      <c r="B365" s="1037"/>
      <c r="C365" s="1012"/>
      <c r="D365" s="1037"/>
      <c r="E365" s="552"/>
      <c r="F365" s="1016"/>
      <c r="G365" s="495" t="s">
        <v>6</v>
      </c>
      <c r="H365" s="496">
        <f t="shared" si="70"/>
        <v>0</v>
      </c>
      <c r="I365" s="497">
        <f t="shared" si="71"/>
        <v>0</v>
      </c>
      <c r="J365" s="497">
        <v>0</v>
      </c>
      <c r="K365" s="497">
        <v>0</v>
      </c>
      <c r="L365" s="497">
        <f t="shared" si="72"/>
        <v>0</v>
      </c>
      <c r="M365" s="497">
        <v>0</v>
      </c>
      <c r="N365" s="497">
        <v>0</v>
      </c>
    </row>
    <row r="366" spans="1:14" s="530" customFormat="1" ht="15" hidden="1" customHeight="1">
      <c r="A366" s="1010"/>
      <c r="B366" s="1037"/>
      <c r="C366" s="1023"/>
      <c r="D366" s="1060"/>
      <c r="E366" s="553"/>
      <c r="F366" s="1018"/>
      <c r="G366" s="495" t="s">
        <v>7</v>
      </c>
      <c r="H366" s="496">
        <f t="shared" si="70"/>
        <v>2562347</v>
      </c>
      <c r="I366" s="497">
        <f t="shared" si="71"/>
        <v>2562347</v>
      </c>
      <c r="J366" s="497">
        <f>J364+J365</f>
        <v>2562347</v>
      </c>
      <c r="K366" s="497">
        <f>K364+K365</f>
        <v>0</v>
      </c>
      <c r="L366" s="497">
        <f t="shared" si="72"/>
        <v>0</v>
      </c>
      <c r="M366" s="497">
        <f>M364+M365</f>
        <v>0</v>
      </c>
      <c r="N366" s="497">
        <f>N364+N365</f>
        <v>0</v>
      </c>
    </row>
    <row r="367" spans="1:14" s="448" customFormat="1" ht="15.6" hidden="1" customHeight="1">
      <c r="A367" s="1025"/>
      <c r="B367" s="1026"/>
      <c r="C367" s="1031" t="s">
        <v>392</v>
      </c>
      <c r="D367" s="1032"/>
      <c r="E367" s="545" t="s">
        <v>647</v>
      </c>
      <c r="F367" s="1014" t="s">
        <v>1007</v>
      </c>
      <c r="G367" s="495" t="s">
        <v>5</v>
      </c>
      <c r="H367" s="496">
        <f t="shared" si="70"/>
        <v>31035</v>
      </c>
      <c r="I367" s="497">
        <f t="shared" si="71"/>
        <v>31035</v>
      </c>
      <c r="J367" s="497">
        <v>30631</v>
      </c>
      <c r="K367" s="497">
        <v>404</v>
      </c>
      <c r="L367" s="497">
        <f t="shared" si="72"/>
        <v>0</v>
      </c>
      <c r="M367" s="497">
        <v>0</v>
      </c>
      <c r="N367" s="497">
        <v>0</v>
      </c>
    </row>
    <row r="368" spans="1:14" s="448" customFormat="1" ht="15.6" hidden="1" customHeight="1">
      <c r="A368" s="1025"/>
      <c r="B368" s="1037"/>
      <c r="C368" s="1027"/>
      <c r="D368" s="1037"/>
      <c r="E368" s="547"/>
      <c r="F368" s="1016"/>
      <c r="G368" s="495" t="s">
        <v>6</v>
      </c>
      <c r="H368" s="496">
        <f t="shared" si="70"/>
        <v>0</v>
      </c>
      <c r="I368" s="497">
        <f t="shared" si="71"/>
        <v>0</v>
      </c>
      <c r="J368" s="497">
        <v>0</v>
      </c>
      <c r="K368" s="497">
        <v>0</v>
      </c>
      <c r="L368" s="497">
        <f t="shared" si="72"/>
        <v>0</v>
      </c>
      <c r="M368" s="497">
        <v>0</v>
      </c>
      <c r="N368" s="497">
        <v>0</v>
      </c>
    </row>
    <row r="369" spans="1:14" s="448" customFormat="1" ht="15.6" hidden="1" customHeight="1">
      <c r="A369" s="1025"/>
      <c r="B369" s="1037"/>
      <c r="C369" s="1027"/>
      <c r="D369" s="1037"/>
      <c r="E369" s="548"/>
      <c r="F369" s="1018"/>
      <c r="G369" s="495" t="s">
        <v>7</v>
      </c>
      <c r="H369" s="496">
        <f t="shared" si="70"/>
        <v>31035</v>
      </c>
      <c r="I369" s="497">
        <f t="shared" si="71"/>
        <v>31035</v>
      </c>
      <c r="J369" s="497">
        <f>J367+J368</f>
        <v>30631</v>
      </c>
      <c r="K369" s="497">
        <f>K367+K368</f>
        <v>404</v>
      </c>
      <c r="L369" s="497">
        <f t="shared" si="72"/>
        <v>0</v>
      </c>
      <c r="M369" s="497">
        <f>M367+M368</f>
        <v>0</v>
      </c>
      <c r="N369" s="497">
        <f>N367+N368</f>
        <v>0</v>
      </c>
    </row>
    <row r="370" spans="1:14" s="448" customFormat="1" ht="15" hidden="1" customHeight="1">
      <c r="A370" s="1025"/>
      <c r="B370" s="1026"/>
      <c r="C370" s="1027"/>
      <c r="D370" s="1028"/>
      <c r="E370" s="545" t="s">
        <v>821</v>
      </c>
      <c r="F370" s="1014" t="s">
        <v>823</v>
      </c>
      <c r="G370" s="495" t="s">
        <v>5</v>
      </c>
      <c r="H370" s="496">
        <f t="shared" si="70"/>
        <v>4023353</v>
      </c>
      <c r="I370" s="497">
        <f t="shared" si="71"/>
        <v>3812680</v>
      </c>
      <c r="J370" s="497">
        <v>3799824</v>
      </c>
      <c r="K370" s="497">
        <v>12856</v>
      </c>
      <c r="L370" s="497">
        <f t="shared" si="72"/>
        <v>210673</v>
      </c>
      <c r="M370" s="497">
        <v>210673</v>
      </c>
      <c r="N370" s="497">
        <v>0</v>
      </c>
    </row>
    <row r="371" spans="1:14" s="448" customFormat="1" ht="15" hidden="1" customHeight="1">
      <c r="A371" s="1025"/>
      <c r="B371" s="1037"/>
      <c r="C371" s="1027"/>
      <c r="D371" s="1037"/>
      <c r="E371" s="547"/>
      <c r="F371" s="1016"/>
      <c r="G371" s="495" t="s">
        <v>6</v>
      </c>
      <c r="H371" s="496">
        <f t="shared" si="70"/>
        <v>0</v>
      </c>
      <c r="I371" s="497">
        <f t="shared" si="71"/>
        <v>0</v>
      </c>
      <c r="J371" s="497">
        <v>0</v>
      </c>
      <c r="K371" s="497">
        <v>0</v>
      </c>
      <c r="L371" s="497">
        <f t="shared" si="72"/>
        <v>0</v>
      </c>
      <c r="M371" s="497">
        <v>0</v>
      </c>
      <c r="N371" s="497">
        <v>0</v>
      </c>
    </row>
    <row r="372" spans="1:14" s="448" customFormat="1" ht="15" hidden="1" customHeight="1">
      <c r="A372" s="1025"/>
      <c r="B372" s="1037"/>
      <c r="C372" s="1027"/>
      <c r="D372" s="1037"/>
      <c r="E372" s="548"/>
      <c r="F372" s="1018"/>
      <c r="G372" s="495" t="s">
        <v>7</v>
      </c>
      <c r="H372" s="496">
        <f t="shared" si="70"/>
        <v>4023353</v>
      </c>
      <c r="I372" s="497">
        <f t="shared" si="71"/>
        <v>3812680</v>
      </c>
      <c r="J372" s="497">
        <f>J370+J371</f>
        <v>3799824</v>
      </c>
      <c r="K372" s="497">
        <f>K370+K371</f>
        <v>12856</v>
      </c>
      <c r="L372" s="497">
        <f t="shared" si="72"/>
        <v>210673</v>
      </c>
      <c r="M372" s="497">
        <f>M370+M371</f>
        <v>210673</v>
      </c>
      <c r="N372" s="497">
        <f>N370+N371</f>
        <v>0</v>
      </c>
    </row>
    <row r="373" spans="1:14" s="530" customFormat="1" ht="15.6" hidden="1" customHeight="1">
      <c r="A373" s="1010"/>
      <c r="B373" s="1020"/>
      <c r="C373" s="1012"/>
      <c r="D373" s="1013"/>
      <c r="E373" s="551" t="s">
        <v>830</v>
      </c>
      <c r="F373" s="1014" t="s">
        <v>831</v>
      </c>
      <c r="G373" s="495" t="s">
        <v>5</v>
      </c>
      <c r="H373" s="496">
        <f t="shared" si="70"/>
        <v>3918649</v>
      </c>
      <c r="I373" s="497">
        <f t="shared" si="71"/>
        <v>3820834</v>
      </c>
      <c r="J373" s="497">
        <f>3416500+391045</f>
        <v>3807545</v>
      </c>
      <c r="K373" s="497">
        <v>13289</v>
      </c>
      <c r="L373" s="497">
        <f t="shared" si="72"/>
        <v>97815</v>
      </c>
      <c r="M373" s="497">
        <v>97803</v>
      </c>
      <c r="N373" s="497">
        <v>12</v>
      </c>
    </row>
    <row r="374" spans="1:14" s="530" customFormat="1" ht="15.6" hidden="1" customHeight="1">
      <c r="A374" s="1010"/>
      <c r="B374" s="1037"/>
      <c r="C374" s="1012"/>
      <c r="D374" s="1037"/>
      <c r="E374" s="552"/>
      <c r="F374" s="1016"/>
      <c r="G374" s="495" t="s">
        <v>6</v>
      </c>
      <c r="H374" s="496">
        <f t="shared" si="70"/>
        <v>0</v>
      </c>
      <c r="I374" s="497">
        <f t="shared" si="71"/>
        <v>0</v>
      </c>
      <c r="J374" s="497">
        <v>0</v>
      </c>
      <c r="K374" s="497">
        <v>0</v>
      </c>
      <c r="L374" s="497">
        <f t="shared" si="72"/>
        <v>0</v>
      </c>
      <c r="M374" s="497">
        <v>0</v>
      </c>
      <c r="N374" s="497">
        <v>0</v>
      </c>
    </row>
    <row r="375" spans="1:14" s="530" customFormat="1" ht="15.6" hidden="1" customHeight="1">
      <c r="A375" s="1010"/>
      <c r="B375" s="1037"/>
      <c r="C375" s="1012"/>
      <c r="D375" s="1037"/>
      <c r="E375" s="553"/>
      <c r="F375" s="1018"/>
      <c r="G375" s="495" t="s">
        <v>7</v>
      </c>
      <c r="H375" s="496">
        <f t="shared" si="70"/>
        <v>3918649</v>
      </c>
      <c r="I375" s="497">
        <f t="shared" si="71"/>
        <v>3820834</v>
      </c>
      <c r="J375" s="497">
        <f>J373+J374</f>
        <v>3807545</v>
      </c>
      <c r="K375" s="497">
        <f>K373+K374</f>
        <v>13289</v>
      </c>
      <c r="L375" s="497">
        <f t="shared" si="72"/>
        <v>97815</v>
      </c>
      <c r="M375" s="497">
        <f>M373+M374</f>
        <v>97803</v>
      </c>
      <c r="N375" s="497">
        <f>N373+N374</f>
        <v>12</v>
      </c>
    </row>
    <row r="376" spans="1:14" s="448" customFormat="1" ht="15.6" hidden="1" customHeight="1">
      <c r="A376" s="1025"/>
      <c r="B376" s="1026"/>
      <c r="C376" s="1027"/>
      <c r="D376" s="1028"/>
      <c r="E376" s="545" t="s">
        <v>832</v>
      </c>
      <c r="F376" s="1014" t="s">
        <v>834</v>
      </c>
      <c r="G376" s="495" t="s">
        <v>5</v>
      </c>
      <c r="H376" s="496">
        <f t="shared" si="70"/>
        <v>1257481</v>
      </c>
      <c r="I376" s="497">
        <f t="shared" si="71"/>
        <v>1257481</v>
      </c>
      <c r="J376" s="497">
        <v>1257481</v>
      </c>
      <c r="K376" s="497">
        <v>0</v>
      </c>
      <c r="L376" s="497">
        <f t="shared" si="72"/>
        <v>0</v>
      </c>
      <c r="M376" s="497">
        <v>0</v>
      </c>
      <c r="N376" s="497">
        <v>0</v>
      </c>
    </row>
    <row r="377" spans="1:14" s="448" customFormat="1" ht="15.6" hidden="1" customHeight="1">
      <c r="A377" s="1025"/>
      <c r="B377" s="1037"/>
      <c r="C377" s="1027"/>
      <c r="D377" s="1037"/>
      <c r="E377" s="547"/>
      <c r="F377" s="1016"/>
      <c r="G377" s="495" t="s">
        <v>6</v>
      </c>
      <c r="H377" s="496">
        <f t="shared" si="70"/>
        <v>0</v>
      </c>
      <c r="I377" s="497">
        <f t="shared" si="71"/>
        <v>0</v>
      </c>
      <c r="J377" s="497">
        <v>0</v>
      </c>
      <c r="K377" s="497">
        <v>0</v>
      </c>
      <c r="L377" s="497">
        <f t="shared" si="72"/>
        <v>0</v>
      </c>
      <c r="M377" s="497">
        <v>0</v>
      </c>
      <c r="N377" s="497">
        <v>0</v>
      </c>
    </row>
    <row r="378" spans="1:14" s="448" customFormat="1" ht="15.6" hidden="1" customHeight="1">
      <c r="A378" s="1025"/>
      <c r="B378" s="1037"/>
      <c r="C378" s="1035"/>
      <c r="D378" s="1060"/>
      <c r="E378" s="548"/>
      <c r="F378" s="1018"/>
      <c r="G378" s="495" t="s">
        <v>7</v>
      </c>
      <c r="H378" s="496">
        <f t="shared" si="70"/>
        <v>1257481</v>
      </c>
      <c r="I378" s="497">
        <f t="shared" si="71"/>
        <v>1257481</v>
      </c>
      <c r="J378" s="497">
        <f>J376+J377</f>
        <v>1257481</v>
      </c>
      <c r="K378" s="497">
        <f>K376+K377</f>
        <v>0</v>
      </c>
      <c r="L378" s="497">
        <f t="shared" si="72"/>
        <v>0</v>
      </c>
      <c r="M378" s="497">
        <f>M376+M377</f>
        <v>0</v>
      </c>
      <c r="N378" s="497">
        <f>N376+N377</f>
        <v>0</v>
      </c>
    </row>
    <row r="379" spans="1:14" s="530" customFormat="1" ht="15" hidden="1" customHeight="1">
      <c r="A379" s="1064" t="s">
        <v>261</v>
      </c>
      <c r="B379" s="1065"/>
      <c r="C379" s="1052" t="s">
        <v>1008</v>
      </c>
      <c r="D379" s="1053"/>
      <c r="E379" s="551" t="s">
        <v>672</v>
      </c>
      <c r="F379" s="1014" t="s">
        <v>678</v>
      </c>
      <c r="G379" s="495" t="s">
        <v>5</v>
      </c>
      <c r="H379" s="496">
        <f t="shared" si="70"/>
        <v>470648</v>
      </c>
      <c r="I379" s="497">
        <f t="shared" si="71"/>
        <v>0</v>
      </c>
      <c r="J379" s="497">
        <v>0</v>
      </c>
      <c r="K379" s="497">
        <v>0</v>
      </c>
      <c r="L379" s="497">
        <f t="shared" si="72"/>
        <v>470648</v>
      </c>
      <c r="M379" s="497">
        <v>0</v>
      </c>
      <c r="N379" s="497">
        <v>470648</v>
      </c>
    </row>
    <row r="380" spans="1:14" s="530" customFormat="1" ht="15" hidden="1" customHeight="1">
      <c r="A380" s="1010"/>
      <c r="B380" s="1037"/>
      <c r="C380" s="1012"/>
      <c r="D380" s="1037"/>
      <c r="E380" s="552"/>
      <c r="F380" s="1016"/>
      <c r="G380" s="495" t="s">
        <v>6</v>
      </c>
      <c r="H380" s="496">
        <f t="shared" si="70"/>
        <v>0</v>
      </c>
      <c r="I380" s="497">
        <f t="shared" si="71"/>
        <v>0</v>
      </c>
      <c r="J380" s="497">
        <v>0</v>
      </c>
      <c r="K380" s="497">
        <v>0</v>
      </c>
      <c r="L380" s="497">
        <f t="shared" si="72"/>
        <v>0</v>
      </c>
      <c r="M380" s="497">
        <v>0</v>
      </c>
      <c r="N380" s="497">
        <v>0</v>
      </c>
    </row>
    <row r="381" spans="1:14" s="530" customFormat="1" ht="15" hidden="1" customHeight="1">
      <c r="A381" s="1010"/>
      <c r="B381" s="1037"/>
      <c r="C381" s="1023"/>
      <c r="D381" s="1060"/>
      <c r="E381" s="552"/>
      <c r="F381" s="1018"/>
      <c r="G381" s="495" t="s">
        <v>7</v>
      </c>
      <c r="H381" s="496">
        <f t="shared" si="70"/>
        <v>470648</v>
      </c>
      <c r="I381" s="497">
        <f t="shared" si="71"/>
        <v>0</v>
      </c>
      <c r="J381" s="497">
        <f>J379+J380</f>
        <v>0</v>
      </c>
      <c r="K381" s="497">
        <f>K379+K380</f>
        <v>0</v>
      </c>
      <c r="L381" s="497">
        <f t="shared" si="72"/>
        <v>470648</v>
      </c>
      <c r="M381" s="497">
        <f>M379+M380</f>
        <v>0</v>
      </c>
      <c r="N381" s="497">
        <f>N379+N380</f>
        <v>470648</v>
      </c>
    </row>
    <row r="382" spans="1:14" s="448" customFormat="1" ht="15" hidden="1" customHeight="1">
      <c r="A382" s="1025"/>
      <c r="B382" s="1026"/>
      <c r="C382" s="1031" t="s">
        <v>284</v>
      </c>
      <c r="D382" s="1032"/>
      <c r="E382" s="545" t="s">
        <v>672</v>
      </c>
      <c r="F382" s="1014" t="s">
        <v>676</v>
      </c>
      <c r="G382" s="495" t="s">
        <v>5</v>
      </c>
      <c r="H382" s="496">
        <f t="shared" si="70"/>
        <v>263140</v>
      </c>
      <c r="I382" s="497">
        <f t="shared" si="71"/>
        <v>263140</v>
      </c>
      <c r="J382" s="497">
        <v>0</v>
      </c>
      <c r="K382" s="497">
        <v>263140</v>
      </c>
      <c r="L382" s="497">
        <f t="shared" si="72"/>
        <v>0</v>
      </c>
      <c r="M382" s="497">
        <v>0</v>
      </c>
      <c r="N382" s="497">
        <v>0</v>
      </c>
    </row>
    <row r="383" spans="1:14" s="448" customFormat="1" ht="15" hidden="1" customHeight="1">
      <c r="A383" s="1025"/>
      <c r="B383" s="1037"/>
      <c r="C383" s="1027"/>
      <c r="D383" s="1037"/>
      <c r="E383" s="547"/>
      <c r="F383" s="1016"/>
      <c r="G383" s="495" t="s">
        <v>6</v>
      </c>
      <c r="H383" s="496">
        <f t="shared" si="70"/>
        <v>0</v>
      </c>
      <c r="I383" s="497">
        <f t="shared" si="71"/>
        <v>0</v>
      </c>
      <c r="J383" s="497">
        <v>0</v>
      </c>
      <c r="K383" s="497">
        <v>0</v>
      </c>
      <c r="L383" s="497">
        <f t="shared" si="72"/>
        <v>0</v>
      </c>
      <c r="M383" s="497">
        <v>0</v>
      </c>
      <c r="N383" s="497">
        <v>0</v>
      </c>
    </row>
    <row r="384" spans="1:14" s="448" customFormat="1" ht="15" hidden="1" customHeight="1">
      <c r="A384" s="1025"/>
      <c r="B384" s="1037"/>
      <c r="C384" s="1027"/>
      <c r="D384" s="1037"/>
      <c r="E384" s="547"/>
      <c r="F384" s="1018"/>
      <c r="G384" s="495" t="s">
        <v>7</v>
      </c>
      <c r="H384" s="496">
        <f t="shared" si="70"/>
        <v>263140</v>
      </c>
      <c r="I384" s="497">
        <f t="shared" si="71"/>
        <v>263140</v>
      </c>
      <c r="J384" s="497">
        <f>J382+J383</f>
        <v>0</v>
      </c>
      <c r="K384" s="497">
        <f>K382+K383</f>
        <v>263140</v>
      </c>
      <c r="L384" s="497">
        <f t="shared" si="72"/>
        <v>0</v>
      </c>
      <c r="M384" s="497">
        <f>M382+M383</f>
        <v>0</v>
      </c>
      <c r="N384" s="497">
        <f>N382+N383</f>
        <v>0</v>
      </c>
    </row>
    <row r="385" spans="1:14" s="448" customFormat="1" ht="15.6" hidden="1" customHeight="1">
      <c r="A385" s="1025"/>
      <c r="B385" s="1026"/>
      <c r="C385" s="1027"/>
      <c r="D385" s="1028"/>
      <c r="E385" s="554"/>
      <c r="F385" s="1014" t="s">
        <v>674</v>
      </c>
      <c r="G385" s="495" t="s">
        <v>5</v>
      </c>
      <c r="H385" s="496">
        <f t="shared" si="70"/>
        <v>984457</v>
      </c>
      <c r="I385" s="497">
        <f t="shared" si="71"/>
        <v>399739</v>
      </c>
      <c r="J385" s="497">
        <v>0</v>
      </c>
      <c r="K385" s="497">
        <v>399739</v>
      </c>
      <c r="L385" s="497">
        <f t="shared" si="72"/>
        <v>584718</v>
      </c>
      <c r="M385" s="497">
        <v>0</v>
      </c>
      <c r="N385" s="497">
        <v>584718</v>
      </c>
    </row>
    <row r="386" spans="1:14" s="448" customFormat="1" ht="15.6" hidden="1" customHeight="1">
      <c r="A386" s="1025"/>
      <c r="B386" s="1037"/>
      <c r="C386" s="1027"/>
      <c r="D386" s="1037"/>
      <c r="E386" s="554"/>
      <c r="F386" s="1016"/>
      <c r="G386" s="495" t="s">
        <v>6</v>
      </c>
      <c r="H386" s="496">
        <f t="shared" si="70"/>
        <v>0</v>
      </c>
      <c r="I386" s="497">
        <f t="shared" si="71"/>
        <v>0</v>
      </c>
      <c r="J386" s="497">
        <v>0</v>
      </c>
      <c r="K386" s="497">
        <v>0</v>
      </c>
      <c r="L386" s="497">
        <f t="shared" si="72"/>
        <v>0</v>
      </c>
      <c r="M386" s="497">
        <v>0</v>
      </c>
      <c r="N386" s="497">
        <v>0</v>
      </c>
    </row>
    <row r="387" spans="1:14" s="448" customFormat="1" ht="15.6" hidden="1" customHeight="1">
      <c r="A387" s="1033"/>
      <c r="B387" s="1060"/>
      <c r="C387" s="1035"/>
      <c r="D387" s="1060"/>
      <c r="E387" s="555"/>
      <c r="F387" s="1018"/>
      <c r="G387" s="495" t="s">
        <v>7</v>
      </c>
      <c r="H387" s="496">
        <f t="shared" si="70"/>
        <v>984457</v>
      </c>
      <c r="I387" s="497">
        <f t="shared" si="71"/>
        <v>399739</v>
      </c>
      <c r="J387" s="497">
        <f>J385+J386</f>
        <v>0</v>
      </c>
      <c r="K387" s="497">
        <f>K385+K386</f>
        <v>399739</v>
      </c>
      <c r="L387" s="497">
        <f t="shared" si="72"/>
        <v>584718</v>
      </c>
      <c r="M387" s="497">
        <f>M385+M386</f>
        <v>0</v>
      </c>
      <c r="N387" s="497">
        <f>N385+N386</f>
        <v>584718</v>
      </c>
    </row>
    <row r="388" spans="1:14" s="518" customFormat="1" ht="5.25" hidden="1" customHeight="1">
      <c r="A388" s="556"/>
      <c r="B388" s="544"/>
      <c r="C388" s="544"/>
      <c r="D388" s="544"/>
      <c r="E388" s="544"/>
      <c r="F388" s="544"/>
      <c r="G388" s="514"/>
      <c r="H388" s="515"/>
      <c r="I388" s="516"/>
      <c r="J388" s="516"/>
      <c r="K388" s="516"/>
      <c r="L388" s="516"/>
      <c r="M388" s="516"/>
      <c r="N388" s="517"/>
    </row>
    <row r="389" spans="1:14" s="541" customFormat="1" ht="15" hidden="1" customHeight="1">
      <c r="A389" s="1094" t="s">
        <v>1009</v>
      </c>
      <c r="B389" s="1095"/>
      <c r="C389" s="1095"/>
      <c r="D389" s="1095"/>
      <c r="E389" s="1095"/>
      <c r="F389" s="1095"/>
      <c r="G389" s="538" t="s">
        <v>5</v>
      </c>
      <c r="H389" s="539">
        <f>I389+L389</f>
        <v>15592564</v>
      </c>
      <c r="I389" s="540">
        <f>J389+K389</f>
        <v>12901668</v>
      </c>
      <c r="J389" s="540">
        <f t="shared" ref="J389:K391" si="73">J393+J396</f>
        <v>0</v>
      </c>
      <c r="K389" s="540">
        <f t="shared" si="73"/>
        <v>12901668</v>
      </c>
      <c r="L389" s="540">
        <f>M389+N389</f>
        <v>2690896</v>
      </c>
      <c r="M389" s="540">
        <f t="shared" ref="M389:N391" si="74">M393+M396</f>
        <v>0</v>
      </c>
      <c r="N389" s="540">
        <f t="shared" si="74"/>
        <v>2690896</v>
      </c>
    </row>
    <row r="390" spans="1:14" s="541" customFormat="1" ht="15" hidden="1" customHeight="1">
      <c r="A390" s="1096"/>
      <c r="B390" s="1097"/>
      <c r="C390" s="1097"/>
      <c r="D390" s="1097"/>
      <c r="E390" s="1097"/>
      <c r="F390" s="1097"/>
      <c r="G390" s="538" t="s">
        <v>6</v>
      </c>
      <c r="H390" s="539">
        <f>I390+L390</f>
        <v>0</v>
      </c>
      <c r="I390" s="540">
        <f>J390+K390</f>
        <v>0</v>
      </c>
      <c r="J390" s="540">
        <f t="shared" si="73"/>
        <v>0</v>
      </c>
      <c r="K390" s="540">
        <f t="shared" si="73"/>
        <v>0</v>
      </c>
      <c r="L390" s="540">
        <f>M390+N390</f>
        <v>0</v>
      </c>
      <c r="M390" s="540">
        <f t="shared" si="74"/>
        <v>0</v>
      </c>
      <c r="N390" s="540">
        <f t="shared" si="74"/>
        <v>0</v>
      </c>
    </row>
    <row r="391" spans="1:14" s="541" customFormat="1" ht="15" hidden="1" customHeight="1">
      <c r="A391" s="1098"/>
      <c r="B391" s="1099"/>
      <c r="C391" s="1099"/>
      <c r="D391" s="1099"/>
      <c r="E391" s="1099"/>
      <c r="F391" s="1099"/>
      <c r="G391" s="538" t="s">
        <v>7</v>
      </c>
      <c r="H391" s="539">
        <f>I391+L391</f>
        <v>15592564</v>
      </c>
      <c r="I391" s="540">
        <f>J391+K391</f>
        <v>12901668</v>
      </c>
      <c r="J391" s="540">
        <f t="shared" si="73"/>
        <v>0</v>
      </c>
      <c r="K391" s="540">
        <f t="shared" si="73"/>
        <v>12901668</v>
      </c>
      <c r="L391" s="540">
        <f>M391+N391</f>
        <v>2690896</v>
      </c>
      <c r="M391" s="540">
        <f t="shared" si="74"/>
        <v>0</v>
      </c>
      <c r="N391" s="540">
        <f t="shared" si="74"/>
        <v>2690896</v>
      </c>
    </row>
    <row r="392" spans="1:14" s="518" customFormat="1" ht="5.25" hidden="1" customHeight="1">
      <c r="A392" s="542"/>
      <c r="B392" s="544"/>
      <c r="C392" s="544"/>
      <c r="D392" s="544"/>
      <c r="E392" s="544"/>
      <c r="F392" s="544"/>
      <c r="G392" s="514"/>
      <c r="H392" s="515"/>
      <c r="I392" s="516"/>
      <c r="J392" s="516"/>
      <c r="K392" s="516"/>
      <c r="L392" s="516"/>
      <c r="M392" s="516"/>
      <c r="N392" s="517"/>
    </row>
    <row r="393" spans="1:14" s="448" customFormat="1" ht="15" hidden="1" customHeight="1">
      <c r="A393" s="1029" t="s">
        <v>248</v>
      </c>
      <c r="B393" s="1030"/>
      <c r="C393" s="1031" t="s">
        <v>1000</v>
      </c>
      <c r="D393" s="1032"/>
      <c r="E393" s="545" t="s">
        <v>1010</v>
      </c>
      <c r="F393" s="1014" t="s">
        <v>897</v>
      </c>
      <c r="G393" s="495" t="s">
        <v>5</v>
      </c>
      <c r="H393" s="496">
        <f t="shared" ref="H393:H398" si="75">I393+L393</f>
        <v>11933564</v>
      </c>
      <c r="I393" s="497">
        <f t="shared" ref="I393:I398" si="76">J393+K393</f>
        <v>11933564</v>
      </c>
      <c r="J393" s="497">
        <v>0</v>
      </c>
      <c r="K393" s="497">
        <v>11933564</v>
      </c>
      <c r="L393" s="497">
        <f t="shared" ref="L393:L398" si="77">M393+N393</f>
        <v>0</v>
      </c>
      <c r="M393" s="497">
        <v>0</v>
      </c>
      <c r="N393" s="497">
        <v>0</v>
      </c>
    </row>
    <row r="394" spans="1:14" s="448" customFormat="1" ht="15" hidden="1" customHeight="1">
      <c r="A394" s="1025"/>
      <c r="B394" s="1037"/>
      <c r="C394" s="1027"/>
      <c r="D394" s="1037"/>
      <c r="E394" s="547"/>
      <c r="F394" s="1016"/>
      <c r="G394" s="495" t="s">
        <v>6</v>
      </c>
      <c r="H394" s="496">
        <f t="shared" si="75"/>
        <v>0</v>
      </c>
      <c r="I394" s="497">
        <f t="shared" si="76"/>
        <v>0</v>
      </c>
      <c r="J394" s="497">
        <v>0</v>
      </c>
      <c r="K394" s="497">
        <v>0</v>
      </c>
      <c r="L394" s="497">
        <f t="shared" si="77"/>
        <v>0</v>
      </c>
      <c r="M394" s="497">
        <v>0</v>
      </c>
      <c r="N394" s="497">
        <v>0</v>
      </c>
    </row>
    <row r="395" spans="1:14" s="448" customFormat="1" ht="15" hidden="1" customHeight="1">
      <c r="A395" s="1033"/>
      <c r="B395" s="1060"/>
      <c r="C395" s="1035"/>
      <c r="D395" s="1060"/>
      <c r="E395" s="548"/>
      <c r="F395" s="1018"/>
      <c r="G395" s="495" t="s">
        <v>7</v>
      </c>
      <c r="H395" s="496">
        <f t="shared" si="75"/>
        <v>11933564</v>
      </c>
      <c r="I395" s="497">
        <f t="shared" si="76"/>
        <v>11933564</v>
      </c>
      <c r="J395" s="497">
        <f>J393+J394</f>
        <v>0</v>
      </c>
      <c r="K395" s="497">
        <f>K393+K394</f>
        <v>11933564</v>
      </c>
      <c r="L395" s="497">
        <f t="shared" si="77"/>
        <v>0</v>
      </c>
      <c r="M395" s="497">
        <f>M393+M394</f>
        <v>0</v>
      </c>
      <c r="N395" s="497">
        <f>N393+N394</f>
        <v>0</v>
      </c>
    </row>
    <row r="396" spans="1:14" s="448" customFormat="1" ht="15" hidden="1" customHeight="1">
      <c r="A396" s="1029" t="s">
        <v>431</v>
      </c>
      <c r="B396" s="1030"/>
      <c r="C396" s="1031" t="s">
        <v>1011</v>
      </c>
      <c r="D396" s="1032"/>
      <c r="E396" s="545" t="s">
        <v>526</v>
      </c>
      <c r="F396" s="1014" t="s">
        <v>1012</v>
      </c>
      <c r="G396" s="495" t="s">
        <v>5</v>
      </c>
      <c r="H396" s="496">
        <f t="shared" si="75"/>
        <v>3659000</v>
      </c>
      <c r="I396" s="497">
        <f t="shared" si="76"/>
        <v>968104</v>
      </c>
      <c r="J396" s="497">
        <v>0</v>
      </c>
      <c r="K396" s="497">
        <v>968104</v>
      </c>
      <c r="L396" s="497">
        <f t="shared" si="77"/>
        <v>2690896</v>
      </c>
      <c r="M396" s="497">
        <v>0</v>
      </c>
      <c r="N396" s="497">
        <v>2690896</v>
      </c>
    </row>
    <row r="397" spans="1:14" s="448" customFormat="1" ht="15" hidden="1" customHeight="1">
      <c r="A397" s="1025"/>
      <c r="B397" s="1026"/>
      <c r="C397" s="1027"/>
      <c r="D397" s="1028"/>
      <c r="E397" s="547"/>
      <c r="F397" s="1016"/>
      <c r="G397" s="495" t="s">
        <v>6</v>
      </c>
      <c r="H397" s="496">
        <f t="shared" si="75"/>
        <v>0</v>
      </c>
      <c r="I397" s="497">
        <f t="shared" si="76"/>
        <v>0</v>
      </c>
      <c r="J397" s="497">
        <v>0</v>
      </c>
      <c r="K397" s="497">
        <v>0</v>
      </c>
      <c r="L397" s="497">
        <f t="shared" si="77"/>
        <v>0</v>
      </c>
      <c r="M397" s="497">
        <v>0</v>
      </c>
      <c r="N397" s="497">
        <v>0</v>
      </c>
    </row>
    <row r="398" spans="1:14" s="448" customFormat="1" ht="15" hidden="1" customHeight="1">
      <c r="A398" s="1025"/>
      <c r="B398" s="1026"/>
      <c r="C398" s="1027"/>
      <c r="D398" s="1028"/>
      <c r="E398" s="548"/>
      <c r="F398" s="1018"/>
      <c r="G398" s="495" t="s">
        <v>7</v>
      </c>
      <c r="H398" s="496">
        <f t="shared" si="75"/>
        <v>3659000</v>
      </c>
      <c r="I398" s="497">
        <f t="shared" si="76"/>
        <v>968104</v>
      </c>
      <c r="J398" s="497">
        <f>J396+J397</f>
        <v>0</v>
      </c>
      <c r="K398" s="497">
        <f>K396+K397</f>
        <v>968104</v>
      </c>
      <c r="L398" s="497">
        <f t="shared" si="77"/>
        <v>2690896</v>
      </c>
      <c r="M398" s="497">
        <f>M396+M397</f>
        <v>0</v>
      </c>
      <c r="N398" s="497">
        <f>N396+N397</f>
        <v>2690896</v>
      </c>
    </row>
    <row r="399" spans="1:14" s="518" customFormat="1" ht="5.25" hidden="1" customHeight="1">
      <c r="A399" s="556"/>
      <c r="B399" s="544"/>
      <c r="C399" s="544"/>
      <c r="D399" s="544"/>
      <c r="E399" s="544"/>
      <c r="F399" s="544"/>
      <c r="G399" s="514"/>
      <c r="H399" s="515"/>
      <c r="I399" s="516"/>
      <c r="J399" s="516"/>
      <c r="K399" s="516"/>
      <c r="L399" s="516"/>
      <c r="M399" s="516"/>
      <c r="N399" s="517"/>
    </row>
    <row r="400" spans="1:14" s="541" customFormat="1" ht="15" hidden="1" customHeight="1">
      <c r="A400" s="1094" t="s">
        <v>1013</v>
      </c>
      <c r="B400" s="1095"/>
      <c r="C400" s="1095"/>
      <c r="D400" s="1095"/>
      <c r="E400" s="1095"/>
      <c r="F400" s="1095"/>
      <c r="G400" s="538" t="s">
        <v>5</v>
      </c>
      <c r="H400" s="539">
        <f>I400+L400</f>
        <v>580000</v>
      </c>
      <c r="I400" s="540">
        <f>J400+K400</f>
        <v>20021</v>
      </c>
      <c r="J400" s="540">
        <f t="shared" ref="J400:K402" si="78">J404</f>
        <v>0</v>
      </c>
      <c r="K400" s="540">
        <f t="shared" si="78"/>
        <v>20021</v>
      </c>
      <c r="L400" s="540">
        <f>M400+N400</f>
        <v>559979</v>
      </c>
      <c r="M400" s="540">
        <f t="shared" ref="M400:N402" si="79">M404</f>
        <v>0</v>
      </c>
      <c r="N400" s="540">
        <f t="shared" si="79"/>
        <v>559979</v>
      </c>
    </row>
    <row r="401" spans="1:14" s="541" customFormat="1" ht="15" hidden="1" customHeight="1">
      <c r="A401" s="1096"/>
      <c r="B401" s="1097"/>
      <c r="C401" s="1097"/>
      <c r="D401" s="1097"/>
      <c r="E401" s="1097"/>
      <c r="F401" s="1097"/>
      <c r="G401" s="538" t="s">
        <v>6</v>
      </c>
      <c r="H401" s="539">
        <f>I401+L401</f>
        <v>0</v>
      </c>
      <c r="I401" s="540">
        <f>J401+K401</f>
        <v>0</v>
      </c>
      <c r="J401" s="540">
        <f t="shared" si="78"/>
        <v>0</v>
      </c>
      <c r="K401" s="540">
        <f t="shared" si="78"/>
        <v>0</v>
      </c>
      <c r="L401" s="540">
        <f>M401+N401</f>
        <v>0</v>
      </c>
      <c r="M401" s="540">
        <f t="shared" si="79"/>
        <v>0</v>
      </c>
      <c r="N401" s="540">
        <f t="shared" si="79"/>
        <v>0</v>
      </c>
    </row>
    <row r="402" spans="1:14" s="541" customFormat="1" ht="15" hidden="1" customHeight="1">
      <c r="A402" s="1098"/>
      <c r="B402" s="1099"/>
      <c r="C402" s="1099"/>
      <c r="D402" s="1099"/>
      <c r="E402" s="1099"/>
      <c r="F402" s="1099"/>
      <c r="G402" s="538" t="s">
        <v>7</v>
      </c>
      <c r="H402" s="539">
        <f>I402+L402</f>
        <v>580000</v>
      </c>
      <c r="I402" s="540">
        <f>J402+K402</f>
        <v>20021</v>
      </c>
      <c r="J402" s="540">
        <f t="shared" si="78"/>
        <v>0</v>
      </c>
      <c r="K402" s="540">
        <f t="shared" si="78"/>
        <v>20021</v>
      </c>
      <c r="L402" s="540">
        <f>M402+N402</f>
        <v>559979</v>
      </c>
      <c r="M402" s="540">
        <f t="shared" si="79"/>
        <v>0</v>
      </c>
      <c r="N402" s="540">
        <f t="shared" si="79"/>
        <v>559979</v>
      </c>
    </row>
    <row r="403" spans="1:14" s="518" customFormat="1" ht="5.25" hidden="1" customHeight="1">
      <c r="A403" s="556"/>
      <c r="B403" s="544"/>
      <c r="C403" s="544"/>
      <c r="D403" s="544"/>
      <c r="E403" s="544"/>
      <c r="F403" s="544"/>
      <c r="G403" s="514"/>
      <c r="H403" s="515"/>
      <c r="I403" s="516"/>
      <c r="J403" s="516"/>
      <c r="K403" s="516"/>
      <c r="L403" s="516"/>
      <c r="M403" s="516"/>
      <c r="N403" s="517"/>
    </row>
    <row r="404" spans="1:14" s="530" customFormat="1" ht="15" hidden="1" customHeight="1">
      <c r="A404" s="1064" t="s">
        <v>8</v>
      </c>
      <c r="B404" s="1100"/>
      <c r="C404" s="1052" t="s">
        <v>83</v>
      </c>
      <c r="D404" s="1053"/>
      <c r="E404" s="1014" t="s">
        <v>1014</v>
      </c>
      <c r="F404" s="1101"/>
      <c r="G404" s="557" t="s">
        <v>5</v>
      </c>
      <c r="H404" s="496">
        <f>I404+L404</f>
        <v>580000</v>
      </c>
      <c r="I404" s="497">
        <f>J404+K404</f>
        <v>20021</v>
      </c>
      <c r="J404" s="497">
        <v>0</v>
      </c>
      <c r="K404" s="497">
        <v>20021</v>
      </c>
      <c r="L404" s="497">
        <f>M404+N404</f>
        <v>559979</v>
      </c>
      <c r="M404" s="497">
        <v>0</v>
      </c>
      <c r="N404" s="497">
        <v>559979</v>
      </c>
    </row>
    <row r="405" spans="1:14" s="530" customFormat="1" ht="15" hidden="1" customHeight="1">
      <c r="A405" s="1010"/>
      <c r="B405" s="1073"/>
      <c r="C405" s="1012"/>
      <c r="D405" s="1073"/>
      <c r="E405" s="1102"/>
      <c r="F405" s="1103"/>
      <c r="G405" s="557" t="s">
        <v>6</v>
      </c>
      <c r="H405" s="496">
        <f>I405+L405</f>
        <v>0</v>
      </c>
      <c r="I405" s="497">
        <f>J405+K405</f>
        <v>0</v>
      </c>
      <c r="J405" s="497">
        <v>0</v>
      </c>
      <c r="K405" s="497">
        <v>0</v>
      </c>
      <c r="L405" s="497">
        <f>M405+N405</f>
        <v>0</v>
      </c>
      <c r="M405" s="497">
        <v>0</v>
      </c>
      <c r="N405" s="497">
        <v>0</v>
      </c>
    </row>
    <row r="406" spans="1:14" s="530" customFormat="1" ht="15" hidden="1" customHeight="1">
      <c r="A406" s="1021"/>
      <c r="B406" s="1074"/>
      <c r="C406" s="1023"/>
      <c r="D406" s="1074"/>
      <c r="E406" s="1104"/>
      <c r="F406" s="1105"/>
      <c r="G406" s="557" t="s">
        <v>7</v>
      </c>
      <c r="H406" s="496">
        <f>I406+L406</f>
        <v>580000</v>
      </c>
      <c r="I406" s="497">
        <f>J406+K406</f>
        <v>20021</v>
      </c>
      <c r="J406" s="497">
        <f>J404+J405</f>
        <v>0</v>
      </c>
      <c r="K406" s="497">
        <f>K404+K405</f>
        <v>20021</v>
      </c>
      <c r="L406" s="497">
        <f>M406+N406</f>
        <v>559979</v>
      </c>
      <c r="M406" s="497">
        <f>M404+M405</f>
        <v>0</v>
      </c>
      <c r="N406" s="497">
        <f>N404+N405</f>
        <v>559979</v>
      </c>
    </row>
    <row r="407" spans="1:14" s="518" customFormat="1" ht="5.25" customHeight="1">
      <c r="A407" s="556"/>
      <c r="B407" s="544"/>
      <c r="C407" s="544"/>
      <c r="D407" s="544"/>
      <c r="E407" s="544"/>
      <c r="F407" s="544"/>
      <c r="G407" s="514"/>
      <c r="H407" s="515"/>
      <c r="I407" s="516"/>
      <c r="J407" s="516"/>
      <c r="K407" s="516"/>
      <c r="L407" s="516"/>
      <c r="M407" s="516"/>
      <c r="N407" s="517"/>
    </row>
    <row r="408" spans="1:14" s="541" customFormat="1" ht="14.1" customHeight="1">
      <c r="A408" s="1088" t="s">
        <v>1015</v>
      </c>
      <c r="B408" s="1089"/>
      <c r="C408" s="1089"/>
      <c r="D408" s="1089"/>
      <c r="E408" s="1089"/>
      <c r="F408" s="1089"/>
      <c r="G408" s="508" t="s">
        <v>5</v>
      </c>
      <c r="H408" s="510">
        <f>I408+L408</f>
        <v>99453976</v>
      </c>
      <c r="I408" s="510">
        <f>J408+K408</f>
        <v>44140030</v>
      </c>
      <c r="J408" s="510">
        <f>J412+J415+J418+J421+J424+J427+J430+J433+J436+J439+J442+J445+J448+J451+J454+J457+J460+J463+J466+J469+J472+J475+J478+J481+J484+J487+J490+J493+J496+J499+J502+J505+J508+J511+J514+J517+J520+J523+J526+J529+J532+J535+J538+J541+J544+J547+J550+J553+J556+J559+J562+J565+J568+J571+J574+J577+J580+J583+J586+J589+J592+J595+J598+J601+J604+J607+J610+J613+J616+J619+J622+J625+J628+J631+J634+J637+J640+J643+J646+J649+J652+J655+J658+J661+J664+J667+J670+J673+J676+J679+J682+J685+J688+J691+J694+J697+J700+J703+J706+J709+J712+J715+J718+J721+J724+J727+J730+J733+J736+J739+J742+J745</f>
        <v>31998065</v>
      </c>
      <c r="K408" s="510">
        <f>K412+K415+K418+K421+K424+K427+K430+K433+K436+K439+K442+K445+K448+K451+K454+K457+K460+K463+K466+K469+K472+K475+K478+K481+K484+K487+K490+K493+K496+K499+K502+K505+K508+K511+K514+K517+K520+K523+K526+K529+K532+K535+K538+K541+K544+K547+K550+K553+K556+K559+K562+K565+K568+K571+K574+K577+K580+K583+K586+K589+K592+K595+K598+K601+K604+K607+K610+K613+K616+K619+K622+K625+K628+K631+K634+K637+K640+K643+K646+K649+K652+K655+K658+K661+K664+K667+K670+K673+K676+K679+K682+K685+K688+K691+K694+K697+K700+K703+K706+K709+K712+K715+K718+K721+K724+K727+K730+K733+K736+K739+K742+K745</f>
        <v>12141965</v>
      </c>
      <c r="L408" s="510">
        <f>M408+N408</f>
        <v>55313946</v>
      </c>
      <c r="M408" s="510">
        <f>M412+M415+M418+M421+M424+M427+M430+M433+M436+M439+M442+M445+M448+M451+M454+M457+M460+M463+M466+M469+M472+M475+M478+M481+M484+M487+M490+M493+M496+M499+M502+M505+M508+M511+M514+M517+M520+M523+M526+M529+M532+M535+M538+M541+M544+M547+M550+M553+M556+M559+M562+M565+M568+M571+M574+M577+M580+M583+M586+M589+M592+M595+M598+M601+M604+M607+M610+M613+M616+M619+M622+M625+M628+M631+M634+M637+M640+M643+M646+M649+M652+M655+M658+M661+M664+M667+M670+M673+M676+M679+M682+M685+M688+M691+M694+M697+M700+M703+M706+M709+M712+M715+M718+M721+M724+M727+M730+M733+M736+M739+M742+M745</f>
        <v>60000</v>
      </c>
      <c r="N408" s="510">
        <f>N412+N415+N418+N421+N424+N427+N430+N433+N436+N439+N442+N445+N448+N451+N454+N457+N460+N463+N466+N469+N472+N475+N478+N481+N484+N487+N490+N493+N496+N499+N502+N505+N508+N511+N514+N517+N520+N523+N526+N529+N532+N535+N538+N541+N544+N547+N550+N553+N556+N559+N562+N565+N568+N571+N574+N577+N580+N583+N586+N589+N592+N595+N598+N601+N604+N607+N610+N613+N616+N619+N622+N625+N628+N631+N634+N637+N640+N643+N646+N649+N652+N655+N658+N661+N664+N667+N670+N673+N676+N679+N682+N685+N688+N691+N694+N697+N700+N703+N706+N709+N712+N715+N718+N721+N724+N727+N730+N733+N736+N739+N742+N745</f>
        <v>55253946</v>
      </c>
    </row>
    <row r="409" spans="1:14" s="541" customFormat="1" ht="14.1" customHeight="1">
      <c r="A409" s="1090"/>
      <c r="B409" s="1091"/>
      <c r="C409" s="1091"/>
      <c r="D409" s="1091"/>
      <c r="E409" s="1091"/>
      <c r="F409" s="1091"/>
      <c r="G409" s="508" t="s">
        <v>6</v>
      </c>
      <c r="H409" s="510">
        <f>I409+L409</f>
        <v>7200580</v>
      </c>
      <c r="I409" s="510">
        <f>J409+K409</f>
        <v>4898373</v>
      </c>
      <c r="J409" s="510">
        <f t="shared" ref="J409:K410" si="80">J413+J416+J419+J422+J425+J428+J431+J434+J437+J440+J443+J446+J449+J452+J455+J458+J461+J464+J467+J470+J473+J476+J479+J482+J485+J488+J491+J494+J497+J500+J503+J506+J509+J512+J515+J518+J521+J524+J527+J530+J533+J536+J539+J542+J545+J548+J551+J554+J557+J560+J563+J566+J569+J572+J575+J578+J581+J584+J587+J590+J593+J596+J599+J602+J605+J608+J611+J614+J617+J620+J623+J626+J629+J632+J635+J638+J641+J644+J647+J650+J653+J656+J659+J662+J665+J668+J671+J674+J677+J680+J683+J686+J689+J692+J695+J698+J701+J704+J707+J710+J713+J716+J719+J722+J725+J728+J731+J734+J737+J740+J743+J746</f>
        <v>4620459</v>
      </c>
      <c r="K409" s="510">
        <f t="shared" si="80"/>
        <v>277914</v>
      </c>
      <c r="L409" s="510">
        <f>M409+N409</f>
        <v>2302207</v>
      </c>
      <c r="M409" s="510">
        <f t="shared" ref="M409:N410" si="81">M413+M416+M419+M422+M425+M428+M431+M434+M437+M440+M443+M446+M449+M452+M455+M458+M461+M464+M467+M470+M473+M476+M479+M482+M485+M488+M491+M494+M497+M500+M503+M506+M509+M512+M515+M518+M521+M524+M527+M530+M533+M536+M539+M542+M545+M548+M551+M554+M557+M560+M563+M566+M569+M572+M575+M578+M581+M584+M587+M590+M593+M596+M599+M602+M605+M608+M611+M614+M617+M620+M623+M626+M629+M632+M635+M638+M641+M644+M647+M650+M653+M656+M659+M662+M665+M668+M671+M674+M677+M680+M683+M686+M689+M692+M695+M698+M701+M704+M707+M710+M713+M716+M719+M722+M725+M728+M731+M734+M737+M740+M743+M746</f>
        <v>100000</v>
      </c>
      <c r="N409" s="510">
        <f t="shared" si="81"/>
        <v>2202207</v>
      </c>
    </row>
    <row r="410" spans="1:14" s="541" customFormat="1" ht="14.1" customHeight="1">
      <c r="A410" s="1092"/>
      <c r="B410" s="1093"/>
      <c r="C410" s="1093"/>
      <c r="D410" s="1093"/>
      <c r="E410" s="1093"/>
      <c r="F410" s="1093"/>
      <c r="G410" s="508" t="s">
        <v>7</v>
      </c>
      <c r="H410" s="510">
        <f>I410+L410</f>
        <v>106654556</v>
      </c>
      <c r="I410" s="510">
        <f>J410+K410</f>
        <v>49038403</v>
      </c>
      <c r="J410" s="510">
        <f t="shared" si="80"/>
        <v>36618524</v>
      </c>
      <c r="K410" s="510">
        <f t="shared" si="80"/>
        <v>12419879</v>
      </c>
      <c r="L410" s="510">
        <f>M410+N410</f>
        <v>57616153</v>
      </c>
      <c r="M410" s="510">
        <f t="shared" si="81"/>
        <v>160000</v>
      </c>
      <c r="N410" s="510">
        <f t="shared" si="81"/>
        <v>57456153</v>
      </c>
    </row>
    <row r="411" spans="1:14" s="518" customFormat="1" ht="5.0999999999999996" customHeight="1">
      <c r="A411" s="556"/>
      <c r="B411" s="544"/>
      <c r="C411" s="544"/>
      <c r="D411" s="544"/>
      <c r="E411" s="544"/>
      <c r="F411" s="544"/>
      <c r="G411" s="514"/>
      <c r="H411" s="515"/>
      <c r="I411" s="516"/>
      <c r="J411" s="516"/>
      <c r="K411" s="516"/>
      <c r="L411" s="516"/>
      <c r="M411" s="516"/>
      <c r="N411" s="517"/>
    </row>
    <row r="412" spans="1:14" s="448" customFormat="1" ht="15" hidden="1" customHeight="1">
      <c r="A412" s="1029" t="s">
        <v>8</v>
      </c>
      <c r="B412" s="1030"/>
      <c r="C412" s="1031" t="s">
        <v>81</v>
      </c>
      <c r="D412" s="1032"/>
      <c r="E412" s="1014" t="s">
        <v>1016</v>
      </c>
      <c r="F412" s="1015"/>
      <c r="G412" s="495" t="s">
        <v>5</v>
      </c>
      <c r="H412" s="496">
        <f t="shared" ref="H412:H478" si="82">I412+L412</f>
        <v>1300000</v>
      </c>
      <c r="I412" s="497">
        <f t="shared" ref="I412:I478" si="83">J412+K412</f>
        <v>1300000</v>
      </c>
      <c r="J412" s="497">
        <v>0</v>
      </c>
      <c r="K412" s="497">
        <v>1300000</v>
      </c>
      <c r="L412" s="497">
        <f t="shared" ref="L412:L478" si="84">M412+N412</f>
        <v>0</v>
      </c>
      <c r="M412" s="497">
        <v>0</v>
      </c>
      <c r="N412" s="497">
        <v>0</v>
      </c>
    </row>
    <row r="413" spans="1:14" s="448" customFormat="1" ht="15" hidden="1" customHeight="1">
      <c r="A413" s="1025"/>
      <c r="B413" s="1037"/>
      <c r="C413" s="1027"/>
      <c r="D413" s="1037"/>
      <c r="E413" s="1016"/>
      <c r="F413" s="1017"/>
      <c r="G413" s="495" t="s">
        <v>6</v>
      </c>
      <c r="H413" s="496">
        <f t="shared" si="82"/>
        <v>0</v>
      </c>
      <c r="I413" s="497">
        <f t="shared" si="83"/>
        <v>0</v>
      </c>
      <c r="J413" s="497">
        <v>0</v>
      </c>
      <c r="K413" s="497">
        <v>0</v>
      </c>
      <c r="L413" s="497">
        <f t="shared" si="84"/>
        <v>0</v>
      </c>
      <c r="M413" s="497">
        <v>0</v>
      </c>
      <c r="N413" s="497">
        <v>0</v>
      </c>
    </row>
    <row r="414" spans="1:14" s="448" customFormat="1" ht="15" hidden="1" customHeight="1">
      <c r="A414" s="1025"/>
      <c r="B414" s="1037"/>
      <c r="C414" s="1035"/>
      <c r="D414" s="1060"/>
      <c r="E414" s="1018"/>
      <c r="F414" s="1019"/>
      <c r="G414" s="495" t="s">
        <v>7</v>
      </c>
      <c r="H414" s="496">
        <f t="shared" si="82"/>
        <v>1300000</v>
      </c>
      <c r="I414" s="497">
        <f t="shared" si="83"/>
        <v>1300000</v>
      </c>
      <c r="J414" s="497">
        <v>0</v>
      </c>
      <c r="K414" s="497">
        <v>1300000</v>
      </c>
      <c r="L414" s="497">
        <f t="shared" si="84"/>
        <v>0</v>
      </c>
      <c r="M414" s="497">
        <v>0</v>
      </c>
      <c r="N414" s="497">
        <v>0</v>
      </c>
    </row>
    <row r="415" spans="1:14" s="448" customFormat="1" ht="14.1" hidden="1" customHeight="1">
      <c r="A415" s="1025"/>
      <c r="B415" s="1026"/>
      <c r="C415" s="1031" t="s">
        <v>10</v>
      </c>
      <c r="D415" s="1032"/>
      <c r="E415" s="1014" t="s">
        <v>1017</v>
      </c>
      <c r="F415" s="1015"/>
      <c r="G415" s="495" t="s">
        <v>5</v>
      </c>
      <c r="H415" s="496">
        <f t="shared" si="82"/>
        <v>7483839</v>
      </c>
      <c r="I415" s="497">
        <f t="shared" si="83"/>
        <v>7423839</v>
      </c>
      <c r="J415" s="497">
        <v>7423839</v>
      </c>
      <c r="K415" s="497">
        <v>0</v>
      </c>
      <c r="L415" s="497">
        <f t="shared" si="84"/>
        <v>60000</v>
      </c>
      <c r="M415" s="497">
        <v>60000</v>
      </c>
      <c r="N415" s="497">
        <v>0</v>
      </c>
    </row>
    <row r="416" spans="1:14" s="448" customFormat="1" ht="14.1" hidden="1" customHeight="1">
      <c r="A416" s="1025"/>
      <c r="B416" s="1037"/>
      <c r="C416" s="1027"/>
      <c r="D416" s="1037"/>
      <c r="E416" s="1016"/>
      <c r="F416" s="1017"/>
      <c r="G416" s="495" t="s">
        <v>6</v>
      </c>
      <c r="H416" s="496">
        <f t="shared" si="82"/>
        <v>0</v>
      </c>
      <c r="I416" s="497">
        <f t="shared" si="83"/>
        <v>0</v>
      </c>
      <c r="J416" s="497">
        <v>0</v>
      </c>
      <c r="K416" s="497">
        <v>0</v>
      </c>
      <c r="L416" s="497">
        <f t="shared" si="84"/>
        <v>0</v>
      </c>
      <c r="M416" s="497">
        <v>0</v>
      </c>
      <c r="N416" s="497">
        <v>0</v>
      </c>
    </row>
    <row r="417" spans="1:14" s="448" customFormat="1" ht="14.1" hidden="1" customHeight="1">
      <c r="A417" s="1025"/>
      <c r="B417" s="1037"/>
      <c r="C417" s="1035"/>
      <c r="D417" s="1060"/>
      <c r="E417" s="1018"/>
      <c r="F417" s="1019"/>
      <c r="G417" s="495" t="s">
        <v>7</v>
      </c>
      <c r="H417" s="496">
        <f t="shared" si="82"/>
        <v>7483839</v>
      </c>
      <c r="I417" s="497">
        <f t="shared" si="83"/>
        <v>7423839</v>
      </c>
      <c r="J417" s="497">
        <f>J415+J416</f>
        <v>7423839</v>
      </c>
      <c r="K417" s="497">
        <f>K415+K416</f>
        <v>0</v>
      </c>
      <c r="L417" s="497">
        <f t="shared" si="84"/>
        <v>60000</v>
      </c>
      <c r="M417" s="497">
        <f>M415+M416</f>
        <v>60000</v>
      </c>
      <c r="N417" s="497">
        <f>N415+N416</f>
        <v>0</v>
      </c>
    </row>
    <row r="418" spans="1:14" s="448" customFormat="1" ht="15" hidden="1" customHeight="1">
      <c r="A418" s="1025"/>
      <c r="B418" s="1026"/>
      <c r="C418" s="1031" t="s">
        <v>86</v>
      </c>
      <c r="D418" s="1032"/>
      <c r="E418" s="1014" t="s">
        <v>1018</v>
      </c>
      <c r="F418" s="1015"/>
      <c r="G418" s="495" t="s">
        <v>5</v>
      </c>
      <c r="H418" s="496">
        <f t="shared" si="82"/>
        <v>60000</v>
      </c>
      <c r="I418" s="497">
        <f t="shared" si="83"/>
        <v>60000</v>
      </c>
      <c r="J418" s="497">
        <v>0</v>
      </c>
      <c r="K418" s="497">
        <v>60000</v>
      </c>
      <c r="L418" s="497">
        <f t="shared" si="84"/>
        <v>0</v>
      </c>
      <c r="M418" s="497">
        <v>0</v>
      </c>
      <c r="N418" s="497">
        <v>0</v>
      </c>
    </row>
    <row r="419" spans="1:14" s="448" customFormat="1" ht="15" hidden="1" customHeight="1">
      <c r="A419" s="1025"/>
      <c r="B419" s="1037"/>
      <c r="C419" s="1027"/>
      <c r="D419" s="1037"/>
      <c r="E419" s="1016"/>
      <c r="F419" s="1017"/>
      <c r="G419" s="495" t="s">
        <v>6</v>
      </c>
      <c r="H419" s="496">
        <f t="shared" si="82"/>
        <v>0</v>
      </c>
      <c r="I419" s="497">
        <f t="shared" si="83"/>
        <v>0</v>
      </c>
      <c r="J419" s="497">
        <v>0</v>
      </c>
      <c r="K419" s="497">
        <v>0</v>
      </c>
      <c r="L419" s="497">
        <f t="shared" si="84"/>
        <v>0</v>
      </c>
      <c r="M419" s="497">
        <v>0</v>
      </c>
      <c r="N419" s="497">
        <v>0</v>
      </c>
    </row>
    <row r="420" spans="1:14" s="448" customFormat="1" ht="15" hidden="1" customHeight="1">
      <c r="A420" s="1033"/>
      <c r="B420" s="1060"/>
      <c r="C420" s="1035"/>
      <c r="D420" s="1060"/>
      <c r="E420" s="1018"/>
      <c r="F420" s="1019"/>
      <c r="G420" s="495" t="s">
        <v>7</v>
      </c>
      <c r="H420" s="496">
        <f t="shared" si="82"/>
        <v>60000</v>
      </c>
      <c r="I420" s="497">
        <f t="shared" si="83"/>
        <v>60000</v>
      </c>
      <c r="J420" s="497">
        <f>J418+J419</f>
        <v>0</v>
      </c>
      <c r="K420" s="497">
        <f>K418+K419</f>
        <v>60000</v>
      </c>
      <c r="L420" s="497">
        <f t="shared" si="84"/>
        <v>0</v>
      </c>
      <c r="M420" s="497">
        <f>M418+M419</f>
        <v>0</v>
      </c>
      <c r="N420" s="497">
        <f>N418+N419</f>
        <v>0</v>
      </c>
    </row>
    <row r="421" spans="1:14" s="530" customFormat="1" ht="14.25" hidden="1" customHeight="1">
      <c r="A421" s="1064" t="s">
        <v>89</v>
      </c>
      <c r="B421" s="1065"/>
      <c r="C421" s="1052" t="s">
        <v>180</v>
      </c>
      <c r="D421" s="1053"/>
      <c r="E421" s="1014" t="s">
        <v>1019</v>
      </c>
      <c r="F421" s="1015"/>
      <c r="G421" s="495" t="s">
        <v>5</v>
      </c>
      <c r="H421" s="496">
        <f t="shared" si="82"/>
        <v>1374305</v>
      </c>
      <c r="I421" s="497">
        <f t="shared" si="83"/>
        <v>1374305</v>
      </c>
      <c r="J421" s="497">
        <v>0</v>
      </c>
      <c r="K421" s="497">
        <v>1374305</v>
      </c>
      <c r="L421" s="497">
        <f t="shared" si="84"/>
        <v>0</v>
      </c>
      <c r="M421" s="497">
        <v>0</v>
      </c>
      <c r="N421" s="497">
        <v>0</v>
      </c>
    </row>
    <row r="422" spans="1:14" s="530" customFormat="1" ht="14.25" hidden="1" customHeight="1">
      <c r="A422" s="1010"/>
      <c r="B422" s="1037"/>
      <c r="C422" s="1012"/>
      <c r="D422" s="1037"/>
      <c r="E422" s="1016"/>
      <c r="F422" s="1017"/>
      <c r="G422" s="495" t="s">
        <v>6</v>
      </c>
      <c r="H422" s="496">
        <f t="shared" si="82"/>
        <v>0</v>
      </c>
      <c r="I422" s="497">
        <f t="shared" si="83"/>
        <v>0</v>
      </c>
      <c r="J422" s="497">
        <v>0</v>
      </c>
      <c r="K422" s="497">
        <v>0</v>
      </c>
      <c r="L422" s="497">
        <f t="shared" si="84"/>
        <v>0</v>
      </c>
      <c r="M422" s="497">
        <v>0</v>
      </c>
      <c r="N422" s="497">
        <v>0</v>
      </c>
    </row>
    <row r="423" spans="1:14" s="530" customFormat="1" ht="14.25" hidden="1" customHeight="1">
      <c r="A423" s="1021"/>
      <c r="B423" s="1060"/>
      <c r="C423" s="1023"/>
      <c r="D423" s="1060"/>
      <c r="E423" s="1018"/>
      <c r="F423" s="1019"/>
      <c r="G423" s="495" t="s">
        <v>7</v>
      </c>
      <c r="H423" s="496">
        <f t="shared" si="82"/>
        <v>1374305</v>
      </c>
      <c r="I423" s="497">
        <f t="shared" si="83"/>
        <v>1374305</v>
      </c>
      <c r="J423" s="497">
        <f>J421+J422</f>
        <v>0</v>
      </c>
      <c r="K423" s="497">
        <f>K421+K422</f>
        <v>1374305</v>
      </c>
      <c r="L423" s="497">
        <f t="shared" si="84"/>
        <v>0</v>
      </c>
      <c r="M423" s="497">
        <f>M421+M422</f>
        <v>0</v>
      </c>
      <c r="N423" s="497">
        <f>N421+N422</f>
        <v>0</v>
      </c>
    </row>
    <row r="424" spans="1:14" s="448" customFormat="1" ht="15" hidden="1" customHeight="1">
      <c r="A424" s="1029" t="s">
        <v>11</v>
      </c>
      <c r="B424" s="1030"/>
      <c r="C424" s="1031" t="s">
        <v>98</v>
      </c>
      <c r="D424" s="1032"/>
      <c r="E424" s="1014" t="s">
        <v>1020</v>
      </c>
      <c r="F424" s="1015"/>
      <c r="G424" s="495" t="s">
        <v>5</v>
      </c>
      <c r="H424" s="496">
        <f t="shared" si="82"/>
        <v>0</v>
      </c>
      <c r="I424" s="497">
        <f t="shared" si="83"/>
        <v>0</v>
      </c>
      <c r="J424" s="497">
        <v>0</v>
      </c>
      <c r="K424" s="497">
        <v>0</v>
      </c>
      <c r="L424" s="497">
        <f t="shared" si="84"/>
        <v>0</v>
      </c>
      <c r="M424" s="497">
        <v>0</v>
      </c>
      <c r="N424" s="497">
        <v>0</v>
      </c>
    </row>
    <row r="425" spans="1:14" s="448" customFormat="1" ht="15" hidden="1" customHeight="1">
      <c r="A425" s="1025"/>
      <c r="B425" s="1037"/>
      <c r="C425" s="1027"/>
      <c r="D425" s="1037"/>
      <c r="E425" s="1016"/>
      <c r="F425" s="1017"/>
      <c r="G425" s="495" t="s">
        <v>6</v>
      </c>
      <c r="H425" s="496">
        <f t="shared" si="82"/>
        <v>0</v>
      </c>
      <c r="I425" s="497">
        <f t="shared" si="83"/>
        <v>0</v>
      </c>
      <c r="J425" s="497">
        <v>0</v>
      </c>
      <c r="K425" s="497">
        <v>0</v>
      </c>
      <c r="L425" s="497">
        <f t="shared" si="84"/>
        <v>0</v>
      </c>
      <c r="M425" s="497">
        <v>0</v>
      </c>
      <c r="N425" s="497">
        <v>0</v>
      </c>
    </row>
    <row r="426" spans="1:14" s="448" customFormat="1" ht="15" hidden="1" customHeight="1">
      <c r="A426" s="1025"/>
      <c r="B426" s="1037"/>
      <c r="C426" s="1027"/>
      <c r="D426" s="1037"/>
      <c r="E426" s="1018"/>
      <c r="F426" s="1019"/>
      <c r="G426" s="495" t="s">
        <v>7</v>
      </c>
      <c r="H426" s="496">
        <f t="shared" si="82"/>
        <v>0</v>
      </c>
      <c r="I426" s="497">
        <f t="shared" si="83"/>
        <v>0</v>
      </c>
      <c r="J426" s="497">
        <f>J424+J425</f>
        <v>0</v>
      </c>
      <c r="K426" s="497">
        <f>K424+K425</f>
        <v>0</v>
      </c>
      <c r="L426" s="497">
        <f t="shared" si="84"/>
        <v>0</v>
      </c>
      <c r="M426" s="497">
        <f>M424+M425</f>
        <v>0</v>
      </c>
      <c r="N426" s="497">
        <f>N424+N425</f>
        <v>0</v>
      </c>
    </row>
    <row r="427" spans="1:14" s="498" customFormat="1" ht="15.6" customHeight="1">
      <c r="A427" s="1012" t="s">
        <v>11</v>
      </c>
      <c r="B427" s="1013"/>
      <c r="C427" s="1012" t="s">
        <v>98</v>
      </c>
      <c r="D427" s="1013"/>
      <c r="E427" s="1014" t="s">
        <v>946</v>
      </c>
      <c r="F427" s="1015"/>
      <c r="G427" s="495" t="s">
        <v>5</v>
      </c>
      <c r="H427" s="496">
        <f t="shared" si="82"/>
        <v>0</v>
      </c>
      <c r="I427" s="497">
        <f t="shared" si="83"/>
        <v>0</v>
      </c>
      <c r="J427" s="497">
        <v>0</v>
      </c>
      <c r="K427" s="497">
        <v>0</v>
      </c>
      <c r="L427" s="497">
        <f t="shared" si="84"/>
        <v>0</v>
      </c>
      <c r="M427" s="497">
        <v>0</v>
      </c>
      <c r="N427" s="497">
        <v>0</v>
      </c>
    </row>
    <row r="428" spans="1:14" s="498" customFormat="1" ht="15.6" customHeight="1">
      <c r="A428" s="1012"/>
      <c r="B428" s="1013"/>
      <c r="C428" s="1012"/>
      <c r="D428" s="1013"/>
      <c r="E428" s="1016"/>
      <c r="F428" s="1017"/>
      <c r="G428" s="495" t="s">
        <v>6</v>
      </c>
      <c r="H428" s="496">
        <f t="shared" si="82"/>
        <v>687494</v>
      </c>
      <c r="I428" s="497">
        <f t="shared" si="83"/>
        <v>687494</v>
      </c>
      <c r="J428" s="497">
        <v>0</v>
      </c>
      <c r="K428" s="497">
        <v>687494</v>
      </c>
      <c r="L428" s="497">
        <f t="shared" si="84"/>
        <v>0</v>
      </c>
      <c r="M428" s="497">
        <v>0</v>
      </c>
      <c r="N428" s="497">
        <v>0</v>
      </c>
    </row>
    <row r="429" spans="1:14" s="498" customFormat="1" ht="15.6" customHeight="1">
      <c r="A429" s="1012"/>
      <c r="B429" s="1013"/>
      <c r="C429" s="1012"/>
      <c r="D429" s="1013"/>
      <c r="E429" s="1018"/>
      <c r="F429" s="1019"/>
      <c r="G429" s="495" t="s">
        <v>7</v>
      </c>
      <c r="H429" s="496">
        <f t="shared" si="82"/>
        <v>687494</v>
      </c>
      <c r="I429" s="497">
        <f t="shared" si="83"/>
        <v>687494</v>
      </c>
      <c r="J429" s="497">
        <f>J427+J428</f>
        <v>0</v>
      </c>
      <c r="K429" s="497">
        <f>K427+K428</f>
        <v>687494</v>
      </c>
      <c r="L429" s="497">
        <f t="shared" si="84"/>
        <v>0</v>
      </c>
      <c r="M429" s="497">
        <f>M427+M428</f>
        <v>0</v>
      </c>
      <c r="N429" s="497">
        <f>N427+N428</f>
        <v>0</v>
      </c>
    </row>
    <row r="430" spans="1:14" s="530" customFormat="1" ht="15" hidden="1" customHeight="1">
      <c r="A430" s="1010"/>
      <c r="B430" s="1020"/>
      <c r="C430" s="1052" t="s">
        <v>40</v>
      </c>
      <c r="D430" s="1053"/>
      <c r="E430" s="1014" t="s">
        <v>1021</v>
      </c>
      <c r="F430" s="1015"/>
      <c r="G430" s="495" t="s">
        <v>5</v>
      </c>
      <c r="H430" s="496">
        <f t="shared" si="82"/>
        <v>35000000</v>
      </c>
      <c r="I430" s="497">
        <f t="shared" si="83"/>
        <v>4050000</v>
      </c>
      <c r="J430" s="497">
        <v>0</v>
      </c>
      <c r="K430" s="497">
        <v>4050000</v>
      </c>
      <c r="L430" s="497">
        <f t="shared" si="84"/>
        <v>30950000</v>
      </c>
      <c r="M430" s="497">
        <v>0</v>
      </c>
      <c r="N430" s="497">
        <v>30950000</v>
      </c>
    </row>
    <row r="431" spans="1:14" s="530" customFormat="1" ht="15" hidden="1" customHeight="1">
      <c r="A431" s="1010"/>
      <c r="B431" s="1037"/>
      <c r="C431" s="1012"/>
      <c r="D431" s="1037"/>
      <c r="E431" s="1016"/>
      <c r="F431" s="1017"/>
      <c r="G431" s="495" t="s">
        <v>6</v>
      </c>
      <c r="H431" s="496">
        <f t="shared" si="82"/>
        <v>0</v>
      </c>
      <c r="I431" s="497">
        <f t="shared" si="83"/>
        <v>0</v>
      </c>
      <c r="J431" s="497">
        <v>0</v>
      </c>
      <c r="K431" s="497">
        <v>0</v>
      </c>
      <c r="L431" s="497">
        <f t="shared" si="84"/>
        <v>0</v>
      </c>
      <c r="M431" s="497">
        <v>0</v>
      </c>
      <c r="N431" s="497">
        <v>0</v>
      </c>
    </row>
    <row r="432" spans="1:14" s="530" customFormat="1" ht="15" hidden="1" customHeight="1">
      <c r="A432" s="1010"/>
      <c r="B432" s="1037"/>
      <c r="C432" s="1023"/>
      <c r="D432" s="1060"/>
      <c r="E432" s="1018"/>
      <c r="F432" s="1019"/>
      <c r="G432" s="495" t="s">
        <v>7</v>
      </c>
      <c r="H432" s="496">
        <f t="shared" si="82"/>
        <v>35000000</v>
      </c>
      <c r="I432" s="497">
        <f t="shared" si="83"/>
        <v>4050000</v>
      </c>
      <c r="J432" s="497">
        <f>J430+J431</f>
        <v>0</v>
      </c>
      <c r="K432" s="497">
        <f>K430+K431</f>
        <v>4050000</v>
      </c>
      <c r="L432" s="497">
        <f t="shared" si="84"/>
        <v>30950000</v>
      </c>
      <c r="M432" s="497">
        <f>M430+M431</f>
        <v>0</v>
      </c>
      <c r="N432" s="497">
        <f>N430+N431</f>
        <v>30950000</v>
      </c>
    </row>
    <row r="433" spans="1:14" s="530" customFormat="1" ht="15" customHeight="1">
      <c r="A433" s="1010"/>
      <c r="B433" s="1020"/>
      <c r="C433" s="1052" t="s">
        <v>1022</v>
      </c>
      <c r="D433" s="1053"/>
      <c r="E433" s="1014" t="s">
        <v>1023</v>
      </c>
      <c r="F433" s="1015"/>
      <c r="G433" s="495" t="s">
        <v>5</v>
      </c>
      <c r="H433" s="496">
        <f t="shared" si="82"/>
        <v>14793298</v>
      </c>
      <c r="I433" s="497">
        <f t="shared" si="83"/>
        <v>0</v>
      </c>
      <c r="J433" s="497">
        <v>0</v>
      </c>
      <c r="K433" s="497">
        <v>0</v>
      </c>
      <c r="L433" s="497">
        <f t="shared" si="84"/>
        <v>14793298</v>
      </c>
      <c r="M433" s="497">
        <v>0</v>
      </c>
      <c r="N433" s="497">
        <v>14793298</v>
      </c>
    </row>
    <row r="434" spans="1:14" s="530" customFormat="1" ht="15" customHeight="1">
      <c r="A434" s="1010"/>
      <c r="B434" s="1037"/>
      <c r="C434" s="1012"/>
      <c r="D434" s="1037"/>
      <c r="E434" s="1016"/>
      <c r="F434" s="1017"/>
      <c r="G434" s="495" t="s">
        <v>6</v>
      </c>
      <c r="H434" s="496">
        <f t="shared" si="82"/>
        <v>2202207</v>
      </c>
      <c r="I434" s="497">
        <f t="shared" si="83"/>
        <v>0</v>
      </c>
      <c r="J434" s="497">
        <v>0</v>
      </c>
      <c r="K434" s="497">
        <v>0</v>
      </c>
      <c r="L434" s="497">
        <f t="shared" si="84"/>
        <v>2202207</v>
      </c>
      <c r="M434" s="497">
        <v>0</v>
      </c>
      <c r="N434" s="497">
        <v>2202207</v>
      </c>
    </row>
    <row r="435" spans="1:14" s="530" customFormat="1" ht="15" customHeight="1">
      <c r="A435" s="1010"/>
      <c r="B435" s="1037"/>
      <c r="C435" s="1023"/>
      <c r="D435" s="1060"/>
      <c r="E435" s="1018"/>
      <c r="F435" s="1019"/>
      <c r="G435" s="495" t="s">
        <v>7</v>
      </c>
      <c r="H435" s="496">
        <f t="shared" si="82"/>
        <v>16995505</v>
      </c>
      <c r="I435" s="497">
        <f t="shared" si="83"/>
        <v>0</v>
      </c>
      <c r="J435" s="497">
        <f>J433+J434</f>
        <v>0</v>
      </c>
      <c r="K435" s="497">
        <f>K433+K434</f>
        <v>0</v>
      </c>
      <c r="L435" s="497">
        <f t="shared" si="84"/>
        <v>16995505</v>
      </c>
      <c r="M435" s="497">
        <f>M433+M434</f>
        <v>0</v>
      </c>
      <c r="N435" s="497">
        <f>N433+N434</f>
        <v>16995505</v>
      </c>
    </row>
    <row r="436" spans="1:14" s="530" customFormat="1" ht="15" hidden="1" customHeight="1">
      <c r="A436" s="1010"/>
      <c r="B436" s="1020"/>
      <c r="C436" s="1012" t="s">
        <v>13</v>
      </c>
      <c r="D436" s="1013"/>
      <c r="E436" s="1016" t="s">
        <v>1024</v>
      </c>
      <c r="F436" s="1017"/>
      <c r="G436" s="548" t="s">
        <v>5</v>
      </c>
      <c r="H436" s="549">
        <f t="shared" si="82"/>
        <v>1750000</v>
      </c>
      <c r="I436" s="550">
        <f t="shared" si="83"/>
        <v>1750000</v>
      </c>
      <c r="J436" s="550">
        <v>1750000</v>
      </c>
      <c r="K436" s="550">
        <v>0</v>
      </c>
      <c r="L436" s="550">
        <f t="shared" si="84"/>
        <v>0</v>
      </c>
      <c r="M436" s="550">
        <v>0</v>
      </c>
      <c r="N436" s="550">
        <v>0</v>
      </c>
    </row>
    <row r="437" spans="1:14" s="530" customFormat="1" ht="15" hidden="1" customHeight="1">
      <c r="A437" s="1010"/>
      <c r="B437" s="1037"/>
      <c r="C437" s="1012"/>
      <c r="D437" s="1037"/>
      <c r="E437" s="1016"/>
      <c r="F437" s="1017"/>
      <c r="G437" s="495" t="s">
        <v>6</v>
      </c>
      <c r="H437" s="496">
        <f t="shared" si="82"/>
        <v>0</v>
      </c>
      <c r="I437" s="497">
        <f t="shared" si="83"/>
        <v>0</v>
      </c>
      <c r="J437" s="497">
        <v>0</v>
      </c>
      <c r="K437" s="497">
        <v>0</v>
      </c>
      <c r="L437" s="497">
        <f t="shared" si="84"/>
        <v>0</v>
      </c>
      <c r="M437" s="497">
        <v>0</v>
      </c>
      <c r="N437" s="497">
        <v>0</v>
      </c>
    </row>
    <row r="438" spans="1:14" s="530" customFormat="1" ht="15" hidden="1" customHeight="1">
      <c r="A438" s="1010"/>
      <c r="B438" s="1037"/>
      <c r="C438" s="1012"/>
      <c r="D438" s="1037"/>
      <c r="E438" s="1018"/>
      <c r="F438" s="1019"/>
      <c r="G438" s="495" t="s">
        <v>7</v>
      </c>
      <c r="H438" s="496">
        <f t="shared" si="82"/>
        <v>1750000</v>
      </c>
      <c r="I438" s="497">
        <f t="shared" si="83"/>
        <v>1750000</v>
      </c>
      <c r="J438" s="497">
        <f>J436+J437</f>
        <v>1750000</v>
      </c>
      <c r="K438" s="497">
        <f>K436+K437</f>
        <v>0</v>
      </c>
      <c r="L438" s="497">
        <f t="shared" si="84"/>
        <v>0</v>
      </c>
      <c r="M438" s="497">
        <f>M436+M437</f>
        <v>0</v>
      </c>
      <c r="N438" s="497">
        <f>N436+N437</f>
        <v>0</v>
      </c>
    </row>
    <row r="439" spans="1:14" s="530" customFormat="1" ht="36" customHeight="1">
      <c r="A439" s="1010"/>
      <c r="B439" s="1020"/>
      <c r="C439" s="1012" t="s">
        <v>13</v>
      </c>
      <c r="D439" s="1013"/>
      <c r="E439" s="1082" t="s">
        <v>1025</v>
      </c>
      <c r="F439" s="1083"/>
      <c r="G439" s="495" t="s">
        <v>5</v>
      </c>
      <c r="H439" s="496">
        <f t="shared" si="82"/>
        <v>40000</v>
      </c>
      <c r="I439" s="497">
        <f t="shared" si="83"/>
        <v>40000</v>
      </c>
      <c r="J439" s="497">
        <v>40000</v>
      </c>
      <c r="K439" s="497">
        <v>0</v>
      </c>
      <c r="L439" s="497">
        <f t="shared" si="84"/>
        <v>0</v>
      </c>
      <c r="M439" s="497">
        <v>0</v>
      </c>
      <c r="N439" s="497">
        <v>0</v>
      </c>
    </row>
    <row r="440" spans="1:14" s="530" customFormat="1" ht="36" customHeight="1">
      <c r="A440" s="1010"/>
      <c r="B440" s="1037"/>
      <c r="C440" s="1012"/>
      <c r="D440" s="1037"/>
      <c r="E440" s="1084"/>
      <c r="F440" s="1085"/>
      <c r="G440" s="495" t="s">
        <v>6</v>
      </c>
      <c r="H440" s="496">
        <f t="shared" si="82"/>
        <v>0</v>
      </c>
      <c r="I440" s="497">
        <f t="shared" si="83"/>
        <v>0</v>
      </c>
      <c r="J440" s="497">
        <v>0</v>
      </c>
      <c r="K440" s="497">
        <v>0</v>
      </c>
      <c r="L440" s="497">
        <f t="shared" si="84"/>
        <v>0</v>
      </c>
      <c r="M440" s="497">
        <v>0</v>
      </c>
      <c r="N440" s="497">
        <v>0</v>
      </c>
    </row>
    <row r="441" spans="1:14" s="530" customFormat="1" ht="36" customHeight="1">
      <c r="A441" s="1021"/>
      <c r="B441" s="1060"/>
      <c r="C441" s="1023"/>
      <c r="D441" s="1060"/>
      <c r="E441" s="1086"/>
      <c r="F441" s="1087"/>
      <c r="G441" s="495" t="s">
        <v>7</v>
      </c>
      <c r="H441" s="496">
        <f t="shared" si="82"/>
        <v>40000</v>
      </c>
      <c r="I441" s="497">
        <f t="shared" si="83"/>
        <v>40000</v>
      </c>
      <c r="J441" s="497">
        <f>J439+J440</f>
        <v>40000</v>
      </c>
      <c r="K441" s="497">
        <f>K439+K440</f>
        <v>0</v>
      </c>
      <c r="L441" s="497">
        <f t="shared" si="84"/>
        <v>0</v>
      </c>
      <c r="M441" s="497">
        <f>M439+M440</f>
        <v>0</v>
      </c>
      <c r="N441" s="497">
        <f>N439+N440</f>
        <v>0</v>
      </c>
    </row>
    <row r="442" spans="1:14" s="530" customFormat="1" ht="18" hidden="1" customHeight="1">
      <c r="A442" s="1010"/>
      <c r="B442" s="1020"/>
      <c r="C442" s="1012" t="s">
        <v>65</v>
      </c>
      <c r="D442" s="1013"/>
      <c r="E442" s="1016" t="s">
        <v>1026</v>
      </c>
      <c r="F442" s="1017"/>
      <c r="G442" s="548" t="s">
        <v>5</v>
      </c>
      <c r="H442" s="549">
        <f t="shared" si="82"/>
        <v>4800000</v>
      </c>
      <c r="I442" s="550">
        <f t="shared" si="83"/>
        <v>4800000</v>
      </c>
      <c r="J442" s="550">
        <v>4800000</v>
      </c>
      <c r="K442" s="550">
        <v>0</v>
      </c>
      <c r="L442" s="550">
        <f t="shared" si="84"/>
        <v>0</v>
      </c>
      <c r="M442" s="550">
        <v>0</v>
      </c>
      <c r="N442" s="550">
        <v>0</v>
      </c>
    </row>
    <row r="443" spans="1:14" s="530" customFormat="1" ht="18" hidden="1" customHeight="1">
      <c r="A443" s="1010"/>
      <c r="B443" s="1037"/>
      <c r="C443" s="1012"/>
      <c r="D443" s="1037"/>
      <c r="E443" s="1016"/>
      <c r="F443" s="1017"/>
      <c r="G443" s="495" t="s">
        <v>6</v>
      </c>
      <c r="H443" s="496">
        <f t="shared" si="82"/>
        <v>0</v>
      </c>
      <c r="I443" s="497">
        <f t="shared" si="83"/>
        <v>0</v>
      </c>
      <c r="J443" s="497">
        <v>0</v>
      </c>
      <c r="K443" s="497">
        <v>0</v>
      </c>
      <c r="L443" s="497">
        <f t="shared" si="84"/>
        <v>0</v>
      </c>
      <c r="M443" s="497">
        <v>0</v>
      </c>
      <c r="N443" s="497">
        <v>0</v>
      </c>
    </row>
    <row r="444" spans="1:14" s="530" customFormat="1" ht="18" hidden="1" customHeight="1">
      <c r="A444" s="1010"/>
      <c r="B444" s="1037"/>
      <c r="C444" s="1023"/>
      <c r="D444" s="1060"/>
      <c r="E444" s="1018"/>
      <c r="F444" s="1019"/>
      <c r="G444" s="495" t="s">
        <v>7</v>
      </c>
      <c r="H444" s="496">
        <f t="shared" si="82"/>
        <v>4800000</v>
      </c>
      <c r="I444" s="497">
        <f t="shared" si="83"/>
        <v>4800000</v>
      </c>
      <c r="J444" s="497">
        <f>J442+J443</f>
        <v>4800000</v>
      </c>
      <c r="K444" s="497">
        <f>K442+K443</f>
        <v>0</v>
      </c>
      <c r="L444" s="497">
        <f t="shared" si="84"/>
        <v>0</v>
      </c>
      <c r="M444" s="497">
        <f>M442+M443</f>
        <v>0</v>
      </c>
      <c r="N444" s="497">
        <f>N442+N443</f>
        <v>0</v>
      </c>
    </row>
    <row r="445" spans="1:14" s="530" customFormat="1" ht="14.25" hidden="1" customHeight="1">
      <c r="A445" s="1010"/>
      <c r="B445" s="1020"/>
      <c r="C445" s="1012" t="s">
        <v>313</v>
      </c>
      <c r="D445" s="1013"/>
      <c r="E445" s="1075" t="s">
        <v>1027</v>
      </c>
      <c r="F445" s="1076"/>
      <c r="G445" s="495" t="s">
        <v>5</v>
      </c>
      <c r="H445" s="496">
        <f t="shared" si="82"/>
        <v>6014</v>
      </c>
      <c r="I445" s="497">
        <f t="shared" si="83"/>
        <v>6014</v>
      </c>
      <c r="J445" s="497">
        <v>6014</v>
      </c>
      <c r="K445" s="497">
        <v>0</v>
      </c>
      <c r="L445" s="497">
        <f t="shared" si="84"/>
        <v>0</v>
      </c>
      <c r="M445" s="497">
        <v>0</v>
      </c>
      <c r="N445" s="497">
        <v>0</v>
      </c>
    </row>
    <row r="446" spans="1:14" s="530" customFormat="1" ht="14.25" hidden="1" customHeight="1">
      <c r="A446" s="1010"/>
      <c r="B446" s="1073"/>
      <c r="C446" s="1012"/>
      <c r="D446" s="1073"/>
      <c r="E446" s="1077"/>
      <c r="F446" s="1078"/>
      <c r="G446" s="495" t="s">
        <v>6</v>
      </c>
      <c r="H446" s="496">
        <f t="shared" si="82"/>
        <v>0</v>
      </c>
      <c r="I446" s="497">
        <f t="shared" si="83"/>
        <v>0</v>
      </c>
      <c r="J446" s="497">
        <v>0</v>
      </c>
      <c r="K446" s="497">
        <v>0</v>
      </c>
      <c r="L446" s="497">
        <f t="shared" si="84"/>
        <v>0</v>
      </c>
      <c r="M446" s="497">
        <v>0</v>
      </c>
      <c r="N446" s="497">
        <v>0</v>
      </c>
    </row>
    <row r="447" spans="1:14" s="530" customFormat="1" ht="14.25" hidden="1" customHeight="1">
      <c r="A447" s="1010"/>
      <c r="B447" s="1073"/>
      <c r="C447" s="1012"/>
      <c r="D447" s="1073"/>
      <c r="E447" s="1079"/>
      <c r="F447" s="1080"/>
      <c r="G447" s="495" t="s">
        <v>7</v>
      </c>
      <c r="H447" s="496">
        <f t="shared" si="82"/>
        <v>6014</v>
      </c>
      <c r="I447" s="497">
        <f t="shared" si="83"/>
        <v>6014</v>
      </c>
      <c r="J447" s="497">
        <f>J445+J446</f>
        <v>6014</v>
      </c>
      <c r="K447" s="497">
        <f>K445+K446</f>
        <v>0</v>
      </c>
      <c r="L447" s="497">
        <f t="shared" si="84"/>
        <v>0</v>
      </c>
      <c r="M447" s="497">
        <f>M445+M446</f>
        <v>0</v>
      </c>
      <c r="N447" s="497">
        <f>N445+N446</f>
        <v>0</v>
      </c>
    </row>
    <row r="448" spans="1:14" s="530" customFormat="1" ht="15" hidden="1" customHeight="1">
      <c r="A448" s="1010"/>
      <c r="B448" s="1020"/>
      <c r="C448" s="1052" t="s">
        <v>42</v>
      </c>
      <c r="D448" s="1053"/>
      <c r="E448" s="1014" t="s">
        <v>1028</v>
      </c>
      <c r="F448" s="1015"/>
      <c r="G448" s="495" t="s">
        <v>5</v>
      </c>
      <c r="H448" s="496">
        <f t="shared" si="82"/>
        <v>50000</v>
      </c>
      <c r="I448" s="497">
        <f t="shared" si="83"/>
        <v>50000</v>
      </c>
      <c r="J448" s="497">
        <v>0</v>
      </c>
      <c r="K448" s="497">
        <v>50000</v>
      </c>
      <c r="L448" s="497">
        <f t="shared" si="84"/>
        <v>0</v>
      </c>
      <c r="M448" s="497">
        <v>0</v>
      </c>
      <c r="N448" s="497">
        <v>0</v>
      </c>
    </row>
    <row r="449" spans="1:14" s="530" customFormat="1" ht="15" hidden="1" customHeight="1">
      <c r="A449" s="1010"/>
      <c r="B449" s="1037"/>
      <c r="C449" s="1012"/>
      <c r="D449" s="1037"/>
      <c r="E449" s="1016"/>
      <c r="F449" s="1017"/>
      <c r="G449" s="495" t="s">
        <v>6</v>
      </c>
      <c r="H449" s="496">
        <f t="shared" si="82"/>
        <v>0</v>
      </c>
      <c r="I449" s="497">
        <f t="shared" si="83"/>
        <v>0</v>
      </c>
      <c r="J449" s="497">
        <v>0</v>
      </c>
      <c r="K449" s="497">
        <v>0</v>
      </c>
      <c r="L449" s="497">
        <f t="shared" si="84"/>
        <v>0</v>
      </c>
      <c r="M449" s="497">
        <v>0</v>
      </c>
      <c r="N449" s="497">
        <v>0</v>
      </c>
    </row>
    <row r="450" spans="1:14" s="530" customFormat="1" ht="15" hidden="1" customHeight="1">
      <c r="A450" s="1021"/>
      <c r="B450" s="1060"/>
      <c r="C450" s="1023"/>
      <c r="D450" s="1060"/>
      <c r="E450" s="1018"/>
      <c r="F450" s="1019"/>
      <c r="G450" s="495" t="s">
        <v>7</v>
      </c>
      <c r="H450" s="496">
        <f t="shared" si="82"/>
        <v>50000</v>
      </c>
      <c r="I450" s="497">
        <f t="shared" si="83"/>
        <v>50000</v>
      </c>
      <c r="J450" s="497">
        <f>J448+J449</f>
        <v>0</v>
      </c>
      <c r="K450" s="497">
        <f>K448+K449</f>
        <v>50000</v>
      </c>
      <c r="L450" s="497">
        <f t="shared" si="84"/>
        <v>0</v>
      </c>
      <c r="M450" s="497">
        <f>M448+M449</f>
        <v>0</v>
      </c>
      <c r="N450" s="497">
        <f>N448+N449</f>
        <v>0</v>
      </c>
    </row>
    <row r="451" spans="1:14" s="448" customFormat="1" ht="15" hidden="1" customHeight="1">
      <c r="A451" s="1029" t="s">
        <v>59</v>
      </c>
      <c r="B451" s="1030"/>
      <c r="C451" s="1031" t="s">
        <v>104</v>
      </c>
      <c r="D451" s="1032"/>
      <c r="E451" s="1014" t="s">
        <v>1029</v>
      </c>
      <c r="F451" s="1015"/>
      <c r="G451" s="495" t="s">
        <v>5</v>
      </c>
      <c r="H451" s="496">
        <f t="shared" si="82"/>
        <v>150000</v>
      </c>
      <c r="I451" s="497">
        <f t="shared" si="83"/>
        <v>0</v>
      </c>
      <c r="J451" s="497">
        <v>0</v>
      </c>
      <c r="K451" s="497">
        <v>0</v>
      </c>
      <c r="L451" s="497">
        <f t="shared" si="84"/>
        <v>150000</v>
      </c>
      <c r="M451" s="497">
        <v>0</v>
      </c>
      <c r="N451" s="497">
        <v>150000</v>
      </c>
    </row>
    <row r="452" spans="1:14" s="448" customFormat="1" ht="15" hidden="1" customHeight="1">
      <c r="A452" s="1025"/>
      <c r="B452" s="1037"/>
      <c r="C452" s="1027"/>
      <c r="D452" s="1037"/>
      <c r="E452" s="1016"/>
      <c r="F452" s="1017"/>
      <c r="G452" s="495" t="s">
        <v>6</v>
      </c>
      <c r="H452" s="496">
        <f t="shared" si="82"/>
        <v>0</v>
      </c>
      <c r="I452" s="497">
        <f t="shared" si="83"/>
        <v>0</v>
      </c>
      <c r="J452" s="497">
        <v>0</v>
      </c>
      <c r="K452" s="497">
        <v>0</v>
      </c>
      <c r="L452" s="497">
        <f t="shared" si="84"/>
        <v>0</v>
      </c>
      <c r="M452" s="497">
        <v>0</v>
      </c>
      <c r="N452" s="497">
        <v>0</v>
      </c>
    </row>
    <row r="453" spans="1:14" s="448" customFormat="1" ht="15" hidden="1" customHeight="1">
      <c r="A453" s="1033"/>
      <c r="B453" s="1060"/>
      <c r="C453" s="1035"/>
      <c r="D453" s="1060"/>
      <c r="E453" s="1018"/>
      <c r="F453" s="1019"/>
      <c r="G453" s="495" t="s">
        <v>7</v>
      </c>
      <c r="H453" s="496">
        <f t="shared" si="82"/>
        <v>150000</v>
      </c>
      <c r="I453" s="497">
        <f t="shared" si="83"/>
        <v>0</v>
      </c>
      <c r="J453" s="497">
        <f>J451+J452</f>
        <v>0</v>
      </c>
      <c r="K453" s="497">
        <f>K451+K452</f>
        <v>0</v>
      </c>
      <c r="L453" s="497">
        <f t="shared" si="84"/>
        <v>150000</v>
      </c>
      <c r="M453" s="497">
        <f>M451+M452</f>
        <v>0</v>
      </c>
      <c r="N453" s="497">
        <f>N451+N452</f>
        <v>150000</v>
      </c>
    </row>
    <row r="454" spans="1:14" s="448" customFormat="1" ht="14.25" hidden="1" customHeight="1">
      <c r="A454" s="1029" t="s">
        <v>61</v>
      </c>
      <c r="B454" s="1030"/>
      <c r="C454" s="1031" t="s">
        <v>63</v>
      </c>
      <c r="D454" s="1032"/>
      <c r="E454" s="1014" t="s">
        <v>317</v>
      </c>
      <c r="F454" s="1015"/>
      <c r="G454" s="495" t="s">
        <v>5</v>
      </c>
      <c r="H454" s="496">
        <f t="shared" si="82"/>
        <v>715996</v>
      </c>
      <c r="I454" s="497">
        <f t="shared" si="83"/>
        <v>715996</v>
      </c>
      <c r="J454" s="497">
        <v>715996</v>
      </c>
      <c r="K454" s="497">
        <v>0</v>
      </c>
      <c r="L454" s="497">
        <f t="shared" si="84"/>
        <v>0</v>
      </c>
      <c r="M454" s="497">
        <v>0</v>
      </c>
      <c r="N454" s="497">
        <v>0</v>
      </c>
    </row>
    <row r="455" spans="1:14" s="448" customFormat="1" ht="14.25" hidden="1" customHeight="1">
      <c r="A455" s="1025"/>
      <c r="B455" s="1037"/>
      <c r="C455" s="1027"/>
      <c r="D455" s="1037"/>
      <c r="E455" s="1016"/>
      <c r="F455" s="1017"/>
      <c r="G455" s="495" t="s">
        <v>6</v>
      </c>
      <c r="H455" s="496">
        <f t="shared" si="82"/>
        <v>0</v>
      </c>
      <c r="I455" s="497">
        <f t="shared" si="83"/>
        <v>0</v>
      </c>
      <c r="J455" s="497">
        <v>0</v>
      </c>
      <c r="K455" s="497">
        <v>0</v>
      </c>
      <c r="L455" s="497">
        <f t="shared" si="84"/>
        <v>0</v>
      </c>
      <c r="M455" s="497">
        <v>0</v>
      </c>
      <c r="N455" s="497">
        <v>0</v>
      </c>
    </row>
    <row r="456" spans="1:14" s="448" customFormat="1" ht="14.25" hidden="1" customHeight="1">
      <c r="A456" s="1033"/>
      <c r="B456" s="1060"/>
      <c r="C456" s="1035"/>
      <c r="D456" s="1060"/>
      <c r="E456" s="1018"/>
      <c r="F456" s="1019"/>
      <c r="G456" s="495" t="s">
        <v>7</v>
      </c>
      <c r="H456" s="496">
        <f t="shared" si="82"/>
        <v>715996</v>
      </c>
      <c r="I456" s="497">
        <f t="shared" si="83"/>
        <v>715996</v>
      </c>
      <c r="J456" s="497">
        <f>J454+J455</f>
        <v>715996</v>
      </c>
      <c r="K456" s="497">
        <f>K454+K455</f>
        <v>0</v>
      </c>
      <c r="L456" s="497">
        <f t="shared" si="84"/>
        <v>0</v>
      </c>
      <c r="M456" s="497">
        <f>M454+M455</f>
        <v>0</v>
      </c>
      <c r="N456" s="497">
        <f>N454+N455</f>
        <v>0</v>
      </c>
    </row>
    <row r="457" spans="1:14" s="448" customFormat="1" ht="15" hidden="1" customHeight="1">
      <c r="A457" s="1029" t="s">
        <v>190</v>
      </c>
      <c r="B457" s="1030"/>
      <c r="C457" s="1031" t="s">
        <v>192</v>
      </c>
      <c r="D457" s="1032"/>
      <c r="E457" s="1014" t="s">
        <v>1030</v>
      </c>
      <c r="F457" s="1015"/>
      <c r="G457" s="495" t="s">
        <v>5</v>
      </c>
      <c r="H457" s="496">
        <f t="shared" si="82"/>
        <v>200000</v>
      </c>
      <c r="I457" s="497">
        <f t="shared" si="83"/>
        <v>200000</v>
      </c>
      <c r="J457" s="497">
        <v>0</v>
      </c>
      <c r="K457" s="497">
        <v>200000</v>
      </c>
      <c r="L457" s="497">
        <f t="shared" si="84"/>
        <v>0</v>
      </c>
      <c r="M457" s="497">
        <v>0</v>
      </c>
      <c r="N457" s="497">
        <v>0</v>
      </c>
    </row>
    <row r="458" spans="1:14" s="448" customFormat="1" ht="15" hidden="1" customHeight="1">
      <c r="A458" s="1025"/>
      <c r="B458" s="1037"/>
      <c r="C458" s="1027"/>
      <c r="D458" s="1037"/>
      <c r="E458" s="1016"/>
      <c r="F458" s="1017"/>
      <c r="G458" s="495" t="s">
        <v>6</v>
      </c>
      <c r="H458" s="496">
        <f t="shared" si="82"/>
        <v>0</v>
      </c>
      <c r="I458" s="497">
        <f t="shared" si="83"/>
        <v>0</v>
      </c>
      <c r="J458" s="497">
        <v>0</v>
      </c>
      <c r="K458" s="497">
        <v>0</v>
      </c>
      <c r="L458" s="497">
        <f t="shared" si="84"/>
        <v>0</v>
      </c>
      <c r="M458" s="497">
        <v>0</v>
      </c>
      <c r="N458" s="497">
        <v>0</v>
      </c>
    </row>
    <row r="459" spans="1:14" s="448" customFormat="1" ht="15" hidden="1" customHeight="1">
      <c r="A459" s="1025"/>
      <c r="B459" s="1037"/>
      <c r="C459" s="1035"/>
      <c r="D459" s="1060"/>
      <c r="E459" s="1018"/>
      <c r="F459" s="1019"/>
      <c r="G459" s="495" t="s">
        <v>7</v>
      </c>
      <c r="H459" s="496">
        <f t="shared" si="82"/>
        <v>200000</v>
      </c>
      <c r="I459" s="497">
        <f t="shared" si="83"/>
        <v>200000</v>
      </c>
      <c r="J459" s="497">
        <f>J457+J458</f>
        <v>0</v>
      </c>
      <c r="K459" s="497">
        <f>K457+K458</f>
        <v>200000</v>
      </c>
      <c r="L459" s="497">
        <f t="shared" si="84"/>
        <v>0</v>
      </c>
      <c r="M459" s="497">
        <f>M457+M458</f>
        <v>0</v>
      </c>
      <c r="N459" s="497">
        <f>N457+N458</f>
        <v>0</v>
      </c>
    </row>
    <row r="460" spans="1:14" s="530" customFormat="1" ht="15" hidden="1" customHeight="1">
      <c r="A460" s="1010"/>
      <c r="B460" s="1020"/>
      <c r="C460" s="1012" t="s">
        <v>194</v>
      </c>
      <c r="D460" s="1013"/>
      <c r="E460" s="1014" t="s">
        <v>1031</v>
      </c>
      <c r="F460" s="1015"/>
      <c r="G460" s="495" t="s">
        <v>5</v>
      </c>
      <c r="H460" s="496">
        <f t="shared" si="82"/>
        <v>3450000</v>
      </c>
      <c r="I460" s="497">
        <f t="shared" si="83"/>
        <v>3450000</v>
      </c>
      <c r="J460" s="497">
        <v>3450000</v>
      </c>
      <c r="K460" s="497">
        <v>0</v>
      </c>
      <c r="L460" s="497">
        <f t="shared" si="84"/>
        <v>0</v>
      </c>
      <c r="M460" s="497">
        <v>0</v>
      </c>
      <c r="N460" s="497">
        <v>0</v>
      </c>
    </row>
    <row r="461" spans="1:14" s="530" customFormat="1" ht="15" hidden="1" customHeight="1">
      <c r="A461" s="1010"/>
      <c r="B461" s="1037"/>
      <c r="C461" s="1012"/>
      <c r="D461" s="1037"/>
      <c r="E461" s="1016"/>
      <c r="F461" s="1017"/>
      <c r="G461" s="495" t="s">
        <v>6</v>
      </c>
      <c r="H461" s="496">
        <f t="shared" si="82"/>
        <v>0</v>
      </c>
      <c r="I461" s="497">
        <f t="shared" si="83"/>
        <v>0</v>
      </c>
      <c r="J461" s="497">
        <v>0</v>
      </c>
      <c r="K461" s="497">
        <v>0</v>
      </c>
      <c r="L461" s="497">
        <f t="shared" si="84"/>
        <v>0</v>
      </c>
      <c r="M461" s="497">
        <v>0</v>
      </c>
      <c r="N461" s="497">
        <v>0</v>
      </c>
    </row>
    <row r="462" spans="1:14" s="530" customFormat="1" ht="15" hidden="1" customHeight="1">
      <c r="A462" s="1021"/>
      <c r="B462" s="1060"/>
      <c r="C462" s="1023"/>
      <c r="D462" s="1060"/>
      <c r="E462" s="1018"/>
      <c r="F462" s="1019"/>
      <c r="G462" s="495" t="s">
        <v>7</v>
      </c>
      <c r="H462" s="496">
        <f t="shared" si="82"/>
        <v>3450000</v>
      </c>
      <c r="I462" s="497">
        <f t="shared" si="83"/>
        <v>3450000</v>
      </c>
      <c r="J462" s="497">
        <f>J460+J461</f>
        <v>3450000</v>
      </c>
      <c r="K462" s="497">
        <f>K460+K461</f>
        <v>0</v>
      </c>
      <c r="L462" s="497">
        <f t="shared" si="84"/>
        <v>0</v>
      </c>
      <c r="M462" s="497">
        <f>M460+M461</f>
        <v>0</v>
      </c>
      <c r="N462" s="497">
        <f>N460+N461</f>
        <v>0</v>
      </c>
    </row>
    <row r="463" spans="1:14" s="448" customFormat="1" ht="15" hidden="1" customHeight="1">
      <c r="A463" s="1029" t="s">
        <v>20</v>
      </c>
      <c r="B463" s="1030"/>
      <c r="C463" s="1031" t="s">
        <v>117</v>
      </c>
      <c r="D463" s="1032"/>
      <c r="E463" s="1014" t="s">
        <v>1032</v>
      </c>
      <c r="F463" s="1015"/>
      <c r="G463" s="495" t="s">
        <v>5</v>
      </c>
      <c r="H463" s="496">
        <f t="shared" si="82"/>
        <v>135000</v>
      </c>
      <c r="I463" s="497">
        <f t="shared" si="83"/>
        <v>0</v>
      </c>
      <c r="J463" s="497">
        <v>0</v>
      </c>
      <c r="K463" s="497">
        <v>0</v>
      </c>
      <c r="L463" s="497">
        <f t="shared" si="84"/>
        <v>135000</v>
      </c>
      <c r="M463" s="497">
        <v>0</v>
      </c>
      <c r="N463" s="497">
        <v>135000</v>
      </c>
    </row>
    <row r="464" spans="1:14" s="448" customFormat="1" ht="15" hidden="1" customHeight="1">
      <c r="A464" s="1025"/>
      <c r="B464" s="1037"/>
      <c r="C464" s="1027"/>
      <c r="D464" s="1037"/>
      <c r="E464" s="1016"/>
      <c r="F464" s="1017"/>
      <c r="G464" s="495" t="s">
        <v>6</v>
      </c>
      <c r="H464" s="496">
        <f t="shared" si="82"/>
        <v>0</v>
      </c>
      <c r="I464" s="497">
        <f t="shared" si="83"/>
        <v>0</v>
      </c>
      <c r="J464" s="497">
        <v>0</v>
      </c>
      <c r="K464" s="497">
        <v>0</v>
      </c>
      <c r="L464" s="497">
        <f t="shared" si="84"/>
        <v>0</v>
      </c>
      <c r="M464" s="497">
        <v>0</v>
      </c>
      <c r="N464" s="497">
        <v>0</v>
      </c>
    </row>
    <row r="465" spans="1:14" s="448" customFormat="1" ht="15" hidden="1" customHeight="1">
      <c r="A465" s="1025"/>
      <c r="B465" s="1037"/>
      <c r="C465" s="1027"/>
      <c r="D465" s="1037"/>
      <c r="E465" s="1018"/>
      <c r="F465" s="1019"/>
      <c r="G465" s="495" t="s">
        <v>7</v>
      </c>
      <c r="H465" s="496">
        <f t="shared" si="82"/>
        <v>135000</v>
      </c>
      <c r="I465" s="497">
        <f t="shared" si="83"/>
        <v>0</v>
      </c>
      <c r="J465" s="497">
        <f>J463+J464</f>
        <v>0</v>
      </c>
      <c r="K465" s="497">
        <f>K463+K464</f>
        <v>0</v>
      </c>
      <c r="L465" s="497">
        <f t="shared" si="84"/>
        <v>135000</v>
      </c>
      <c r="M465" s="497">
        <f>M463+M464</f>
        <v>0</v>
      </c>
      <c r="N465" s="497">
        <f>N463+N464</f>
        <v>135000</v>
      </c>
    </row>
    <row r="466" spans="1:14" s="530" customFormat="1" ht="15" hidden="1" customHeight="1">
      <c r="A466" s="1064" t="s">
        <v>26</v>
      </c>
      <c r="B466" s="1065"/>
      <c r="C466" s="1052" t="s">
        <v>211</v>
      </c>
      <c r="D466" s="1053"/>
      <c r="E466" s="1014" t="s">
        <v>1033</v>
      </c>
      <c r="F466" s="1061"/>
      <c r="G466" s="558" t="s">
        <v>5</v>
      </c>
      <c r="H466" s="528">
        <f t="shared" si="82"/>
        <v>762360</v>
      </c>
      <c r="I466" s="529">
        <f t="shared" si="83"/>
        <v>762360</v>
      </c>
      <c r="J466" s="529">
        <v>762360</v>
      </c>
      <c r="K466" s="529">
        <v>0</v>
      </c>
      <c r="L466" s="529">
        <f t="shared" si="84"/>
        <v>0</v>
      </c>
      <c r="M466" s="529">
        <v>0</v>
      </c>
      <c r="N466" s="529">
        <v>0</v>
      </c>
    </row>
    <row r="467" spans="1:14" s="530" customFormat="1" ht="15" hidden="1" customHeight="1">
      <c r="A467" s="1010"/>
      <c r="B467" s="1020"/>
      <c r="C467" s="1012"/>
      <c r="D467" s="1013"/>
      <c r="E467" s="1016"/>
      <c r="F467" s="1062"/>
      <c r="G467" s="558" t="s">
        <v>6</v>
      </c>
      <c r="H467" s="528">
        <f t="shared" si="82"/>
        <v>0</v>
      </c>
      <c r="I467" s="529">
        <f t="shared" si="83"/>
        <v>0</v>
      </c>
      <c r="J467" s="529">
        <v>0</v>
      </c>
      <c r="K467" s="529">
        <v>0</v>
      </c>
      <c r="L467" s="529">
        <f t="shared" si="84"/>
        <v>0</v>
      </c>
      <c r="M467" s="529">
        <v>0</v>
      </c>
      <c r="N467" s="529">
        <v>0</v>
      </c>
    </row>
    <row r="468" spans="1:14" s="448" customFormat="1" ht="15" hidden="1" customHeight="1">
      <c r="A468" s="1025"/>
      <c r="B468" s="1026"/>
      <c r="C468" s="1027"/>
      <c r="D468" s="1028"/>
      <c r="E468" s="1018"/>
      <c r="F468" s="1063"/>
      <c r="G468" s="527" t="s">
        <v>7</v>
      </c>
      <c r="H468" s="528">
        <f t="shared" si="82"/>
        <v>762360</v>
      </c>
      <c r="I468" s="529">
        <f t="shared" si="83"/>
        <v>762360</v>
      </c>
      <c r="J468" s="529">
        <f>J466+J467</f>
        <v>762360</v>
      </c>
      <c r="K468" s="529">
        <f>K466+K467</f>
        <v>0</v>
      </c>
      <c r="L468" s="529">
        <f t="shared" si="84"/>
        <v>0</v>
      </c>
      <c r="M468" s="529">
        <f>M466+M467</f>
        <v>0</v>
      </c>
      <c r="N468" s="529">
        <f>N466+N467</f>
        <v>0</v>
      </c>
    </row>
    <row r="469" spans="1:14" s="530" customFormat="1" ht="15" hidden="1" customHeight="1">
      <c r="A469" s="1010"/>
      <c r="B469" s="1020"/>
      <c r="C469" s="1052" t="s">
        <v>338</v>
      </c>
      <c r="D469" s="1053"/>
      <c r="E469" s="1014" t="s">
        <v>1034</v>
      </c>
      <c r="F469" s="1015"/>
      <c r="G469" s="495" t="s">
        <v>5</v>
      </c>
      <c r="H469" s="496">
        <f t="shared" si="82"/>
        <v>100000</v>
      </c>
      <c r="I469" s="497">
        <f t="shared" si="83"/>
        <v>100000</v>
      </c>
      <c r="J469" s="497">
        <v>0</v>
      </c>
      <c r="K469" s="497">
        <v>100000</v>
      </c>
      <c r="L469" s="497">
        <f t="shared" si="84"/>
        <v>0</v>
      </c>
      <c r="M469" s="497">
        <v>0</v>
      </c>
      <c r="N469" s="497">
        <v>0</v>
      </c>
    </row>
    <row r="470" spans="1:14" s="530" customFormat="1" ht="15" hidden="1" customHeight="1">
      <c r="A470" s="1010"/>
      <c r="B470" s="1073"/>
      <c r="C470" s="1012"/>
      <c r="D470" s="1073"/>
      <c r="E470" s="1016"/>
      <c r="F470" s="1017"/>
      <c r="G470" s="495" t="s">
        <v>6</v>
      </c>
      <c r="H470" s="496">
        <f t="shared" si="82"/>
        <v>0</v>
      </c>
      <c r="I470" s="497">
        <f t="shared" si="83"/>
        <v>0</v>
      </c>
      <c r="J470" s="497">
        <v>0</v>
      </c>
      <c r="K470" s="497">
        <v>0</v>
      </c>
      <c r="L470" s="497">
        <f t="shared" si="84"/>
        <v>0</v>
      </c>
      <c r="M470" s="497">
        <v>0</v>
      </c>
      <c r="N470" s="497">
        <v>0</v>
      </c>
    </row>
    <row r="471" spans="1:14" s="530" customFormat="1" ht="15" hidden="1" customHeight="1">
      <c r="A471" s="1010"/>
      <c r="B471" s="1073"/>
      <c r="C471" s="1012"/>
      <c r="D471" s="1073"/>
      <c r="E471" s="1018"/>
      <c r="F471" s="1019"/>
      <c r="G471" s="495" t="s">
        <v>7</v>
      </c>
      <c r="H471" s="496">
        <f t="shared" si="82"/>
        <v>100000</v>
      </c>
      <c r="I471" s="497">
        <f t="shared" si="83"/>
        <v>100000</v>
      </c>
      <c r="J471" s="497">
        <f>J469+J470</f>
        <v>0</v>
      </c>
      <c r="K471" s="497">
        <f>K469+K470</f>
        <v>100000</v>
      </c>
      <c r="L471" s="497">
        <f t="shared" si="84"/>
        <v>0</v>
      </c>
      <c r="M471" s="497">
        <f>M469+M470</f>
        <v>0</v>
      </c>
      <c r="N471" s="497">
        <f>N469+N470</f>
        <v>0</v>
      </c>
    </row>
    <row r="472" spans="1:14" s="530" customFormat="1" ht="15" hidden="1" customHeight="1">
      <c r="A472" s="1010"/>
      <c r="B472" s="1020"/>
      <c r="C472" s="1012"/>
      <c r="D472" s="1013"/>
      <c r="E472" s="1014" t="s">
        <v>1035</v>
      </c>
      <c r="F472" s="1015"/>
      <c r="G472" s="495" t="s">
        <v>5</v>
      </c>
      <c r="H472" s="496">
        <f t="shared" si="82"/>
        <v>100000</v>
      </c>
      <c r="I472" s="497">
        <f t="shared" si="83"/>
        <v>100000</v>
      </c>
      <c r="J472" s="497">
        <v>0</v>
      </c>
      <c r="K472" s="497">
        <v>100000</v>
      </c>
      <c r="L472" s="497">
        <f t="shared" si="84"/>
        <v>0</v>
      </c>
      <c r="M472" s="497">
        <v>0</v>
      </c>
      <c r="N472" s="497">
        <v>0</v>
      </c>
    </row>
    <row r="473" spans="1:14" s="530" customFormat="1" ht="15" hidden="1" customHeight="1">
      <c r="A473" s="1010"/>
      <c r="B473" s="1073"/>
      <c r="C473" s="1012"/>
      <c r="D473" s="1073"/>
      <c r="E473" s="1016"/>
      <c r="F473" s="1017"/>
      <c r="G473" s="495" t="s">
        <v>6</v>
      </c>
      <c r="H473" s="496">
        <f t="shared" si="82"/>
        <v>0</v>
      </c>
      <c r="I473" s="497">
        <f t="shared" si="83"/>
        <v>0</v>
      </c>
      <c r="J473" s="497">
        <v>0</v>
      </c>
      <c r="K473" s="497">
        <v>0</v>
      </c>
      <c r="L473" s="497">
        <f t="shared" si="84"/>
        <v>0</v>
      </c>
      <c r="M473" s="497">
        <v>0</v>
      </c>
      <c r="N473" s="497">
        <v>0</v>
      </c>
    </row>
    <row r="474" spans="1:14" s="530" customFormat="1" ht="15" hidden="1" customHeight="1">
      <c r="A474" s="1010"/>
      <c r="B474" s="1073"/>
      <c r="C474" s="1012"/>
      <c r="D474" s="1073"/>
      <c r="E474" s="1018"/>
      <c r="F474" s="1019"/>
      <c r="G474" s="495" t="s">
        <v>7</v>
      </c>
      <c r="H474" s="496">
        <f t="shared" si="82"/>
        <v>100000</v>
      </c>
      <c r="I474" s="497">
        <f t="shared" si="83"/>
        <v>100000</v>
      </c>
      <c r="J474" s="497">
        <f>J472+J473</f>
        <v>0</v>
      </c>
      <c r="K474" s="497">
        <f>K472+K473</f>
        <v>100000</v>
      </c>
      <c r="L474" s="497">
        <f t="shared" si="84"/>
        <v>0</v>
      </c>
      <c r="M474" s="497">
        <f>M472+M473</f>
        <v>0</v>
      </c>
      <c r="N474" s="497">
        <f>N472+N473</f>
        <v>0</v>
      </c>
    </row>
    <row r="475" spans="1:14" s="530" customFormat="1" ht="15" hidden="1" customHeight="1">
      <c r="A475" s="1010"/>
      <c r="B475" s="1020"/>
      <c r="C475" s="1012"/>
      <c r="D475" s="1013"/>
      <c r="E475" s="1014" t="s">
        <v>1036</v>
      </c>
      <c r="F475" s="1015"/>
      <c r="G475" s="495" t="s">
        <v>5</v>
      </c>
      <c r="H475" s="496">
        <f t="shared" si="82"/>
        <v>160000</v>
      </c>
      <c r="I475" s="497">
        <f t="shared" si="83"/>
        <v>160000</v>
      </c>
      <c r="J475" s="497">
        <v>0</v>
      </c>
      <c r="K475" s="497">
        <v>160000</v>
      </c>
      <c r="L475" s="497">
        <f t="shared" si="84"/>
        <v>0</v>
      </c>
      <c r="M475" s="497">
        <v>0</v>
      </c>
      <c r="N475" s="497">
        <v>0</v>
      </c>
    </row>
    <row r="476" spans="1:14" s="530" customFormat="1" ht="15" hidden="1" customHeight="1">
      <c r="A476" s="1010"/>
      <c r="B476" s="1037"/>
      <c r="C476" s="1012"/>
      <c r="D476" s="1037"/>
      <c r="E476" s="1016"/>
      <c r="F476" s="1017"/>
      <c r="G476" s="495" t="s">
        <v>6</v>
      </c>
      <c r="H476" s="496">
        <f t="shared" si="82"/>
        <v>0</v>
      </c>
      <c r="I476" s="497">
        <f t="shared" si="83"/>
        <v>0</v>
      </c>
      <c r="J476" s="497">
        <v>0</v>
      </c>
      <c r="K476" s="497">
        <v>0</v>
      </c>
      <c r="L476" s="497">
        <f t="shared" si="84"/>
        <v>0</v>
      </c>
      <c r="M476" s="497">
        <v>0</v>
      </c>
      <c r="N476" s="497">
        <v>0</v>
      </c>
    </row>
    <row r="477" spans="1:14" s="530" customFormat="1" ht="15" hidden="1" customHeight="1">
      <c r="A477" s="1010"/>
      <c r="B477" s="1037"/>
      <c r="C477" s="1012"/>
      <c r="D477" s="1037"/>
      <c r="E477" s="1018"/>
      <c r="F477" s="1019"/>
      <c r="G477" s="495" t="s">
        <v>7</v>
      </c>
      <c r="H477" s="496">
        <f t="shared" si="82"/>
        <v>160000</v>
      </c>
      <c r="I477" s="497">
        <f t="shared" si="83"/>
        <v>160000</v>
      </c>
      <c r="J477" s="497">
        <f>J475+J476</f>
        <v>0</v>
      </c>
      <c r="K477" s="497">
        <f>K475+K476</f>
        <v>160000</v>
      </c>
      <c r="L477" s="497">
        <f t="shared" si="84"/>
        <v>0</v>
      </c>
      <c r="M477" s="497">
        <f>M475+M476</f>
        <v>0</v>
      </c>
      <c r="N477" s="497">
        <f>N475+N476</f>
        <v>0</v>
      </c>
    </row>
    <row r="478" spans="1:14" s="530" customFormat="1" ht="15" hidden="1" customHeight="1">
      <c r="A478" s="1010"/>
      <c r="B478" s="1020"/>
      <c r="C478" s="1012"/>
      <c r="D478" s="1013"/>
      <c r="E478" s="1014" t="s">
        <v>1037</v>
      </c>
      <c r="F478" s="1015"/>
      <c r="G478" s="495" t="s">
        <v>5</v>
      </c>
      <c r="H478" s="496">
        <f t="shared" si="82"/>
        <v>71340</v>
      </c>
      <c r="I478" s="497">
        <f t="shared" si="83"/>
        <v>71340</v>
      </c>
      <c r="J478" s="497">
        <v>71340</v>
      </c>
      <c r="K478" s="497">
        <v>0</v>
      </c>
      <c r="L478" s="497">
        <f t="shared" si="84"/>
        <v>0</v>
      </c>
      <c r="M478" s="497">
        <v>0</v>
      </c>
      <c r="N478" s="497">
        <v>0</v>
      </c>
    </row>
    <row r="479" spans="1:14" s="530" customFormat="1" ht="15" hidden="1" customHeight="1">
      <c r="A479" s="1010"/>
      <c r="B479" s="1037"/>
      <c r="C479" s="1012"/>
      <c r="D479" s="1037"/>
      <c r="E479" s="1016"/>
      <c r="F479" s="1017"/>
      <c r="G479" s="495" t="s">
        <v>6</v>
      </c>
      <c r="H479" s="496">
        <f t="shared" ref="H479:H545" si="85">I479+L479</f>
        <v>0</v>
      </c>
      <c r="I479" s="497">
        <f t="shared" ref="I479:I545" si="86">J479+K479</f>
        <v>0</v>
      </c>
      <c r="J479" s="497">
        <v>0</v>
      </c>
      <c r="K479" s="497">
        <v>0</v>
      </c>
      <c r="L479" s="497">
        <f t="shared" ref="L479:L545" si="87">M479+N479</f>
        <v>0</v>
      </c>
      <c r="M479" s="497">
        <v>0</v>
      </c>
      <c r="N479" s="497">
        <v>0</v>
      </c>
    </row>
    <row r="480" spans="1:14" s="530" customFormat="1" ht="15" hidden="1" customHeight="1">
      <c r="A480" s="1010"/>
      <c r="B480" s="1037"/>
      <c r="C480" s="1023"/>
      <c r="D480" s="1060"/>
      <c r="E480" s="1018"/>
      <c r="F480" s="1019"/>
      <c r="G480" s="495" t="s">
        <v>7</v>
      </c>
      <c r="H480" s="496">
        <f t="shared" si="85"/>
        <v>71340</v>
      </c>
      <c r="I480" s="497">
        <f t="shared" si="86"/>
        <v>71340</v>
      </c>
      <c r="J480" s="497">
        <f>J478+J479</f>
        <v>71340</v>
      </c>
      <c r="K480" s="497">
        <f>K478+K479</f>
        <v>0</v>
      </c>
      <c r="L480" s="497">
        <f t="shared" si="87"/>
        <v>0</v>
      </c>
      <c r="M480" s="497">
        <f>M478+M479</f>
        <v>0</v>
      </c>
      <c r="N480" s="497">
        <f>N478+N479</f>
        <v>0</v>
      </c>
    </row>
    <row r="481" spans="1:14" s="448" customFormat="1" ht="15" hidden="1" customHeight="1">
      <c r="A481" s="1025"/>
      <c r="B481" s="1026"/>
      <c r="C481" s="1031" t="s">
        <v>991</v>
      </c>
      <c r="D481" s="1032"/>
      <c r="E481" s="1014" t="s">
        <v>1038</v>
      </c>
      <c r="F481" s="1015"/>
      <c r="G481" s="495" t="s">
        <v>5</v>
      </c>
      <c r="H481" s="496">
        <f t="shared" si="85"/>
        <v>200000</v>
      </c>
      <c r="I481" s="497">
        <f t="shared" si="86"/>
        <v>0</v>
      </c>
      <c r="J481" s="497">
        <v>0</v>
      </c>
      <c r="K481" s="497">
        <v>0</v>
      </c>
      <c r="L481" s="497">
        <f t="shared" si="87"/>
        <v>200000</v>
      </c>
      <c r="M481" s="497">
        <v>0</v>
      </c>
      <c r="N481" s="497">
        <v>200000</v>
      </c>
    </row>
    <row r="482" spans="1:14" s="448" customFormat="1" ht="15" hidden="1" customHeight="1">
      <c r="A482" s="1025"/>
      <c r="B482" s="1037"/>
      <c r="C482" s="1027"/>
      <c r="D482" s="1037"/>
      <c r="E482" s="1016"/>
      <c r="F482" s="1017"/>
      <c r="G482" s="495" t="s">
        <v>6</v>
      </c>
      <c r="H482" s="496">
        <f t="shared" si="85"/>
        <v>0</v>
      </c>
      <c r="I482" s="497">
        <f t="shared" si="86"/>
        <v>0</v>
      </c>
      <c r="J482" s="497">
        <v>0</v>
      </c>
      <c r="K482" s="497">
        <v>0</v>
      </c>
      <c r="L482" s="497">
        <f t="shared" si="87"/>
        <v>0</v>
      </c>
      <c r="M482" s="497">
        <v>0</v>
      </c>
      <c r="N482" s="497">
        <v>0</v>
      </c>
    </row>
    <row r="483" spans="1:14" s="448" customFormat="1" ht="15" hidden="1" customHeight="1">
      <c r="A483" s="1025"/>
      <c r="B483" s="1037"/>
      <c r="C483" s="1027"/>
      <c r="D483" s="1037"/>
      <c r="E483" s="1018"/>
      <c r="F483" s="1019"/>
      <c r="G483" s="495" t="s">
        <v>7</v>
      </c>
      <c r="H483" s="496">
        <f t="shared" si="85"/>
        <v>200000</v>
      </c>
      <c r="I483" s="497">
        <f t="shared" si="86"/>
        <v>0</v>
      </c>
      <c r="J483" s="497">
        <f>J481+J482</f>
        <v>0</v>
      </c>
      <c r="K483" s="497">
        <f>K481+K482</f>
        <v>0</v>
      </c>
      <c r="L483" s="497">
        <f t="shared" si="87"/>
        <v>200000</v>
      </c>
      <c r="M483" s="497">
        <f>M481+M482</f>
        <v>0</v>
      </c>
      <c r="N483" s="497">
        <f>N481+N482</f>
        <v>200000</v>
      </c>
    </row>
    <row r="484" spans="1:14" s="448" customFormat="1" ht="15" hidden="1" customHeight="1">
      <c r="A484" s="1025"/>
      <c r="B484" s="1026"/>
      <c r="C484" s="1027"/>
      <c r="D484" s="1028"/>
      <c r="E484" s="1014" t="s">
        <v>1039</v>
      </c>
      <c r="F484" s="1015"/>
      <c r="G484" s="495" t="s">
        <v>5</v>
      </c>
      <c r="H484" s="496">
        <f t="shared" si="85"/>
        <v>800000</v>
      </c>
      <c r="I484" s="497">
        <f t="shared" si="86"/>
        <v>277129</v>
      </c>
      <c r="J484" s="497">
        <v>0</v>
      </c>
      <c r="K484" s="497">
        <v>277129</v>
      </c>
      <c r="L484" s="497">
        <f t="shared" si="87"/>
        <v>522871</v>
      </c>
      <c r="M484" s="497">
        <v>0</v>
      </c>
      <c r="N484" s="497">
        <v>522871</v>
      </c>
    </row>
    <row r="485" spans="1:14" s="448" customFormat="1" ht="15" hidden="1" customHeight="1">
      <c r="A485" s="1025"/>
      <c r="B485" s="1037"/>
      <c r="C485" s="1027"/>
      <c r="D485" s="1037"/>
      <c r="E485" s="1016"/>
      <c r="F485" s="1017"/>
      <c r="G485" s="495" t="s">
        <v>6</v>
      </c>
      <c r="H485" s="496">
        <f t="shared" si="85"/>
        <v>0</v>
      </c>
      <c r="I485" s="497">
        <f t="shared" si="86"/>
        <v>0</v>
      </c>
      <c r="J485" s="497">
        <v>0</v>
      </c>
      <c r="K485" s="497">
        <v>0</v>
      </c>
      <c r="L485" s="497">
        <f t="shared" si="87"/>
        <v>0</v>
      </c>
      <c r="M485" s="497">
        <v>0</v>
      </c>
      <c r="N485" s="497">
        <v>0</v>
      </c>
    </row>
    <row r="486" spans="1:14" s="448" customFormat="1" ht="15" hidden="1" customHeight="1">
      <c r="A486" s="1025"/>
      <c r="B486" s="1037"/>
      <c r="C486" s="1035"/>
      <c r="D486" s="1060"/>
      <c r="E486" s="1018"/>
      <c r="F486" s="1019"/>
      <c r="G486" s="495" t="s">
        <v>7</v>
      </c>
      <c r="H486" s="496">
        <f t="shared" si="85"/>
        <v>800000</v>
      </c>
      <c r="I486" s="497">
        <f t="shared" si="86"/>
        <v>277129</v>
      </c>
      <c r="J486" s="497">
        <f>J484+J485</f>
        <v>0</v>
      </c>
      <c r="K486" s="497">
        <f>K484+K485</f>
        <v>277129</v>
      </c>
      <c r="L486" s="497">
        <f t="shared" si="87"/>
        <v>522871</v>
      </c>
      <c r="M486" s="497">
        <f>M484+M485</f>
        <v>0</v>
      </c>
      <c r="N486" s="497">
        <f>N484+N485</f>
        <v>522871</v>
      </c>
    </row>
    <row r="487" spans="1:14" s="448" customFormat="1" ht="15" hidden="1" customHeight="1">
      <c r="A487" s="1025"/>
      <c r="B487" s="1026"/>
      <c r="C487" s="1031" t="s">
        <v>1040</v>
      </c>
      <c r="D487" s="1032"/>
      <c r="E487" s="1014" t="s">
        <v>1041</v>
      </c>
      <c r="F487" s="1015"/>
      <c r="G487" s="495" t="s">
        <v>5</v>
      </c>
      <c r="H487" s="496">
        <f t="shared" si="85"/>
        <v>350000</v>
      </c>
      <c r="I487" s="497">
        <f t="shared" si="86"/>
        <v>0</v>
      </c>
      <c r="J487" s="497">
        <v>0</v>
      </c>
      <c r="K487" s="497">
        <v>0</v>
      </c>
      <c r="L487" s="497">
        <f t="shared" si="87"/>
        <v>350000</v>
      </c>
      <c r="M487" s="497">
        <v>0</v>
      </c>
      <c r="N487" s="497">
        <v>350000</v>
      </c>
    </row>
    <row r="488" spans="1:14" s="448" customFormat="1" ht="15" hidden="1" customHeight="1">
      <c r="A488" s="1025"/>
      <c r="B488" s="1037"/>
      <c r="C488" s="1027"/>
      <c r="D488" s="1037"/>
      <c r="E488" s="1016"/>
      <c r="F488" s="1017"/>
      <c r="G488" s="495" t="s">
        <v>6</v>
      </c>
      <c r="H488" s="496">
        <f t="shared" si="85"/>
        <v>0</v>
      </c>
      <c r="I488" s="497">
        <f t="shared" si="86"/>
        <v>0</v>
      </c>
      <c r="J488" s="497">
        <v>0</v>
      </c>
      <c r="K488" s="497">
        <v>0</v>
      </c>
      <c r="L488" s="497">
        <f t="shared" si="87"/>
        <v>0</v>
      </c>
      <c r="M488" s="497">
        <v>0</v>
      </c>
      <c r="N488" s="497">
        <v>0</v>
      </c>
    </row>
    <row r="489" spans="1:14" s="448" customFormat="1" ht="15" hidden="1" customHeight="1">
      <c r="A489" s="1025"/>
      <c r="B489" s="1037"/>
      <c r="C489" s="1035"/>
      <c r="D489" s="1060"/>
      <c r="E489" s="1018"/>
      <c r="F489" s="1019"/>
      <c r="G489" s="495" t="s">
        <v>7</v>
      </c>
      <c r="H489" s="496">
        <f t="shared" si="85"/>
        <v>350000</v>
      </c>
      <c r="I489" s="497">
        <f t="shared" si="86"/>
        <v>0</v>
      </c>
      <c r="J489" s="497">
        <f>J487+J488</f>
        <v>0</v>
      </c>
      <c r="K489" s="497">
        <f>K487+K488</f>
        <v>0</v>
      </c>
      <c r="L489" s="497">
        <f t="shared" si="87"/>
        <v>350000</v>
      </c>
      <c r="M489" s="497">
        <f>M487+M488</f>
        <v>0</v>
      </c>
      <c r="N489" s="497">
        <f>N487+N488</f>
        <v>350000</v>
      </c>
    </row>
    <row r="490" spans="1:14" s="448" customFormat="1" ht="15" hidden="1" customHeight="1">
      <c r="A490" s="1025"/>
      <c r="B490" s="1026"/>
      <c r="C490" s="1031" t="s">
        <v>341</v>
      </c>
      <c r="D490" s="1032"/>
      <c r="E490" s="1014" t="s">
        <v>1042</v>
      </c>
      <c r="F490" s="1015"/>
      <c r="G490" s="495" t="s">
        <v>5</v>
      </c>
      <c r="H490" s="496">
        <f t="shared" si="85"/>
        <v>30000</v>
      </c>
      <c r="I490" s="497">
        <f t="shared" si="86"/>
        <v>30000</v>
      </c>
      <c r="J490" s="497">
        <v>0</v>
      </c>
      <c r="K490" s="497">
        <v>30000</v>
      </c>
      <c r="L490" s="497">
        <f t="shared" si="87"/>
        <v>0</v>
      </c>
      <c r="M490" s="497">
        <v>0</v>
      </c>
      <c r="N490" s="497">
        <v>0</v>
      </c>
    </row>
    <row r="491" spans="1:14" s="448" customFormat="1" ht="15" hidden="1" customHeight="1">
      <c r="A491" s="1025"/>
      <c r="B491" s="1037"/>
      <c r="C491" s="1027"/>
      <c r="D491" s="1037"/>
      <c r="E491" s="1016"/>
      <c r="F491" s="1017"/>
      <c r="G491" s="495" t="s">
        <v>6</v>
      </c>
      <c r="H491" s="496">
        <f t="shared" si="85"/>
        <v>0</v>
      </c>
      <c r="I491" s="497">
        <f t="shared" si="86"/>
        <v>0</v>
      </c>
      <c r="J491" s="497">
        <v>0</v>
      </c>
      <c r="K491" s="497">
        <v>0</v>
      </c>
      <c r="L491" s="497">
        <f t="shared" si="87"/>
        <v>0</v>
      </c>
      <c r="M491" s="497">
        <v>0</v>
      </c>
      <c r="N491" s="497">
        <v>0</v>
      </c>
    </row>
    <row r="492" spans="1:14" s="448" customFormat="1" ht="15" hidden="1" customHeight="1">
      <c r="A492" s="1025"/>
      <c r="B492" s="1037"/>
      <c r="C492" s="1027"/>
      <c r="D492" s="1037"/>
      <c r="E492" s="1018"/>
      <c r="F492" s="1019"/>
      <c r="G492" s="495" t="s">
        <v>7</v>
      </c>
      <c r="H492" s="496">
        <f t="shared" si="85"/>
        <v>30000</v>
      </c>
      <c r="I492" s="497">
        <f t="shared" si="86"/>
        <v>30000</v>
      </c>
      <c r="J492" s="497">
        <f>J490+J491</f>
        <v>0</v>
      </c>
      <c r="K492" s="497">
        <f>K490+K491</f>
        <v>30000</v>
      </c>
      <c r="L492" s="497">
        <f t="shared" si="87"/>
        <v>0</v>
      </c>
      <c r="M492" s="497">
        <f>M490+M491</f>
        <v>0</v>
      </c>
      <c r="N492" s="497">
        <f>N490+N491</f>
        <v>0</v>
      </c>
    </row>
    <row r="493" spans="1:14" s="530" customFormat="1" ht="15" hidden="1" customHeight="1">
      <c r="A493" s="1010"/>
      <c r="B493" s="1020"/>
      <c r="C493" s="1012"/>
      <c r="D493" s="1013"/>
      <c r="E493" s="1014" t="s">
        <v>1043</v>
      </c>
      <c r="F493" s="1015"/>
      <c r="G493" s="495" t="s">
        <v>5</v>
      </c>
      <c r="H493" s="496">
        <f t="shared" si="85"/>
        <v>70000</v>
      </c>
      <c r="I493" s="497">
        <f t="shared" si="86"/>
        <v>0</v>
      </c>
      <c r="J493" s="497">
        <v>0</v>
      </c>
      <c r="K493" s="497">
        <v>0</v>
      </c>
      <c r="L493" s="497">
        <f t="shared" si="87"/>
        <v>70000</v>
      </c>
      <c r="M493" s="497">
        <v>0</v>
      </c>
      <c r="N493" s="497">
        <v>70000</v>
      </c>
    </row>
    <row r="494" spans="1:14" s="530" customFormat="1" ht="15" hidden="1" customHeight="1">
      <c r="A494" s="1010"/>
      <c r="B494" s="1037"/>
      <c r="C494" s="1012"/>
      <c r="D494" s="1037"/>
      <c r="E494" s="1016"/>
      <c r="F494" s="1017"/>
      <c r="G494" s="495" t="s">
        <v>6</v>
      </c>
      <c r="H494" s="496">
        <f t="shared" si="85"/>
        <v>0</v>
      </c>
      <c r="I494" s="497">
        <f t="shared" si="86"/>
        <v>0</v>
      </c>
      <c r="J494" s="497">
        <v>0</v>
      </c>
      <c r="K494" s="497">
        <v>0</v>
      </c>
      <c r="L494" s="497">
        <f t="shared" si="87"/>
        <v>0</v>
      </c>
      <c r="M494" s="497">
        <v>0</v>
      </c>
      <c r="N494" s="497">
        <v>0</v>
      </c>
    </row>
    <row r="495" spans="1:14" s="530" customFormat="1" ht="15" hidden="1" customHeight="1">
      <c r="A495" s="1010"/>
      <c r="B495" s="1037"/>
      <c r="C495" s="1012"/>
      <c r="D495" s="1037"/>
      <c r="E495" s="1018"/>
      <c r="F495" s="1019"/>
      <c r="G495" s="495" t="s">
        <v>7</v>
      </c>
      <c r="H495" s="496">
        <f t="shared" si="85"/>
        <v>70000</v>
      </c>
      <c r="I495" s="497">
        <f t="shared" si="86"/>
        <v>0</v>
      </c>
      <c r="J495" s="497">
        <f>J493+J494</f>
        <v>0</v>
      </c>
      <c r="K495" s="497">
        <f>K493+K494</f>
        <v>0</v>
      </c>
      <c r="L495" s="497">
        <f t="shared" si="87"/>
        <v>70000</v>
      </c>
      <c r="M495" s="497">
        <f>M493+M494</f>
        <v>0</v>
      </c>
      <c r="N495" s="497">
        <f>N493+N494</f>
        <v>70000</v>
      </c>
    </row>
    <row r="496" spans="1:14" s="530" customFormat="1" ht="15" hidden="1" customHeight="1">
      <c r="A496" s="1010"/>
      <c r="B496" s="1020"/>
      <c r="C496" s="1012"/>
      <c r="D496" s="1013"/>
      <c r="E496" s="1014" t="s">
        <v>1044</v>
      </c>
      <c r="F496" s="1015"/>
      <c r="G496" s="495" t="s">
        <v>5</v>
      </c>
      <c r="H496" s="496">
        <f t="shared" si="85"/>
        <v>260000</v>
      </c>
      <c r="I496" s="497">
        <f t="shared" si="86"/>
        <v>0</v>
      </c>
      <c r="J496" s="497">
        <v>0</v>
      </c>
      <c r="K496" s="497">
        <v>0</v>
      </c>
      <c r="L496" s="497">
        <f t="shared" si="87"/>
        <v>260000</v>
      </c>
      <c r="M496" s="497">
        <v>0</v>
      </c>
      <c r="N496" s="497">
        <v>260000</v>
      </c>
    </row>
    <row r="497" spans="1:14" s="530" customFormat="1" ht="15" hidden="1" customHeight="1">
      <c r="A497" s="1010"/>
      <c r="B497" s="1037"/>
      <c r="C497" s="1012"/>
      <c r="D497" s="1037"/>
      <c r="E497" s="1016"/>
      <c r="F497" s="1017"/>
      <c r="G497" s="495" t="s">
        <v>6</v>
      </c>
      <c r="H497" s="496">
        <f t="shared" si="85"/>
        <v>0</v>
      </c>
      <c r="I497" s="497">
        <f t="shared" si="86"/>
        <v>0</v>
      </c>
      <c r="J497" s="497">
        <v>0</v>
      </c>
      <c r="K497" s="497">
        <v>0</v>
      </c>
      <c r="L497" s="497">
        <f t="shared" si="87"/>
        <v>0</v>
      </c>
      <c r="M497" s="497">
        <v>0</v>
      </c>
      <c r="N497" s="497">
        <v>0</v>
      </c>
    </row>
    <row r="498" spans="1:14" s="530" customFormat="1" ht="15" hidden="1" customHeight="1">
      <c r="A498" s="1010"/>
      <c r="B498" s="1037"/>
      <c r="C498" s="1012"/>
      <c r="D498" s="1037"/>
      <c r="E498" s="1018"/>
      <c r="F498" s="1019"/>
      <c r="G498" s="495" t="s">
        <v>7</v>
      </c>
      <c r="H498" s="496">
        <f t="shared" si="85"/>
        <v>260000</v>
      </c>
      <c r="I498" s="497">
        <f t="shared" si="86"/>
        <v>0</v>
      </c>
      <c r="J498" s="497">
        <f>J496+J497</f>
        <v>0</v>
      </c>
      <c r="K498" s="497">
        <f>K496+K497</f>
        <v>0</v>
      </c>
      <c r="L498" s="497">
        <f t="shared" si="87"/>
        <v>260000</v>
      </c>
      <c r="M498" s="497">
        <f>M496+M497</f>
        <v>0</v>
      </c>
      <c r="N498" s="497">
        <f>N496+N497</f>
        <v>260000</v>
      </c>
    </row>
    <row r="499" spans="1:14" s="530" customFormat="1" ht="14.1" hidden="1" customHeight="1">
      <c r="A499" s="1010"/>
      <c r="B499" s="1020"/>
      <c r="C499" s="1012"/>
      <c r="D499" s="1013"/>
      <c r="E499" s="1054" t="s">
        <v>1045</v>
      </c>
      <c r="F499" s="1081"/>
      <c r="G499" s="559" t="s">
        <v>5</v>
      </c>
      <c r="H499" s="496">
        <f t="shared" si="85"/>
        <v>33500</v>
      </c>
      <c r="I499" s="497">
        <f t="shared" si="86"/>
        <v>33500</v>
      </c>
      <c r="J499" s="497">
        <v>0</v>
      </c>
      <c r="K499" s="497">
        <v>33500</v>
      </c>
      <c r="L499" s="497">
        <f t="shared" si="87"/>
        <v>0</v>
      </c>
      <c r="M499" s="497">
        <v>0</v>
      </c>
      <c r="N499" s="497">
        <v>0</v>
      </c>
    </row>
    <row r="500" spans="1:14" s="530" customFormat="1" ht="14.1" hidden="1" customHeight="1">
      <c r="A500" s="1010"/>
      <c r="B500" s="1070"/>
      <c r="C500" s="1012"/>
      <c r="D500" s="1070"/>
      <c r="E500" s="1066"/>
      <c r="F500" s="1067"/>
      <c r="G500" s="559" t="s">
        <v>6</v>
      </c>
      <c r="H500" s="496">
        <f t="shared" si="85"/>
        <v>0</v>
      </c>
      <c r="I500" s="497">
        <f t="shared" si="86"/>
        <v>0</v>
      </c>
      <c r="J500" s="497">
        <v>0</v>
      </c>
      <c r="K500" s="497">
        <v>0</v>
      </c>
      <c r="L500" s="497">
        <f t="shared" si="87"/>
        <v>0</v>
      </c>
      <c r="M500" s="497">
        <v>0</v>
      </c>
      <c r="N500" s="497">
        <v>0</v>
      </c>
    </row>
    <row r="501" spans="1:14" s="448" customFormat="1" ht="14.1" hidden="1" customHeight="1">
      <c r="A501" s="1025"/>
      <c r="B501" s="1071"/>
      <c r="C501" s="1027"/>
      <c r="D501" s="1071"/>
      <c r="E501" s="1068"/>
      <c r="F501" s="1069"/>
      <c r="G501" s="560" t="s">
        <v>7</v>
      </c>
      <c r="H501" s="496">
        <f t="shared" si="85"/>
        <v>33500</v>
      </c>
      <c r="I501" s="497">
        <f t="shared" si="86"/>
        <v>33500</v>
      </c>
      <c r="J501" s="497">
        <f>J499+J500</f>
        <v>0</v>
      </c>
      <c r="K501" s="497">
        <f>K499+K500</f>
        <v>33500</v>
      </c>
      <c r="L501" s="497">
        <f t="shared" si="87"/>
        <v>0</v>
      </c>
      <c r="M501" s="497">
        <f>M499+M500</f>
        <v>0</v>
      </c>
      <c r="N501" s="497">
        <f>N499+N500</f>
        <v>0</v>
      </c>
    </row>
    <row r="502" spans="1:14" s="530" customFormat="1" ht="15" hidden="1" customHeight="1">
      <c r="A502" s="1010"/>
      <c r="B502" s="1020"/>
      <c r="C502" s="1012"/>
      <c r="D502" s="1013"/>
      <c r="E502" s="1054" t="s">
        <v>1046</v>
      </c>
      <c r="F502" s="1081"/>
      <c r="G502" s="559" t="s">
        <v>5</v>
      </c>
      <c r="H502" s="496">
        <f t="shared" si="85"/>
        <v>100860</v>
      </c>
      <c r="I502" s="497">
        <f t="shared" si="86"/>
        <v>100860</v>
      </c>
      <c r="J502" s="497">
        <v>100860</v>
      </c>
      <c r="K502" s="497">
        <v>0</v>
      </c>
      <c r="L502" s="497">
        <f t="shared" si="87"/>
        <v>0</v>
      </c>
      <c r="M502" s="497">
        <v>0</v>
      </c>
      <c r="N502" s="497">
        <v>0</v>
      </c>
    </row>
    <row r="503" spans="1:14" s="530" customFormat="1" ht="15" hidden="1" customHeight="1">
      <c r="A503" s="1010"/>
      <c r="B503" s="1070"/>
      <c r="C503" s="1012"/>
      <c r="D503" s="1070"/>
      <c r="E503" s="1066"/>
      <c r="F503" s="1067"/>
      <c r="G503" s="559" t="s">
        <v>6</v>
      </c>
      <c r="H503" s="496">
        <f t="shared" si="85"/>
        <v>0</v>
      </c>
      <c r="I503" s="497">
        <f t="shared" si="86"/>
        <v>0</v>
      </c>
      <c r="J503" s="497">
        <v>0</v>
      </c>
      <c r="K503" s="497">
        <v>0</v>
      </c>
      <c r="L503" s="497">
        <f t="shared" si="87"/>
        <v>0</v>
      </c>
      <c r="M503" s="497">
        <v>0</v>
      </c>
      <c r="N503" s="497">
        <v>0</v>
      </c>
    </row>
    <row r="504" spans="1:14" s="448" customFormat="1" ht="15" hidden="1" customHeight="1">
      <c r="A504" s="1025"/>
      <c r="B504" s="1071"/>
      <c r="C504" s="1027"/>
      <c r="D504" s="1071"/>
      <c r="E504" s="1068"/>
      <c r="F504" s="1069"/>
      <c r="G504" s="560" t="s">
        <v>7</v>
      </c>
      <c r="H504" s="496">
        <f t="shared" si="85"/>
        <v>100860</v>
      </c>
      <c r="I504" s="497">
        <f t="shared" si="86"/>
        <v>100860</v>
      </c>
      <c r="J504" s="497">
        <f>J502+J503</f>
        <v>100860</v>
      </c>
      <c r="K504" s="497">
        <f>K502+K503</f>
        <v>0</v>
      </c>
      <c r="L504" s="497">
        <f t="shared" si="87"/>
        <v>0</v>
      </c>
      <c r="M504" s="497">
        <f>M502+M503</f>
        <v>0</v>
      </c>
      <c r="N504" s="497">
        <f>N502+N503</f>
        <v>0</v>
      </c>
    </row>
    <row r="505" spans="1:14" s="530" customFormat="1" ht="15" hidden="1" customHeight="1">
      <c r="A505" s="1010"/>
      <c r="B505" s="1020"/>
      <c r="C505" s="1012"/>
      <c r="D505" s="1013"/>
      <c r="E505" s="1054" t="s">
        <v>1047</v>
      </c>
      <c r="F505" s="1081"/>
      <c r="G505" s="559" t="s">
        <v>5</v>
      </c>
      <c r="H505" s="496">
        <f t="shared" si="85"/>
        <v>190000</v>
      </c>
      <c r="I505" s="497">
        <f t="shared" si="86"/>
        <v>190000</v>
      </c>
      <c r="J505" s="497">
        <v>0</v>
      </c>
      <c r="K505" s="497">
        <v>190000</v>
      </c>
      <c r="L505" s="497">
        <f t="shared" si="87"/>
        <v>0</v>
      </c>
      <c r="M505" s="497">
        <v>0</v>
      </c>
      <c r="N505" s="497">
        <v>0</v>
      </c>
    </row>
    <row r="506" spans="1:14" s="530" customFormat="1" ht="15" hidden="1" customHeight="1">
      <c r="A506" s="1010"/>
      <c r="B506" s="1070"/>
      <c r="C506" s="1012"/>
      <c r="D506" s="1070"/>
      <c r="E506" s="1066"/>
      <c r="F506" s="1067"/>
      <c r="G506" s="559" t="s">
        <v>6</v>
      </c>
      <c r="H506" s="496">
        <f t="shared" si="85"/>
        <v>0</v>
      </c>
      <c r="I506" s="497">
        <f t="shared" si="86"/>
        <v>0</v>
      </c>
      <c r="J506" s="497">
        <v>0</v>
      </c>
      <c r="K506" s="497">
        <v>0</v>
      </c>
      <c r="L506" s="497">
        <f t="shared" si="87"/>
        <v>0</v>
      </c>
      <c r="M506" s="497">
        <v>0</v>
      </c>
      <c r="N506" s="497">
        <v>0</v>
      </c>
    </row>
    <row r="507" spans="1:14" s="448" customFormat="1" ht="15" hidden="1" customHeight="1">
      <c r="A507" s="1033"/>
      <c r="B507" s="1072"/>
      <c r="C507" s="1035"/>
      <c r="D507" s="1072"/>
      <c r="E507" s="1068"/>
      <c r="F507" s="1069"/>
      <c r="G507" s="560" t="s">
        <v>7</v>
      </c>
      <c r="H507" s="496">
        <f t="shared" si="85"/>
        <v>190000</v>
      </c>
      <c r="I507" s="497">
        <f t="shared" si="86"/>
        <v>190000</v>
      </c>
      <c r="J507" s="497">
        <f>J505+J506</f>
        <v>0</v>
      </c>
      <c r="K507" s="497">
        <f>K505+K506</f>
        <v>190000</v>
      </c>
      <c r="L507" s="497">
        <f t="shared" si="87"/>
        <v>0</v>
      </c>
      <c r="M507" s="497">
        <f>M505+M506</f>
        <v>0</v>
      </c>
      <c r="N507" s="497">
        <f>N505+N506</f>
        <v>0</v>
      </c>
    </row>
    <row r="508" spans="1:14" s="530" customFormat="1" ht="15" hidden="1" customHeight="1">
      <c r="A508" s="1064" t="s">
        <v>248</v>
      </c>
      <c r="B508" s="1065"/>
      <c r="C508" s="1052" t="s">
        <v>1048</v>
      </c>
      <c r="D508" s="1053"/>
      <c r="E508" s="1014" t="s">
        <v>1049</v>
      </c>
      <c r="F508" s="1015"/>
      <c r="G508" s="495" t="s">
        <v>5</v>
      </c>
      <c r="H508" s="496">
        <f t="shared" si="85"/>
        <v>30000</v>
      </c>
      <c r="I508" s="497">
        <f t="shared" si="86"/>
        <v>30000</v>
      </c>
      <c r="J508" s="497">
        <v>0</v>
      </c>
      <c r="K508" s="497">
        <v>30000</v>
      </c>
      <c r="L508" s="497">
        <f t="shared" si="87"/>
        <v>0</v>
      </c>
      <c r="M508" s="497">
        <v>0</v>
      </c>
      <c r="N508" s="497">
        <v>0</v>
      </c>
    </row>
    <row r="509" spans="1:14" s="530" customFormat="1" ht="15" hidden="1" customHeight="1">
      <c r="A509" s="1010"/>
      <c r="B509" s="1037"/>
      <c r="C509" s="1012"/>
      <c r="D509" s="1037"/>
      <c r="E509" s="1016"/>
      <c r="F509" s="1017"/>
      <c r="G509" s="495" t="s">
        <v>6</v>
      </c>
      <c r="H509" s="496">
        <f t="shared" si="85"/>
        <v>0</v>
      </c>
      <c r="I509" s="497">
        <f t="shared" si="86"/>
        <v>0</v>
      </c>
      <c r="J509" s="497">
        <v>0</v>
      </c>
      <c r="K509" s="497">
        <v>0</v>
      </c>
      <c r="L509" s="497">
        <f t="shared" si="87"/>
        <v>0</v>
      </c>
      <c r="M509" s="497">
        <v>0</v>
      </c>
      <c r="N509" s="497">
        <v>0</v>
      </c>
    </row>
    <row r="510" spans="1:14" s="530" customFormat="1" ht="15" hidden="1" customHeight="1">
      <c r="A510" s="1021"/>
      <c r="B510" s="1060"/>
      <c r="C510" s="1023"/>
      <c r="D510" s="1060"/>
      <c r="E510" s="1018"/>
      <c r="F510" s="1019"/>
      <c r="G510" s="495" t="s">
        <v>7</v>
      </c>
      <c r="H510" s="496">
        <f t="shared" si="85"/>
        <v>30000</v>
      </c>
      <c r="I510" s="497">
        <f t="shared" si="86"/>
        <v>30000</v>
      </c>
      <c r="J510" s="497">
        <f>J508+J509</f>
        <v>0</v>
      </c>
      <c r="K510" s="497">
        <f>K508+K509</f>
        <v>30000</v>
      </c>
      <c r="L510" s="497">
        <f t="shared" si="87"/>
        <v>0</v>
      </c>
      <c r="M510" s="497">
        <f>M508+M509</f>
        <v>0</v>
      </c>
      <c r="N510" s="497">
        <f>N508+N509</f>
        <v>0</v>
      </c>
    </row>
    <row r="511" spans="1:14" s="448" customFormat="1" ht="15" hidden="1" customHeight="1">
      <c r="A511" s="1029" t="s">
        <v>431</v>
      </c>
      <c r="B511" s="1030"/>
      <c r="C511" s="1031" t="s">
        <v>1050</v>
      </c>
      <c r="D511" s="1032"/>
      <c r="E511" s="1014" t="s">
        <v>1051</v>
      </c>
      <c r="F511" s="1015"/>
      <c r="G511" s="495" t="s">
        <v>5</v>
      </c>
      <c r="H511" s="496">
        <f t="shared" si="85"/>
        <v>444000</v>
      </c>
      <c r="I511" s="497">
        <f t="shared" si="86"/>
        <v>341223</v>
      </c>
      <c r="J511" s="497">
        <v>0</v>
      </c>
      <c r="K511" s="497">
        <v>341223</v>
      </c>
      <c r="L511" s="497">
        <f t="shared" si="87"/>
        <v>102777</v>
      </c>
      <c r="M511" s="497">
        <v>0</v>
      </c>
      <c r="N511" s="497">
        <v>102777</v>
      </c>
    </row>
    <row r="512" spans="1:14" s="448" customFormat="1" ht="15" hidden="1" customHeight="1">
      <c r="A512" s="1025"/>
      <c r="B512" s="1037"/>
      <c r="C512" s="1027"/>
      <c r="D512" s="1037"/>
      <c r="E512" s="1016"/>
      <c r="F512" s="1017"/>
      <c r="G512" s="495" t="s">
        <v>6</v>
      </c>
      <c r="H512" s="496">
        <f t="shared" si="85"/>
        <v>0</v>
      </c>
      <c r="I512" s="497">
        <f t="shared" si="86"/>
        <v>0</v>
      </c>
      <c r="J512" s="497">
        <v>0</v>
      </c>
      <c r="K512" s="497">
        <v>0</v>
      </c>
      <c r="L512" s="497">
        <f t="shared" si="87"/>
        <v>0</v>
      </c>
      <c r="M512" s="497">
        <v>0</v>
      </c>
      <c r="N512" s="497">
        <v>0</v>
      </c>
    </row>
    <row r="513" spans="1:14" s="448" customFormat="1" ht="15" hidden="1" customHeight="1">
      <c r="A513" s="1025"/>
      <c r="B513" s="1037"/>
      <c r="C513" s="1035"/>
      <c r="D513" s="1060"/>
      <c r="E513" s="1018"/>
      <c r="F513" s="1019"/>
      <c r="G513" s="495" t="s">
        <v>7</v>
      </c>
      <c r="H513" s="496">
        <f t="shared" si="85"/>
        <v>444000</v>
      </c>
      <c r="I513" s="497">
        <f t="shared" si="86"/>
        <v>341223</v>
      </c>
      <c r="J513" s="497">
        <f>J511+J512</f>
        <v>0</v>
      </c>
      <c r="K513" s="497">
        <f>K511+K512</f>
        <v>341223</v>
      </c>
      <c r="L513" s="497">
        <f t="shared" si="87"/>
        <v>102777</v>
      </c>
      <c r="M513" s="497">
        <f>M511+M512</f>
        <v>0</v>
      </c>
      <c r="N513" s="497">
        <f>N511+N512</f>
        <v>102777</v>
      </c>
    </row>
    <row r="514" spans="1:14" s="530" customFormat="1" ht="15" hidden="1" customHeight="1">
      <c r="A514" s="1010"/>
      <c r="B514" s="1020"/>
      <c r="C514" s="1052" t="s">
        <v>1001</v>
      </c>
      <c r="D514" s="1053"/>
      <c r="E514" s="1014" t="s">
        <v>1052</v>
      </c>
      <c r="F514" s="1015"/>
      <c r="G514" s="495" t="s">
        <v>5</v>
      </c>
      <c r="H514" s="496">
        <f t="shared" si="85"/>
        <v>100000</v>
      </c>
      <c r="I514" s="497">
        <f t="shared" si="86"/>
        <v>0</v>
      </c>
      <c r="J514" s="497">
        <v>0</v>
      </c>
      <c r="K514" s="497">
        <v>0</v>
      </c>
      <c r="L514" s="497">
        <f t="shared" si="87"/>
        <v>100000</v>
      </c>
      <c r="M514" s="497">
        <v>0</v>
      </c>
      <c r="N514" s="497">
        <v>100000</v>
      </c>
    </row>
    <row r="515" spans="1:14" s="530" customFormat="1" ht="15" hidden="1" customHeight="1">
      <c r="A515" s="1010"/>
      <c r="B515" s="1037"/>
      <c r="C515" s="1012"/>
      <c r="D515" s="1037"/>
      <c r="E515" s="1016"/>
      <c r="F515" s="1017"/>
      <c r="G515" s="495" t="s">
        <v>6</v>
      </c>
      <c r="H515" s="496">
        <f t="shared" si="85"/>
        <v>0</v>
      </c>
      <c r="I515" s="497">
        <f t="shared" si="86"/>
        <v>0</v>
      </c>
      <c r="J515" s="497">
        <v>0</v>
      </c>
      <c r="K515" s="497">
        <v>0</v>
      </c>
      <c r="L515" s="497">
        <f t="shared" si="87"/>
        <v>0</v>
      </c>
      <c r="M515" s="497">
        <v>0</v>
      </c>
      <c r="N515" s="497">
        <v>0</v>
      </c>
    </row>
    <row r="516" spans="1:14" s="530" customFormat="1" ht="15" hidden="1" customHeight="1">
      <c r="A516" s="1021"/>
      <c r="B516" s="1060"/>
      <c r="C516" s="1023"/>
      <c r="D516" s="1060"/>
      <c r="E516" s="1018"/>
      <c r="F516" s="1019"/>
      <c r="G516" s="495" t="s">
        <v>7</v>
      </c>
      <c r="H516" s="496">
        <f t="shared" si="85"/>
        <v>100000</v>
      </c>
      <c r="I516" s="497">
        <f t="shared" si="86"/>
        <v>0</v>
      </c>
      <c r="J516" s="497">
        <f>J514+J515</f>
        <v>0</v>
      </c>
      <c r="K516" s="497">
        <f>K514+K515</f>
        <v>0</v>
      </c>
      <c r="L516" s="497">
        <f t="shared" si="87"/>
        <v>100000</v>
      </c>
      <c r="M516" s="497">
        <f>M514+M515</f>
        <v>0</v>
      </c>
      <c r="N516" s="497">
        <f>N514+N515</f>
        <v>100000</v>
      </c>
    </row>
    <row r="517" spans="1:14" s="448" customFormat="1" ht="15" hidden="1" customHeight="1">
      <c r="A517" s="1029" t="s">
        <v>253</v>
      </c>
      <c r="B517" s="1030"/>
      <c r="C517" s="1031" t="s">
        <v>1053</v>
      </c>
      <c r="D517" s="1032"/>
      <c r="E517" s="1014" t="s">
        <v>1054</v>
      </c>
      <c r="F517" s="1015"/>
      <c r="G517" s="495" t="s">
        <v>5</v>
      </c>
      <c r="H517" s="496">
        <f t="shared" si="85"/>
        <v>207000</v>
      </c>
      <c r="I517" s="497">
        <f t="shared" si="86"/>
        <v>207000</v>
      </c>
      <c r="J517" s="497">
        <v>0</v>
      </c>
      <c r="K517" s="497">
        <v>207000</v>
      </c>
      <c r="L517" s="497">
        <f t="shared" si="87"/>
        <v>0</v>
      </c>
      <c r="M517" s="497">
        <v>0</v>
      </c>
      <c r="N517" s="497">
        <v>0</v>
      </c>
    </row>
    <row r="518" spans="1:14" s="448" customFormat="1" ht="15" hidden="1" customHeight="1">
      <c r="A518" s="1025"/>
      <c r="B518" s="1037"/>
      <c r="C518" s="1027"/>
      <c r="D518" s="1037"/>
      <c r="E518" s="1016"/>
      <c r="F518" s="1017"/>
      <c r="G518" s="495" t="s">
        <v>6</v>
      </c>
      <c r="H518" s="496">
        <f t="shared" si="85"/>
        <v>0</v>
      </c>
      <c r="I518" s="497">
        <f t="shared" si="86"/>
        <v>0</v>
      </c>
      <c r="J518" s="497">
        <v>0</v>
      </c>
      <c r="K518" s="497">
        <v>0</v>
      </c>
      <c r="L518" s="497">
        <f t="shared" si="87"/>
        <v>0</v>
      </c>
      <c r="M518" s="497">
        <v>0</v>
      </c>
      <c r="N518" s="497">
        <v>0</v>
      </c>
    </row>
    <row r="519" spans="1:14" s="448" customFormat="1" ht="15" hidden="1" customHeight="1">
      <c r="A519" s="1025"/>
      <c r="B519" s="1037"/>
      <c r="C519" s="1035"/>
      <c r="D519" s="1060"/>
      <c r="E519" s="1018"/>
      <c r="F519" s="1019"/>
      <c r="G519" s="495" t="s">
        <v>7</v>
      </c>
      <c r="H519" s="496">
        <f t="shared" si="85"/>
        <v>207000</v>
      </c>
      <c r="I519" s="497">
        <f t="shared" si="86"/>
        <v>207000</v>
      </c>
      <c r="J519" s="497">
        <f>J517+J518</f>
        <v>0</v>
      </c>
      <c r="K519" s="497">
        <f>K517+K518</f>
        <v>207000</v>
      </c>
      <c r="L519" s="497">
        <f t="shared" si="87"/>
        <v>0</v>
      </c>
      <c r="M519" s="497">
        <f>M517+M518</f>
        <v>0</v>
      </c>
      <c r="N519" s="497">
        <f>N517+N518</f>
        <v>0</v>
      </c>
    </row>
    <row r="520" spans="1:14" s="448" customFormat="1" ht="15" hidden="1" customHeight="1">
      <c r="A520" s="1025"/>
      <c r="B520" s="1026"/>
      <c r="C520" s="1031" t="s">
        <v>1055</v>
      </c>
      <c r="D520" s="1032"/>
      <c r="E520" s="1014" t="s">
        <v>1056</v>
      </c>
      <c r="F520" s="1015"/>
      <c r="G520" s="495" t="s">
        <v>5</v>
      </c>
      <c r="H520" s="496">
        <f t="shared" si="85"/>
        <v>80000</v>
      </c>
      <c r="I520" s="497">
        <f t="shared" si="86"/>
        <v>0</v>
      </c>
      <c r="J520" s="497">
        <v>0</v>
      </c>
      <c r="K520" s="497">
        <v>0</v>
      </c>
      <c r="L520" s="497">
        <f t="shared" si="87"/>
        <v>80000</v>
      </c>
      <c r="M520" s="497">
        <v>0</v>
      </c>
      <c r="N520" s="497">
        <v>80000</v>
      </c>
    </row>
    <row r="521" spans="1:14" s="448" customFormat="1" ht="15" hidden="1" customHeight="1">
      <c r="A521" s="1025"/>
      <c r="B521" s="1037"/>
      <c r="C521" s="1027"/>
      <c r="D521" s="1037"/>
      <c r="E521" s="1016"/>
      <c r="F521" s="1017"/>
      <c r="G521" s="495" t="s">
        <v>6</v>
      </c>
      <c r="H521" s="496">
        <f t="shared" si="85"/>
        <v>0</v>
      </c>
      <c r="I521" s="497">
        <f t="shared" si="86"/>
        <v>0</v>
      </c>
      <c r="J521" s="497">
        <v>0</v>
      </c>
      <c r="K521" s="497">
        <v>0</v>
      </c>
      <c r="L521" s="497">
        <f t="shared" si="87"/>
        <v>0</v>
      </c>
      <c r="M521" s="497">
        <v>0</v>
      </c>
      <c r="N521" s="497">
        <v>0</v>
      </c>
    </row>
    <row r="522" spans="1:14" s="448" customFormat="1" ht="15" hidden="1" customHeight="1">
      <c r="A522" s="1033"/>
      <c r="B522" s="1060"/>
      <c r="C522" s="1035"/>
      <c r="D522" s="1060"/>
      <c r="E522" s="1018"/>
      <c r="F522" s="1019"/>
      <c r="G522" s="495" t="s">
        <v>7</v>
      </c>
      <c r="H522" s="496">
        <f t="shared" si="85"/>
        <v>80000</v>
      </c>
      <c r="I522" s="497">
        <f t="shared" si="86"/>
        <v>0</v>
      </c>
      <c r="J522" s="497">
        <f>J520+J521</f>
        <v>0</v>
      </c>
      <c r="K522" s="497">
        <f>K520+K521</f>
        <v>0</v>
      </c>
      <c r="L522" s="497">
        <f t="shared" si="87"/>
        <v>80000</v>
      </c>
      <c r="M522" s="497">
        <f>M520+M521</f>
        <v>0</v>
      </c>
      <c r="N522" s="497">
        <f>N520+N521</f>
        <v>80000</v>
      </c>
    </row>
    <row r="523" spans="1:14" s="448" customFormat="1" ht="15" hidden="1" customHeight="1">
      <c r="A523" s="1029" t="s">
        <v>433</v>
      </c>
      <c r="B523" s="1030"/>
      <c r="C523" s="1031" t="s">
        <v>1057</v>
      </c>
      <c r="D523" s="1032"/>
      <c r="E523" s="1014" t="s">
        <v>1058</v>
      </c>
      <c r="F523" s="1015"/>
      <c r="G523" s="495" t="s">
        <v>5</v>
      </c>
      <c r="H523" s="496">
        <f t="shared" si="85"/>
        <v>430000</v>
      </c>
      <c r="I523" s="497">
        <f t="shared" si="86"/>
        <v>0</v>
      </c>
      <c r="J523" s="497">
        <v>0</v>
      </c>
      <c r="K523" s="497">
        <v>0</v>
      </c>
      <c r="L523" s="497">
        <f t="shared" si="87"/>
        <v>430000</v>
      </c>
      <c r="M523" s="497">
        <v>0</v>
      </c>
      <c r="N523" s="497">
        <v>430000</v>
      </c>
    </row>
    <row r="524" spans="1:14" s="448" customFormat="1" ht="15" hidden="1" customHeight="1">
      <c r="A524" s="1025"/>
      <c r="B524" s="1037"/>
      <c r="C524" s="1027"/>
      <c r="D524" s="1037"/>
      <c r="E524" s="1016"/>
      <c r="F524" s="1017"/>
      <c r="G524" s="495" t="s">
        <v>6</v>
      </c>
      <c r="H524" s="496">
        <f t="shared" si="85"/>
        <v>0</v>
      </c>
      <c r="I524" s="497">
        <f t="shared" si="86"/>
        <v>0</v>
      </c>
      <c r="J524" s="497">
        <v>0</v>
      </c>
      <c r="K524" s="497">
        <v>0</v>
      </c>
      <c r="L524" s="497">
        <f t="shared" si="87"/>
        <v>0</v>
      </c>
      <c r="M524" s="497">
        <v>0</v>
      </c>
      <c r="N524" s="497">
        <v>0</v>
      </c>
    </row>
    <row r="525" spans="1:14" s="448" customFormat="1" ht="15" hidden="1" customHeight="1">
      <c r="A525" s="1025"/>
      <c r="B525" s="1037"/>
      <c r="C525" s="1035"/>
      <c r="D525" s="1060"/>
      <c r="E525" s="1018"/>
      <c r="F525" s="1019"/>
      <c r="G525" s="495" t="s">
        <v>7</v>
      </c>
      <c r="H525" s="496">
        <f t="shared" si="85"/>
        <v>430000</v>
      </c>
      <c r="I525" s="497">
        <f t="shared" si="86"/>
        <v>0</v>
      </c>
      <c r="J525" s="497">
        <f>J523+J524</f>
        <v>0</v>
      </c>
      <c r="K525" s="497">
        <f>K523+K524</f>
        <v>0</v>
      </c>
      <c r="L525" s="497">
        <f t="shared" si="87"/>
        <v>430000</v>
      </c>
      <c r="M525" s="497">
        <f>M523+M524</f>
        <v>0</v>
      </c>
      <c r="N525" s="497">
        <f>N523+N524</f>
        <v>430000</v>
      </c>
    </row>
    <row r="526" spans="1:14" s="448" customFormat="1" ht="15" hidden="1" customHeight="1">
      <c r="A526" s="1025"/>
      <c r="B526" s="1026"/>
      <c r="C526" s="1031" t="s">
        <v>1003</v>
      </c>
      <c r="D526" s="1032"/>
      <c r="E526" s="1014" t="s">
        <v>1059</v>
      </c>
      <c r="F526" s="1015"/>
      <c r="G526" s="495" t="s">
        <v>5</v>
      </c>
      <c r="H526" s="496">
        <f t="shared" si="85"/>
        <v>100000</v>
      </c>
      <c r="I526" s="497">
        <f t="shared" si="86"/>
        <v>0</v>
      </c>
      <c r="J526" s="497">
        <v>0</v>
      </c>
      <c r="K526" s="497">
        <v>0</v>
      </c>
      <c r="L526" s="497">
        <f t="shared" si="87"/>
        <v>100000</v>
      </c>
      <c r="M526" s="497">
        <v>0</v>
      </c>
      <c r="N526" s="497">
        <v>100000</v>
      </c>
    </row>
    <row r="527" spans="1:14" s="448" customFormat="1" ht="15" hidden="1" customHeight="1">
      <c r="A527" s="1025"/>
      <c r="B527" s="1037"/>
      <c r="C527" s="1027"/>
      <c r="D527" s="1037"/>
      <c r="E527" s="1016"/>
      <c r="F527" s="1017"/>
      <c r="G527" s="495" t="s">
        <v>6</v>
      </c>
      <c r="H527" s="496">
        <f t="shared" si="85"/>
        <v>0</v>
      </c>
      <c r="I527" s="497">
        <f t="shared" si="86"/>
        <v>0</v>
      </c>
      <c r="J527" s="497">
        <v>0</v>
      </c>
      <c r="K527" s="497">
        <v>0</v>
      </c>
      <c r="L527" s="497">
        <f t="shared" si="87"/>
        <v>0</v>
      </c>
      <c r="M527" s="497">
        <v>0</v>
      </c>
      <c r="N527" s="497">
        <v>0</v>
      </c>
    </row>
    <row r="528" spans="1:14" s="448" customFormat="1" ht="15" hidden="1" customHeight="1">
      <c r="A528" s="1025"/>
      <c r="B528" s="1037"/>
      <c r="C528" s="1027"/>
      <c r="D528" s="1037"/>
      <c r="E528" s="1018"/>
      <c r="F528" s="1019"/>
      <c r="G528" s="495" t="s">
        <v>7</v>
      </c>
      <c r="H528" s="496">
        <f t="shared" si="85"/>
        <v>100000</v>
      </c>
      <c r="I528" s="497">
        <f t="shared" si="86"/>
        <v>0</v>
      </c>
      <c r="J528" s="497">
        <f>J526+J527</f>
        <v>0</v>
      </c>
      <c r="K528" s="497">
        <f>K526+K527</f>
        <v>0</v>
      </c>
      <c r="L528" s="497">
        <f t="shared" si="87"/>
        <v>100000</v>
      </c>
      <c r="M528" s="497">
        <f>M526+M527</f>
        <v>0</v>
      </c>
      <c r="N528" s="497">
        <f>N526+N527</f>
        <v>100000</v>
      </c>
    </row>
    <row r="529" spans="1:14" s="448" customFormat="1" ht="15" hidden="1" customHeight="1">
      <c r="A529" s="1025"/>
      <c r="B529" s="1026"/>
      <c r="C529" s="1027"/>
      <c r="D529" s="1028"/>
      <c r="E529" s="1014" t="s">
        <v>1060</v>
      </c>
      <c r="F529" s="1015"/>
      <c r="G529" s="495" t="s">
        <v>5</v>
      </c>
      <c r="H529" s="496">
        <f t="shared" si="85"/>
        <v>250000</v>
      </c>
      <c r="I529" s="497">
        <f t="shared" si="86"/>
        <v>0</v>
      </c>
      <c r="J529" s="497">
        <v>0</v>
      </c>
      <c r="K529" s="497">
        <v>0</v>
      </c>
      <c r="L529" s="497">
        <f t="shared" si="87"/>
        <v>250000</v>
      </c>
      <c r="M529" s="497">
        <v>0</v>
      </c>
      <c r="N529" s="497">
        <v>250000</v>
      </c>
    </row>
    <row r="530" spans="1:14" s="448" customFormat="1" ht="15" hidden="1" customHeight="1">
      <c r="A530" s="1025"/>
      <c r="B530" s="1037"/>
      <c r="C530" s="1027"/>
      <c r="D530" s="1037"/>
      <c r="E530" s="1016"/>
      <c r="F530" s="1017"/>
      <c r="G530" s="495" t="s">
        <v>6</v>
      </c>
      <c r="H530" s="496">
        <f t="shared" si="85"/>
        <v>0</v>
      </c>
      <c r="I530" s="497">
        <f t="shared" si="86"/>
        <v>0</v>
      </c>
      <c r="J530" s="497">
        <v>0</v>
      </c>
      <c r="K530" s="497">
        <v>0</v>
      </c>
      <c r="L530" s="497">
        <f t="shared" si="87"/>
        <v>0</v>
      </c>
      <c r="M530" s="497">
        <v>0</v>
      </c>
      <c r="N530" s="497">
        <v>0</v>
      </c>
    </row>
    <row r="531" spans="1:14" s="448" customFormat="1" ht="15" hidden="1" customHeight="1">
      <c r="A531" s="1025"/>
      <c r="B531" s="1037"/>
      <c r="C531" s="1027"/>
      <c r="D531" s="1037"/>
      <c r="E531" s="1018"/>
      <c r="F531" s="1019"/>
      <c r="G531" s="495" t="s">
        <v>7</v>
      </c>
      <c r="H531" s="496">
        <f t="shared" si="85"/>
        <v>250000</v>
      </c>
      <c r="I531" s="497">
        <f t="shared" si="86"/>
        <v>0</v>
      </c>
      <c r="J531" s="497">
        <f>J529+J530</f>
        <v>0</v>
      </c>
      <c r="K531" s="497">
        <f>K529+K530</f>
        <v>0</v>
      </c>
      <c r="L531" s="497">
        <f t="shared" si="87"/>
        <v>250000</v>
      </c>
      <c r="M531" s="497">
        <f>M529+M530</f>
        <v>0</v>
      </c>
      <c r="N531" s="497">
        <f>N529+N530</f>
        <v>250000</v>
      </c>
    </row>
    <row r="532" spans="1:14" s="448" customFormat="1" ht="15" hidden="1" customHeight="1">
      <c r="A532" s="1025"/>
      <c r="B532" s="1026"/>
      <c r="C532" s="1027"/>
      <c r="D532" s="1028"/>
      <c r="E532" s="1014" t="s">
        <v>1061</v>
      </c>
      <c r="F532" s="1015"/>
      <c r="G532" s="495" t="s">
        <v>5</v>
      </c>
      <c r="H532" s="496">
        <f t="shared" si="85"/>
        <v>150000</v>
      </c>
      <c r="I532" s="497">
        <f t="shared" si="86"/>
        <v>0</v>
      </c>
      <c r="J532" s="497">
        <v>0</v>
      </c>
      <c r="K532" s="497">
        <v>0</v>
      </c>
      <c r="L532" s="497">
        <f t="shared" si="87"/>
        <v>150000</v>
      </c>
      <c r="M532" s="497">
        <v>0</v>
      </c>
      <c r="N532" s="497">
        <v>150000</v>
      </c>
    </row>
    <row r="533" spans="1:14" s="448" customFormat="1" ht="15" hidden="1" customHeight="1">
      <c r="A533" s="1025"/>
      <c r="B533" s="1037"/>
      <c r="C533" s="1027"/>
      <c r="D533" s="1037"/>
      <c r="E533" s="1016"/>
      <c r="F533" s="1017"/>
      <c r="G533" s="495" t="s">
        <v>6</v>
      </c>
      <c r="H533" s="496">
        <f t="shared" si="85"/>
        <v>0</v>
      </c>
      <c r="I533" s="497">
        <f t="shared" si="86"/>
        <v>0</v>
      </c>
      <c r="J533" s="497">
        <v>0</v>
      </c>
      <c r="K533" s="497">
        <v>0</v>
      </c>
      <c r="L533" s="497">
        <f t="shared" si="87"/>
        <v>0</v>
      </c>
      <c r="M533" s="497">
        <v>0</v>
      </c>
      <c r="N533" s="497">
        <v>0</v>
      </c>
    </row>
    <row r="534" spans="1:14" s="448" customFormat="1" ht="15" hidden="1" customHeight="1">
      <c r="A534" s="1025"/>
      <c r="B534" s="1037"/>
      <c r="C534" s="1027"/>
      <c r="D534" s="1037"/>
      <c r="E534" s="1018"/>
      <c r="F534" s="1019"/>
      <c r="G534" s="495" t="s">
        <v>7</v>
      </c>
      <c r="H534" s="496">
        <f t="shared" si="85"/>
        <v>150000</v>
      </c>
      <c r="I534" s="497">
        <f t="shared" si="86"/>
        <v>0</v>
      </c>
      <c r="J534" s="497">
        <f>J532+J533</f>
        <v>0</v>
      </c>
      <c r="K534" s="497">
        <f>K532+K533</f>
        <v>0</v>
      </c>
      <c r="L534" s="497">
        <f t="shared" si="87"/>
        <v>150000</v>
      </c>
      <c r="M534" s="497">
        <f>M532+M533</f>
        <v>0</v>
      </c>
      <c r="N534" s="497">
        <f>N532+N533</f>
        <v>150000</v>
      </c>
    </row>
    <row r="535" spans="1:14" s="530" customFormat="1" ht="15" hidden="1" customHeight="1">
      <c r="A535" s="1010"/>
      <c r="B535" s="1020"/>
      <c r="C535" s="1012"/>
      <c r="D535" s="1013"/>
      <c r="E535" s="1014" t="s">
        <v>1062</v>
      </c>
      <c r="F535" s="1015"/>
      <c r="G535" s="495" t="s">
        <v>5</v>
      </c>
      <c r="H535" s="496">
        <f t="shared" si="85"/>
        <v>280000</v>
      </c>
      <c r="I535" s="497">
        <f t="shared" si="86"/>
        <v>0</v>
      </c>
      <c r="J535" s="497">
        <v>0</v>
      </c>
      <c r="K535" s="497">
        <v>0</v>
      </c>
      <c r="L535" s="497">
        <f t="shared" si="87"/>
        <v>280000</v>
      </c>
      <c r="M535" s="497">
        <v>0</v>
      </c>
      <c r="N535" s="497">
        <v>280000</v>
      </c>
    </row>
    <row r="536" spans="1:14" s="530" customFormat="1" ht="15" hidden="1" customHeight="1">
      <c r="A536" s="1010"/>
      <c r="B536" s="1037"/>
      <c r="C536" s="1012"/>
      <c r="D536" s="1037"/>
      <c r="E536" s="1016"/>
      <c r="F536" s="1017"/>
      <c r="G536" s="495" t="s">
        <v>6</v>
      </c>
      <c r="H536" s="496">
        <f t="shared" si="85"/>
        <v>0</v>
      </c>
      <c r="I536" s="497">
        <f t="shared" si="86"/>
        <v>0</v>
      </c>
      <c r="J536" s="497">
        <v>0</v>
      </c>
      <c r="K536" s="497">
        <v>0</v>
      </c>
      <c r="L536" s="497">
        <f t="shared" si="87"/>
        <v>0</v>
      </c>
      <c r="M536" s="497">
        <v>0</v>
      </c>
      <c r="N536" s="497">
        <v>0</v>
      </c>
    </row>
    <row r="537" spans="1:14" s="530" customFormat="1" ht="15" hidden="1" customHeight="1">
      <c r="A537" s="1010"/>
      <c r="B537" s="1037"/>
      <c r="C537" s="1012"/>
      <c r="D537" s="1037"/>
      <c r="E537" s="1018"/>
      <c r="F537" s="1019"/>
      <c r="G537" s="495" t="s">
        <v>7</v>
      </c>
      <c r="H537" s="496">
        <f t="shared" si="85"/>
        <v>280000</v>
      </c>
      <c r="I537" s="497">
        <f t="shared" si="86"/>
        <v>0</v>
      </c>
      <c r="J537" s="497">
        <f>J535+J536</f>
        <v>0</v>
      </c>
      <c r="K537" s="497">
        <f>K535+K536</f>
        <v>0</v>
      </c>
      <c r="L537" s="497">
        <f t="shared" si="87"/>
        <v>280000</v>
      </c>
      <c r="M537" s="497">
        <f>M535+M536</f>
        <v>0</v>
      </c>
      <c r="N537" s="497">
        <f>N535+N536</f>
        <v>280000</v>
      </c>
    </row>
    <row r="538" spans="1:14" s="530" customFormat="1" ht="15" hidden="1" customHeight="1">
      <c r="A538" s="1010"/>
      <c r="B538" s="1020"/>
      <c r="C538" s="1012"/>
      <c r="D538" s="1013"/>
      <c r="E538" s="1014" t="s">
        <v>1063</v>
      </c>
      <c r="F538" s="1015"/>
      <c r="G538" s="495" t="s">
        <v>5</v>
      </c>
      <c r="H538" s="496">
        <f t="shared" si="85"/>
        <v>230000</v>
      </c>
      <c r="I538" s="497">
        <f t="shared" si="86"/>
        <v>0</v>
      </c>
      <c r="J538" s="497">
        <v>0</v>
      </c>
      <c r="K538" s="497">
        <v>0</v>
      </c>
      <c r="L538" s="497">
        <f t="shared" si="87"/>
        <v>230000</v>
      </c>
      <c r="M538" s="497">
        <v>0</v>
      </c>
      <c r="N538" s="497">
        <v>230000</v>
      </c>
    </row>
    <row r="539" spans="1:14" s="530" customFormat="1" ht="15" hidden="1" customHeight="1">
      <c r="A539" s="1010"/>
      <c r="B539" s="1037"/>
      <c r="C539" s="1012"/>
      <c r="D539" s="1037"/>
      <c r="E539" s="1016"/>
      <c r="F539" s="1017"/>
      <c r="G539" s="495" t="s">
        <v>6</v>
      </c>
      <c r="H539" s="496">
        <f t="shared" si="85"/>
        <v>0</v>
      </c>
      <c r="I539" s="497">
        <f t="shared" si="86"/>
        <v>0</v>
      </c>
      <c r="J539" s="497">
        <v>0</v>
      </c>
      <c r="K539" s="497">
        <v>0</v>
      </c>
      <c r="L539" s="497">
        <f t="shared" si="87"/>
        <v>0</v>
      </c>
      <c r="M539" s="497">
        <v>0</v>
      </c>
      <c r="N539" s="497">
        <v>0</v>
      </c>
    </row>
    <row r="540" spans="1:14" s="530" customFormat="1" ht="15" hidden="1" customHeight="1">
      <c r="A540" s="1021"/>
      <c r="B540" s="1060"/>
      <c r="C540" s="1023"/>
      <c r="D540" s="1060"/>
      <c r="E540" s="1018"/>
      <c r="F540" s="1019"/>
      <c r="G540" s="495" t="s">
        <v>7</v>
      </c>
      <c r="H540" s="496">
        <f t="shared" si="85"/>
        <v>230000</v>
      </c>
      <c r="I540" s="497">
        <f t="shared" si="86"/>
        <v>0</v>
      </c>
      <c r="J540" s="497">
        <f>J538+J539</f>
        <v>0</v>
      </c>
      <c r="K540" s="497">
        <f>K538+K539</f>
        <v>0</v>
      </c>
      <c r="L540" s="497">
        <f t="shared" si="87"/>
        <v>230000</v>
      </c>
      <c r="M540" s="497">
        <f>M538+M539</f>
        <v>0</v>
      </c>
      <c r="N540" s="497">
        <f>N538+N539</f>
        <v>230000</v>
      </c>
    </row>
    <row r="541" spans="1:14" s="530" customFormat="1" ht="15" hidden="1" customHeight="1">
      <c r="A541" s="1064" t="s">
        <v>370</v>
      </c>
      <c r="B541" s="1065"/>
      <c r="C541" s="1052" t="s">
        <v>392</v>
      </c>
      <c r="D541" s="1053"/>
      <c r="E541" s="1014" t="s">
        <v>1064</v>
      </c>
      <c r="F541" s="1015"/>
      <c r="G541" s="495" t="s">
        <v>5</v>
      </c>
      <c r="H541" s="496">
        <f t="shared" si="85"/>
        <v>100000</v>
      </c>
      <c r="I541" s="497">
        <f t="shared" si="86"/>
        <v>100000</v>
      </c>
      <c r="J541" s="497">
        <v>0</v>
      </c>
      <c r="K541" s="497">
        <v>100000</v>
      </c>
      <c r="L541" s="497">
        <f t="shared" si="87"/>
        <v>0</v>
      </c>
      <c r="M541" s="497">
        <v>0</v>
      </c>
      <c r="N541" s="497">
        <v>0</v>
      </c>
    </row>
    <row r="542" spans="1:14" s="530" customFormat="1" ht="15" hidden="1" customHeight="1">
      <c r="A542" s="1010"/>
      <c r="B542" s="1037"/>
      <c r="C542" s="1012"/>
      <c r="D542" s="1037"/>
      <c r="E542" s="1016"/>
      <c r="F542" s="1017"/>
      <c r="G542" s="495" t="s">
        <v>6</v>
      </c>
      <c r="H542" s="496">
        <f t="shared" si="85"/>
        <v>0</v>
      </c>
      <c r="I542" s="497">
        <f t="shared" si="86"/>
        <v>0</v>
      </c>
      <c r="J542" s="497">
        <v>0</v>
      </c>
      <c r="K542" s="497">
        <v>0</v>
      </c>
      <c r="L542" s="497">
        <f t="shared" si="87"/>
        <v>0</v>
      </c>
      <c r="M542" s="497">
        <v>0</v>
      </c>
      <c r="N542" s="497">
        <v>0</v>
      </c>
    </row>
    <row r="543" spans="1:14" s="530" customFormat="1" ht="15" hidden="1" customHeight="1">
      <c r="A543" s="1021"/>
      <c r="B543" s="1060"/>
      <c r="C543" s="1023"/>
      <c r="D543" s="1060"/>
      <c r="E543" s="1018"/>
      <c r="F543" s="1019"/>
      <c r="G543" s="495" t="s">
        <v>7</v>
      </c>
      <c r="H543" s="496">
        <f t="shared" si="85"/>
        <v>100000</v>
      </c>
      <c r="I543" s="497">
        <f t="shared" si="86"/>
        <v>100000</v>
      </c>
      <c r="J543" s="497">
        <f>J541+J542</f>
        <v>0</v>
      </c>
      <c r="K543" s="497">
        <f>K541+K542</f>
        <v>100000</v>
      </c>
      <c r="L543" s="497">
        <f t="shared" si="87"/>
        <v>0</v>
      </c>
      <c r="M543" s="497">
        <f>M541+M542</f>
        <v>0</v>
      </c>
      <c r="N543" s="497">
        <f>N541+N542</f>
        <v>0</v>
      </c>
    </row>
    <row r="544" spans="1:14" s="530" customFormat="1" ht="14.45" customHeight="1">
      <c r="A544" s="1064" t="s">
        <v>261</v>
      </c>
      <c r="B544" s="1065"/>
      <c r="C544" s="1052" t="s">
        <v>355</v>
      </c>
      <c r="D544" s="1053"/>
      <c r="E544" s="1014" t="s">
        <v>1065</v>
      </c>
      <c r="F544" s="1015"/>
      <c r="G544" s="495" t="s">
        <v>5</v>
      </c>
      <c r="H544" s="496">
        <f t="shared" si="85"/>
        <v>240000</v>
      </c>
      <c r="I544" s="497">
        <f t="shared" si="86"/>
        <v>240000</v>
      </c>
      <c r="J544" s="497">
        <v>0</v>
      </c>
      <c r="K544" s="497">
        <v>240000</v>
      </c>
      <c r="L544" s="497">
        <f t="shared" si="87"/>
        <v>0</v>
      </c>
      <c r="M544" s="497">
        <v>0</v>
      </c>
      <c r="N544" s="497">
        <v>0</v>
      </c>
    </row>
    <row r="545" spans="1:14" s="530" customFormat="1" ht="14.45" customHeight="1">
      <c r="A545" s="1010"/>
      <c r="B545" s="1073"/>
      <c r="C545" s="1012"/>
      <c r="D545" s="1073"/>
      <c r="E545" s="1016"/>
      <c r="F545" s="1017"/>
      <c r="G545" s="495" t="s">
        <v>6</v>
      </c>
      <c r="H545" s="496">
        <f t="shared" si="85"/>
        <v>-240000</v>
      </c>
      <c r="I545" s="497">
        <f t="shared" si="86"/>
        <v>-240000</v>
      </c>
      <c r="J545" s="497">
        <v>0</v>
      </c>
      <c r="K545" s="497">
        <v>-240000</v>
      </c>
      <c r="L545" s="497">
        <f t="shared" si="87"/>
        <v>0</v>
      </c>
      <c r="M545" s="497">
        <v>0</v>
      </c>
      <c r="N545" s="497">
        <v>0</v>
      </c>
    </row>
    <row r="546" spans="1:14" s="530" customFormat="1" ht="14.45" customHeight="1">
      <c r="A546" s="1010"/>
      <c r="B546" s="1073"/>
      <c r="C546" s="1012"/>
      <c r="D546" s="1073"/>
      <c r="E546" s="1018"/>
      <c r="F546" s="1019"/>
      <c r="G546" s="495" t="s">
        <v>7</v>
      </c>
      <c r="H546" s="496">
        <f t="shared" ref="H546:H618" si="88">I546+L546</f>
        <v>0</v>
      </c>
      <c r="I546" s="497">
        <f t="shared" ref="I546:I618" si="89">J546+K546</f>
        <v>0</v>
      </c>
      <c r="J546" s="497">
        <f>J544+J545</f>
        <v>0</v>
      </c>
      <c r="K546" s="497">
        <f>K544+K545</f>
        <v>0</v>
      </c>
      <c r="L546" s="497">
        <f t="shared" ref="L546:L618" si="90">M546+N546</f>
        <v>0</v>
      </c>
      <c r="M546" s="497">
        <f>M544+M545</f>
        <v>0</v>
      </c>
      <c r="N546" s="497">
        <f>N544+N545</f>
        <v>0</v>
      </c>
    </row>
    <row r="547" spans="1:14" s="530" customFormat="1" ht="15" hidden="1" customHeight="1">
      <c r="A547" s="1010"/>
      <c r="B547" s="1020"/>
      <c r="C547" s="1012"/>
      <c r="D547" s="1013"/>
      <c r="E547" s="1014" t="s">
        <v>1066</v>
      </c>
      <c r="F547" s="1015"/>
      <c r="G547" s="495" t="s">
        <v>5</v>
      </c>
      <c r="H547" s="496">
        <f t="shared" si="88"/>
        <v>200000</v>
      </c>
      <c r="I547" s="497">
        <f t="shared" si="89"/>
        <v>200000</v>
      </c>
      <c r="J547" s="497">
        <v>0</v>
      </c>
      <c r="K547" s="497">
        <v>200000</v>
      </c>
      <c r="L547" s="497">
        <f t="shared" si="90"/>
        <v>0</v>
      </c>
      <c r="M547" s="497">
        <v>0</v>
      </c>
      <c r="N547" s="497">
        <v>0</v>
      </c>
    </row>
    <row r="548" spans="1:14" s="530" customFormat="1" ht="15" hidden="1" customHeight="1">
      <c r="A548" s="1010"/>
      <c r="B548" s="1073"/>
      <c r="C548" s="1012"/>
      <c r="D548" s="1073"/>
      <c r="E548" s="1016"/>
      <c r="F548" s="1017"/>
      <c r="G548" s="495" t="s">
        <v>6</v>
      </c>
      <c r="H548" s="496">
        <f t="shared" si="88"/>
        <v>0</v>
      </c>
      <c r="I548" s="497">
        <f t="shared" si="89"/>
        <v>0</v>
      </c>
      <c r="J548" s="497">
        <v>0</v>
      </c>
      <c r="K548" s="497">
        <v>0</v>
      </c>
      <c r="L548" s="497">
        <f t="shared" si="90"/>
        <v>0</v>
      </c>
      <c r="M548" s="497">
        <v>0</v>
      </c>
      <c r="N548" s="497">
        <v>0</v>
      </c>
    </row>
    <row r="549" spans="1:14" s="530" customFormat="1" ht="15" hidden="1" customHeight="1">
      <c r="A549" s="1010"/>
      <c r="B549" s="1073"/>
      <c r="C549" s="1012"/>
      <c r="D549" s="1073"/>
      <c r="E549" s="1018"/>
      <c r="F549" s="1019"/>
      <c r="G549" s="495" t="s">
        <v>7</v>
      </c>
      <c r="H549" s="496">
        <f t="shared" si="88"/>
        <v>200000</v>
      </c>
      <c r="I549" s="497">
        <f t="shared" si="89"/>
        <v>200000</v>
      </c>
      <c r="J549" s="497">
        <f>J547+J548</f>
        <v>0</v>
      </c>
      <c r="K549" s="497">
        <f>K547+K548</f>
        <v>200000</v>
      </c>
      <c r="L549" s="497">
        <f t="shared" si="90"/>
        <v>0</v>
      </c>
      <c r="M549" s="497">
        <f>M547+M548</f>
        <v>0</v>
      </c>
      <c r="N549" s="497">
        <f>N547+N548</f>
        <v>0</v>
      </c>
    </row>
    <row r="550" spans="1:14" s="530" customFormat="1" ht="14.25" hidden="1" customHeight="1">
      <c r="A550" s="1010"/>
      <c r="B550" s="1020"/>
      <c r="C550" s="1012"/>
      <c r="D550" s="1013"/>
      <c r="E550" s="1014" t="s">
        <v>1067</v>
      </c>
      <c r="F550" s="1015"/>
      <c r="G550" s="495" t="s">
        <v>5</v>
      </c>
      <c r="H550" s="496">
        <f t="shared" si="88"/>
        <v>20000</v>
      </c>
      <c r="I550" s="497">
        <f t="shared" si="89"/>
        <v>20000</v>
      </c>
      <c r="J550" s="497">
        <v>20000</v>
      </c>
      <c r="K550" s="497">
        <v>0</v>
      </c>
      <c r="L550" s="497">
        <f t="shared" si="90"/>
        <v>0</v>
      </c>
      <c r="M550" s="497">
        <v>0</v>
      </c>
      <c r="N550" s="497">
        <v>0</v>
      </c>
    </row>
    <row r="551" spans="1:14" s="530" customFormat="1" ht="14.25" hidden="1" customHeight="1">
      <c r="A551" s="1010"/>
      <c r="B551" s="1073"/>
      <c r="C551" s="1012"/>
      <c r="D551" s="1073"/>
      <c r="E551" s="1016"/>
      <c r="F551" s="1017"/>
      <c r="G551" s="495" t="s">
        <v>6</v>
      </c>
      <c r="H551" s="496">
        <f t="shared" si="88"/>
        <v>0</v>
      </c>
      <c r="I551" s="497">
        <f t="shared" si="89"/>
        <v>0</v>
      </c>
      <c r="J551" s="497">
        <v>0</v>
      </c>
      <c r="K551" s="497">
        <v>0</v>
      </c>
      <c r="L551" s="497">
        <f t="shared" si="90"/>
        <v>0</v>
      </c>
      <c r="M551" s="497">
        <v>0</v>
      </c>
      <c r="N551" s="497">
        <v>0</v>
      </c>
    </row>
    <row r="552" spans="1:14" s="530" customFormat="1" ht="14.25" hidden="1" customHeight="1">
      <c r="A552" s="1010"/>
      <c r="B552" s="1073"/>
      <c r="C552" s="1012"/>
      <c r="D552" s="1073"/>
      <c r="E552" s="1018"/>
      <c r="F552" s="1019"/>
      <c r="G552" s="495" t="s">
        <v>7</v>
      </c>
      <c r="H552" s="496">
        <f t="shared" si="88"/>
        <v>20000</v>
      </c>
      <c r="I552" s="497">
        <f t="shared" si="89"/>
        <v>20000</v>
      </c>
      <c r="J552" s="497">
        <f>J550+J551</f>
        <v>20000</v>
      </c>
      <c r="K552" s="497">
        <f>K550+K551</f>
        <v>0</v>
      </c>
      <c r="L552" s="497">
        <f t="shared" si="90"/>
        <v>0</v>
      </c>
      <c r="M552" s="497">
        <f>M550+M551</f>
        <v>0</v>
      </c>
      <c r="N552" s="497">
        <f>N550+N551</f>
        <v>0</v>
      </c>
    </row>
    <row r="553" spans="1:14" s="530" customFormat="1" ht="14.85" hidden="1" customHeight="1">
      <c r="A553" s="1010"/>
      <c r="B553" s="1020"/>
      <c r="C553" s="1012"/>
      <c r="D553" s="1013"/>
      <c r="E553" s="1014" t="s">
        <v>1068</v>
      </c>
      <c r="F553" s="1015"/>
      <c r="G553" s="495" t="s">
        <v>5</v>
      </c>
      <c r="H553" s="496">
        <f t="shared" si="88"/>
        <v>10000</v>
      </c>
      <c r="I553" s="497">
        <f t="shared" si="89"/>
        <v>10000</v>
      </c>
      <c r="J553" s="497">
        <v>0</v>
      </c>
      <c r="K553" s="497">
        <v>10000</v>
      </c>
      <c r="L553" s="497">
        <f t="shared" si="90"/>
        <v>0</v>
      </c>
      <c r="M553" s="497">
        <v>0</v>
      </c>
      <c r="N553" s="497">
        <v>0</v>
      </c>
    </row>
    <row r="554" spans="1:14" s="530" customFormat="1" ht="14.85" hidden="1" customHeight="1">
      <c r="A554" s="1010"/>
      <c r="B554" s="1073"/>
      <c r="C554" s="1012"/>
      <c r="D554" s="1073"/>
      <c r="E554" s="1016"/>
      <c r="F554" s="1017"/>
      <c r="G554" s="495" t="s">
        <v>6</v>
      </c>
      <c r="H554" s="496">
        <f t="shared" si="88"/>
        <v>0</v>
      </c>
      <c r="I554" s="497">
        <f t="shared" si="89"/>
        <v>0</v>
      </c>
      <c r="J554" s="497">
        <v>0</v>
      </c>
      <c r="K554" s="497">
        <v>0</v>
      </c>
      <c r="L554" s="497">
        <f t="shared" si="90"/>
        <v>0</v>
      </c>
      <c r="M554" s="497">
        <v>0</v>
      </c>
      <c r="N554" s="497">
        <v>0</v>
      </c>
    </row>
    <row r="555" spans="1:14" s="530" customFormat="1" ht="14.85" hidden="1" customHeight="1">
      <c r="A555" s="1010"/>
      <c r="B555" s="1073"/>
      <c r="C555" s="1012"/>
      <c r="D555" s="1073"/>
      <c r="E555" s="1018"/>
      <c r="F555" s="1019"/>
      <c r="G555" s="495" t="s">
        <v>7</v>
      </c>
      <c r="H555" s="496">
        <f t="shared" si="88"/>
        <v>10000</v>
      </c>
      <c r="I555" s="497">
        <f t="shared" si="89"/>
        <v>10000</v>
      </c>
      <c r="J555" s="497">
        <f>J553+J554</f>
        <v>0</v>
      </c>
      <c r="K555" s="497">
        <f>K553+K554</f>
        <v>10000</v>
      </c>
      <c r="L555" s="497">
        <f t="shared" si="90"/>
        <v>0</v>
      </c>
      <c r="M555" s="497">
        <f>M553+M554</f>
        <v>0</v>
      </c>
      <c r="N555" s="497">
        <f>N553+N554</f>
        <v>0</v>
      </c>
    </row>
    <row r="556" spans="1:14" s="530" customFormat="1" ht="14.85" hidden="1" customHeight="1">
      <c r="A556" s="1010"/>
      <c r="B556" s="1020"/>
      <c r="C556" s="1012"/>
      <c r="D556" s="1013"/>
      <c r="E556" s="1014" t="s">
        <v>1069</v>
      </c>
      <c r="F556" s="1015"/>
      <c r="G556" s="495" t="s">
        <v>5</v>
      </c>
      <c r="H556" s="496">
        <f t="shared" si="88"/>
        <v>20000</v>
      </c>
      <c r="I556" s="497">
        <f t="shared" si="89"/>
        <v>20000</v>
      </c>
      <c r="J556" s="497">
        <v>0</v>
      </c>
      <c r="K556" s="497">
        <v>20000</v>
      </c>
      <c r="L556" s="497">
        <f t="shared" si="90"/>
        <v>0</v>
      </c>
      <c r="M556" s="497">
        <v>0</v>
      </c>
      <c r="N556" s="497">
        <v>0</v>
      </c>
    </row>
    <row r="557" spans="1:14" s="530" customFormat="1" ht="14.85" hidden="1" customHeight="1">
      <c r="A557" s="1010"/>
      <c r="B557" s="1073"/>
      <c r="C557" s="1012"/>
      <c r="D557" s="1073"/>
      <c r="E557" s="1016"/>
      <c r="F557" s="1017"/>
      <c r="G557" s="495" t="s">
        <v>6</v>
      </c>
      <c r="H557" s="496">
        <f t="shared" si="88"/>
        <v>0</v>
      </c>
      <c r="I557" s="497">
        <f t="shared" si="89"/>
        <v>0</v>
      </c>
      <c r="J557" s="497">
        <v>0</v>
      </c>
      <c r="K557" s="497">
        <v>0</v>
      </c>
      <c r="L557" s="497">
        <f t="shared" si="90"/>
        <v>0</v>
      </c>
      <c r="M557" s="497">
        <v>0</v>
      </c>
      <c r="N557" s="497">
        <v>0</v>
      </c>
    </row>
    <row r="558" spans="1:14" s="530" customFormat="1" ht="14.85" hidden="1" customHeight="1">
      <c r="A558" s="1010"/>
      <c r="B558" s="1073"/>
      <c r="C558" s="1023"/>
      <c r="D558" s="1074"/>
      <c r="E558" s="1018"/>
      <c r="F558" s="1019"/>
      <c r="G558" s="495" t="s">
        <v>7</v>
      </c>
      <c r="H558" s="496">
        <f t="shared" si="88"/>
        <v>20000</v>
      </c>
      <c r="I558" s="497">
        <f t="shared" si="89"/>
        <v>20000</v>
      </c>
      <c r="J558" s="497">
        <f>J556+J557</f>
        <v>0</v>
      </c>
      <c r="K558" s="497">
        <f>K556+K557</f>
        <v>20000</v>
      </c>
      <c r="L558" s="497">
        <f t="shared" si="90"/>
        <v>0</v>
      </c>
      <c r="M558" s="497">
        <f>M556+M557</f>
        <v>0</v>
      </c>
      <c r="N558" s="497">
        <f>N556+N557</f>
        <v>0</v>
      </c>
    </row>
    <row r="559" spans="1:14" s="530" customFormat="1" ht="14.85" hidden="1" customHeight="1">
      <c r="A559" s="1010"/>
      <c r="B559" s="1020"/>
      <c r="C559" s="1052" t="s">
        <v>262</v>
      </c>
      <c r="D559" s="1053"/>
      <c r="E559" s="1075" t="s">
        <v>1070</v>
      </c>
      <c r="F559" s="1076"/>
      <c r="G559" s="495" t="s">
        <v>5</v>
      </c>
      <c r="H559" s="496">
        <f t="shared" si="88"/>
        <v>106000</v>
      </c>
      <c r="I559" s="497">
        <f t="shared" si="89"/>
        <v>106000</v>
      </c>
      <c r="J559" s="497">
        <v>106000</v>
      </c>
      <c r="K559" s="497">
        <v>0</v>
      </c>
      <c r="L559" s="497">
        <f t="shared" si="90"/>
        <v>0</v>
      </c>
      <c r="M559" s="497">
        <v>0</v>
      </c>
      <c r="N559" s="497">
        <v>0</v>
      </c>
    </row>
    <row r="560" spans="1:14" s="530" customFormat="1" ht="14.85" hidden="1" customHeight="1">
      <c r="A560" s="1010"/>
      <c r="B560" s="1073"/>
      <c r="C560" s="1012"/>
      <c r="D560" s="1073"/>
      <c r="E560" s="1077"/>
      <c r="F560" s="1078"/>
      <c r="G560" s="495" t="s">
        <v>6</v>
      </c>
      <c r="H560" s="496">
        <f t="shared" si="88"/>
        <v>0</v>
      </c>
      <c r="I560" s="497">
        <f t="shared" si="89"/>
        <v>0</v>
      </c>
      <c r="J560" s="497">
        <v>0</v>
      </c>
      <c r="K560" s="497">
        <v>0</v>
      </c>
      <c r="L560" s="497">
        <f t="shared" si="90"/>
        <v>0</v>
      </c>
      <c r="M560" s="497">
        <v>0</v>
      </c>
      <c r="N560" s="497">
        <v>0</v>
      </c>
    </row>
    <row r="561" spans="1:14" s="530" customFormat="1" ht="14.85" hidden="1" customHeight="1">
      <c r="A561" s="1010"/>
      <c r="B561" s="1073"/>
      <c r="C561" s="1012"/>
      <c r="D561" s="1073"/>
      <c r="E561" s="1079"/>
      <c r="F561" s="1080"/>
      <c r="G561" s="495" t="s">
        <v>7</v>
      </c>
      <c r="H561" s="496">
        <f t="shared" si="88"/>
        <v>106000</v>
      </c>
      <c r="I561" s="497">
        <f t="shared" si="89"/>
        <v>106000</v>
      </c>
      <c r="J561" s="497">
        <f>J559+J560</f>
        <v>106000</v>
      </c>
      <c r="K561" s="497">
        <f>K559+K560</f>
        <v>0</v>
      </c>
      <c r="L561" s="497">
        <f t="shared" si="90"/>
        <v>0</v>
      </c>
      <c r="M561" s="497">
        <f>M559+M560</f>
        <v>0</v>
      </c>
      <c r="N561" s="497">
        <f>N559+N560</f>
        <v>0</v>
      </c>
    </row>
    <row r="562" spans="1:14" s="530" customFormat="1" ht="14.45" customHeight="1">
      <c r="A562" s="1010"/>
      <c r="B562" s="1020"/>
      <c r="C562" s="1052" t="s">
        <v>262</v>
      </c>
      <c r="D562" s="1053"/>
      <c r="E562" s="1075" t="s">
        <v>1071</v>
      </c>
      <c r="F562" s="1076"/>
      <c r="G562" s="495" t="s">
        <v>5</v>
      </c>
      <c r="H562" s="496">
        <f t="shared" si="88"/>
        <v>576000</v>
      </c>
      <c r="I562" s="497">
        <f t="shared" si="89"/>
        <v>576000</v>
      </c>
      <c r="J562" s="497">
        <v>576000</v>
      </c>
      <c r="K562" s="497">
        <v>0</v>
      </c>
      <c r="L562" s="497">
        <f t="shared" si="90"/>
        <v>0</v>
      </c>
      <c r="M562" s="497">
        <v>0</v>
      </c>
      <c r="N562" s="497">
        <v>0</v>
      </c>
    </row>
    <row r="563" spans="1:14" s="530" customFormat="1" ht="14.45" customHeight="1">
      <c r="A563" s="1010"/>
      <c r="B563" s="1073"/>
      <c r="C563" s="1012"/>
      <c r="D563" s="1073"/>
      <c r="E563" s="1077"/>
      <c r="F563" s="1078"/>
      <c r="G563" s="495" t="s">
        <v>6</v>
      </c>
      <c r="H563" s="496">
        <f t="shared" si="88"/>
        <v>35558</v>
      </c>
      <c r="I563" s="497">
        <f t="shared" si="89"/>
        <v>35558</v>
      </c>
      <c r="J563" s="497">
        <v>35558</v>
      </c>
      <c r="K563" s="497">
        <v>0</v>
      </c>
      <c r="L563" s="497">
        <f t="shared" si="90"/>
        <v>0</v>
      </c>
      <c r="M563" s="497">
        <v>0</v>
      </c>
      <c r="N563" s="497">
        <v>0</v>
      </c>
    </row>
    <row r="564" spans="1:14" s="530" customFormat="1" ht="14.45" customHeight="1">
      <c r="A564" s="1010"/>
      <c r="B564" s="1073"/>
      <c r="C564" s="1012"/>
      <c r="D564" s="1073"/>
      <c r="E564" s="1079"/>
      <c r="F564" s="1080"/>
      <c r="G564" s="495" t="s">
        <v>7</v>
      </c>
      <c r="H564" s="496">
        <f t="shared" si="88"/>
        <v>611558</v>
      </c>
      <c r="I564" s="497">
        <f t="shared" si="89"/>
        <v>611558</v>
      </c>
      <c r="J564" s="497">
        <f>J562+J563</f>
        <v>611558</v>
      </c>
      <c r="K564" s="497">
        <f>K562+K563</f>
        <v>0</v>
      </c>
      <c r="L564" s="497">
        <f t="shared" si="90"/>
        <v>0</v>
      </c>
      <c r="M564" s="497">
        <f>M562+M563</f>
        <v>0</v>
      </c>
      <c r="N564" s="497">
        <f>N562+N563</f>
        <v>0</v>
      </c>
    </row>
    <row r="565" spans="1:14" s="530" customFormat="1" ht="14.45" customHeight="1">
      <c r="A565" s="1010"/>
      <c r="B565" s="1020"/>
      <c r="C565" s="1012"/>
      <c r="D565" s="1013"/>
      <c r="E565" s="1075" t="s">
        <v>1072</v>
      </c>
      <c r="F565" s="1076"/>
      <c r="G565" s="495" t="s">
        <v>5</v>
      </c>
      <c r="H565" s="496">
        <f t="shared" si="88"/>
        <v>1722000</v>
      </c>
      <c r="I565" s="497">
        <f t="shared" si="89"/>
        <v>1722000</v>
      </c>
      <c r="J565" s="497">
        <v>1722000</v>
      </c>
      <c r="K565" s="497">
        <v>0</v>
      </c>
      <c r="L565" s="497">
        <f t="shared" si="90"/>
        <v>0</v>
      </c>
      <c r="M565" s="497">
        <v>0</v>
      </c>
      <c r="N565" s="497">
        <v>0</v>
      </c>
    </row>
    <row r="566" spans="1:14" s="530" customFormat="1" ht="14.45" customHeight="1">
      <c r="A566" s="1010"/>
      <c r="B566" s="1073"/>
      <c r="C566" s="1012"/>
      <c r="D566" s="1073"/>
      <c r="E566" s="1077"/>
      <c r="F566" s="1078"/>
      <c r="G566" s="495" t="s">
        <v>6</v>
      </c>
      <c r="H566" s="496">
        <f t="shared" si="88"/>
        <v>174587</v>
      </c>
      <c r="I566" s="497">
        <f t="shared" si="89"/>
        <v>174587</v>
      </c>
      <c r="J566" s="497">
        <v>174587</v>
      </c>
      <c r="K566" s="497">
        <v>0</v>
      </c>
      <c r="L566" s="497">
        <f t="shared" si="90"/>
        <v>0</v>
      </c>
      <c r="M566" s="497">
        <v>0</v>
      </c>
      <c r="N566" s="497">
        <v>0</v>
      </c>
    </row>
    <row r="567" spans="1:14" s="530" customFormat="1" ht="14.45" customHeight="1">
      <c r="A567" s="1010"/>
      <c r="B567" s="1073"/>
      <c r="C567" s="1012"/>
      <c r="D567" s="1073"/>
      <c r="E567" s="1079"/>
      <c r="F567" s="1080"/>
      <c r="G567" s="495" t="s">
        <v>7</v>
      </c>
      <c r="H567" s="496">
        <f t="shared" si="88"/>
        <v>1896587</v>
      </c>
      <c r="I567" s="497">
        <f t="shared" si="89"/>
        <v>1896587</v>
      </c>
      <c r="J567" s="497">
        <f>J565+J566</f>
        <v>1896587</v>
      </c>
      <c r="K567" s="497">
        <f>K565+K566</f>
        <v>0</v>
      </c>
      <c r="L567" s="497">
        <f t="shared" si="90"/>
        <v>0</v>
      </c>
      <c r="M567" s="497">
        <f>M565+M566</f>
        <v>0</v>
      </c>
      <c r="N567" s="497">
        <f>N565+N566</f>
        <v>0</v>
      </c>
    </row>
    <row r="568" spans="1:14" s="530" customFormat="1" ht="14.25" customHeight="1">
      <c r="A568" s="1010"/>
      <c r="B568" s="1020"/>
      <c r="C568" s="1012"/>
      <c r="D568" s="1013"/>
      <c r="E568" s="1075" t="s">
        <v>1073</v>
      </c>
      <c r="F568" s="1076"/>
      <c r="G568" s="495" t="s">
        <v>5</v>
      </c>
      <c r="H568" s="496">
        <f t="shared" si="88"/>
        <v>21486</v>
      </c>
      <c r="I568" s="497">
        <f t="shared" si="89"/>
        <v>21486</v>
      </c>
      <c r="J568" s="497">
        <v>21486</v>
      </c>
      <c r="K568" s="497">
        <v>0</v>
      </c>
      <c r="L568" s="497">
        <f t="shared" si="90"/>
        <v>0</v>
      </c>
      <c r="M568" s="497">
        <v>0</v>
      </c>
      <c r="N568" s="497">
        <v>0</v>
      </c>
    </row>
    <row r="569" spans="1:14" s="530" customFormat="1" ht="14.25" customHeight="1">
      <c r="A569" s="1010"/>
      <c r="B569" s="1073"/>
      <c r="C569" s="1012"/>
      <c r="D569" s="1073"/>
      <c r="E569" s="1077"/>
      <c r="F569" s="1078"/>
      <c r="G569" s="495" t="s">
        <v>6</v>
      </c>
      <c r="H569" s="496">
        <f t="shared" si="88"/>
        <v>21486</v>
      </c>
      <c r="I569" s="497">
        <f t="shared" si="89"/>
        <v>21486</v>
      </c>
      <c r="J569" s="497">
        <v>21486</v>
      </c>
      <c r="K569" s="497">
        <v>0</v>
      </c>
      <c r="L569" s="497">
        <f t="shared" si="90"/>
        <v>0</v>
      </c>
      <c r="M569" s="497">
        <v>0</v>
      </c>
      <c r="N569" s="497">
        <v>0</v>
      </c>
    </row>
    <row r="570" spans="1:14" s="530" customFormat="1" ht="14.25" customHeight="1">
      <c r="A570" s="1010"/>
      <c r="B570" s="1073"/>
      <c r="C570" s="1012"/>
      <c r="D570" s="1073"/>
      <c r="E570" s="1079"/>
      <c r="F570" s="1080"/>
      <c r="G570" s="495" t="s">
        <v>7</v>
      </c>
      <c r="H570" s="496">
        <f t="shared" si="88"/>
        <v>42972</v>
      </c>
      <c r="I570" s="497">
        <f t="shared" si="89"/>
        <v>42972</v>
      </c>
      <c r="J570" s="497">
        <f>J568+J569</f>
        <v>42972</v>
      </c>
      <c r="K570" s="497">
        <f>K568+K569</f>
        <v>0</v>
      </c>
      <c r="L570" s="497">
        <f t="shared" si="90"/>
        <v>0</v>
      </c>
      <c r="M570" s="497">
        <f>M568+M569</f>
        <v>0</v>
      </c>
      <c r="N570" s="497">
        <f>N568+N569</f>
        <v>0</v>
      </c>
    </row>
    <row r="571" spans="1:14" s="530" customFormat="1" ht="15" hidden="1" customHeight="1">
      <c r="A571" s="1010"/>
      <c r="B571" s="1020"/>
      <c r="C571" s="1012"/>
      <c r="D571" s="1013"/>
      <c r="E571" s="1014" t="s">
        <v>1074</v>
      </c>
      <c r="F571" s="1015"/>
      <c r="G571" s="495" t="s">
        <v>5</v>
      </c>
      <c r="H571" s="496">
        <f t="shared" si="88"/>
        <v>29641</v>
      </c>
      <c r="I571" s="497">
        <f t="shared" si="89"/>
        <v>29641</v>
      </c>
      <c r="J571" s="497">
        <v>0</v>
      </c>
      <c r="K571" s="497">
        <v>29641</v>
      </c>
      <c r="L571" s="497">
        <f t="shared" si="90"/>
        <v>0</v>
      </c>
      <c r="M571" s="497">
        <v>0</v>
      </c>
      <c r="N571" s="497">
        <v>0</v>
      </c>
    </row>
    <row r="572" spans="1:14" s="530" customFormat="1" ht="15" hidden="1" customHeight="1">
      <c r="A572" s="1010"/>
      <c r="B572" s="1073"/>
      <c r="C572" s="1012"/>
      <c r="D572" s="1073"/>
      <c r="E572" s="1016"/>
      <c r="F572" s="1017"/>
      <c r="G572" s="495" t="s">
        <v>6</v>
      </c>
      <c r="H572" s="496">
        <f t="shared" si="88"/>
        <v>0</v>
      </c>
      <c r="I572" s="497">
        <f t="shared" si="89"/>
        <v>0</v>
      </c>
      <c r="J572" s="497">
        <v>0</v>
      </c>
      <c r="K572" s="497">
        <v>0</v>
      </c>
      <c r="L572" s="497">
        <f t="shared" si="90"/>
        <v>0</v>
      </c>
      <c r="M572" s="497">
        <v>0</v>
      </c>
      <c r="N572" s="497">
        <v>0</v>
      </c>
    </row>
    <row r="573" spans="1:14" s="530" customFormat="1" ht="15" hidden="1" customHeight="1">
      <c r="A573" s="1010"/>
      <c r="B573" s="1073"/>
      <c r="C573" s="1012"/>
      <c r="D573" s="1073"/>
      <c r="E573" s="1018"/>
      <c r="F573" s="1019"/>
      <c r="G573" s="495" t="s">
        <v>7</v>
      </c>
      <c r="H573" s="496">
        <f t="shared" si="88"/>
        <v>29641</v>
      </c>
      <c r="I573" s="497">
        <f t="shared" si="89"/>
        <v>29641</v>
      </c>
      <c r="J573" s="497">
        <f>J571+J572</f>
        <v>0</v>
      </c>
      <c r="K573" s="497">
        <f>K571+K572</f>
        <v>29641</v>
      </c>
      <c r="L573" s="497">
        <f t="shared" si="90"/>
        <v>0</v>
      </c>
      <c r="M573" s="497">
        <f>M571+M572</f>
        <v>0</v>
      </c>
      <c r="N573" s="497">
        <f>N571+N572</f>
        <v>0</v>
      </c>
    </row>
    <row r="574" spans="1:14" s="530" customFormat="1" ht="14.85" customHeight="1">
      <c r="A574" s="1010"/>
      <c r="B574" s="1020"/>
      <c r="C574" s="1012"/>
      <c r="D574" s="1013"/>
      <c r="E574" s="1054" t="s">
        <v>1075</v>
      </c>
      <c r="F574" s="1055"/>
      <c r="G574" s="495" t="s">
        <v>5</v>
      </c>
      <c r="H574" s="496">
        <f t="shared" si="88"/>
        <v>28515</v>
      </c>
      <c r="I574" s="497">
        <f t="shared" si="89"/>
        <v>28515</v>
      </c>
      <c r="J574" s="497">
        <v>28515</v>
      </c>
      <c r="K574" s="497">
        <v>0</v>
      </c>
      <c r="L574" s="497">
        <f t="shared" si="90"/>
        <v>0</v>
      </c>
      <c r="M574" s="497">
        <v>0</v>
      </c>
      <c r="N574" s="497">
        <v>0</v>
      </c>
    </row>
    <row r="575" spans="1:14" s="530" customFormat="1" ht="14.85" customHeight="1">
      <c r="A575" s="1010"/>
      <c r="B575" s="1073"/>
      <c r="C575" s="1012"/>
      <c r="D575" s="1073"/>
      <c r="E575" s="1056"/>
      <c r="F575" s="1057"/>
      <c r="G575" s="495" t="s">
        <v>6</v>
      </c>
      <c r="H575" s="496">
        <f t="shared" si="88"/>
        <v>174798</v>
      </c>
      <c r="I575" s="497">
        <f t="shared" si="89"/>
        <v>174798</v>
      </c>
      <c r="J575" s="497">
        <v>174798</v>
      </c>
      <c r="K575" s="497">
        <v>0</v>
      </c>
      <c r="L575" s="497">
        <f t="shared" si="90"/>
        <v>0</v>
      </c>
      <c r="M575" s="497">
        <v>0</v>
      </c>
      <c r="N575" s="497">
        <v>0</v>
      </c>
    </row>
    <row r="576" spans="1:14" s="530" customFormat="1" ht="14.85" customHeight="1">
      <c r="A576" s="1010"/>
      <c r="B576" s="1073"/>
      <c r="C576" s="1012"/>
      <c r="D576" s="1073"/>
      <c r="E576" s="1058"/>
      <c r="F576" s="1059"/>
      <c r="G576" s="495" t="s">
        <v>7</v>
      </c>
      <c r="H576" s="496">
        <f t="shared" si="88"/>
        <v>203313</v>
      </c>
      <c r="I576" s="497">
        <f t="shared" si="89"/>
        <v>203313</v>
      </c>
      <c r="J576" s="497">
        <f>J574+J575</f>
        <v>203313</v>
      </c>
      <c r="K576" s="497">
        <f>K574+K575</f>
        <v>0</v>
      </c>
      <c r="L576" s="497">
        <f t="shared" si="90"/>
        <v>0</v>
      </c>
      <c r="M576" s="497">
        <f>M574+M575</f>
        <v>0</v>
      </c>
      <c r="N576" s="497">
        <f>N574+N575</f>
        <v>0</v>
      </c>
    </row>
    <row r="577" spans="1:14" s="530" customFormat="1" ht="18" hidden="1" customHeight="1">
      <c r="A577" s="1010"/>
      <c r="B577" s="1020"/>
      <c r="C577" s="1012"/>
      <c r="D577" s="1013"/>
      <c r="E577" s="1054" t="s">
        <v>1076</v>
      </c>
      <c r="F577" s="1055"/>
      <c r="G577" s="495" t="s">
        <v>5</v>
      </c>
      <c r="H577" s="496">
        <f t="shared" si="88"/>
        <v>1148001</v>
      </c>
      <c r="I577" s="497">
        <f t="shared" si="89"/>
        <v>1148001</v>
      </c>
      <c r="J577" s="497">
        <v>1148001</v>
      </c>
      <c r="K577" s="497">
        <v>0</v>
      </c>
      <c r="L577" s="497">
        <f t="shared" si="90"/>
        <v>0</v>
      </c>
      <c r="M577" s="497">
        <v>0</v>
      </c>
      <c r="N577" s="497">
        <v>0</v>
      </c>
    </row>
    <row r="578" spans="1:14" s="530" customFormat="1" ht="18" hidden="1" customHeight="1">
      <c r="A578" s="1010"/>
      <c r="B578" s="1073"/>
      <c r="C578" s="1012"/>
      <c r="D578" s="1073"/>
      <c r="E578" s="1056"/>
      <c r="F578" s="1057"/>
      <c r="G578" s="495" t="s">
        <v>6</v>
      </c>
      <c r="H578" s="496">
        <f t="shared" si="88"/>
        <v>0</v>
      </c>
      <c r="I578" s="497">
        <f t="shared" si="89"/>
        <v>0</v>
      </c>
      <c r="J578" s="497">
        <v>0</v>
      </c>
      <c r="K578" s="497">
        <v>0</v>
      </c>
      <c r="L578" s="497">
        <f t="shared" si="90"/>
        <v>0</v>
      </c>
      <c r="M578" s="497">
        <v>0</v>
      </c>
      <c r="N578" s="497">
        <v>0</v>
      </c>
    </row>
    <row r="579" spans="1:14" s="530" customFormat="1" ht="18" hidden="1" customHeight="1">
      <c r="A579" s="1010"/>
      <c r="B579" s="1073"/>
      <c r="C579" s="1012"/>
      <c r="D579" s="1073"/>
      <c r="E579" s="1058"/>
      <c r="F579" s="1059"/>
      <c r="G579" s="495" t="s">
        <v>7</v>
      </c>
      <c r="H579" s="496">
        <f t="shared" si="88"/>
        <v>1148001</v>
      </c>
      <c r="I579" s="497">
        <f t="shared" si="89"/>
        <v>1148001</v>
      </c>
      <c r="J579" s="497">
        <f>J577+J578</f>
        <v>1148001</v>
      </c>
      <c r="K579" s="497">
        <f>K577+K578</f>
        <v>0</v>
      </c>
      <c r="L579" s="497">
        <f t="shared" si="90"/>
        <v>0</v>
      </c>
      <c r="M579" s="497">
        <f>M577+M578</f>
        <v>0</v>
      </c>
      <c r="N579" s="497">
        <f>N577+N578</f>
        <v>0</v>
      </c>
    </row>
    <row r="580" spans="1:14" s="530" customFormat="1" ht="17.25" customHeight="1">
      <c r="A580" s="1010"/>
      <c r="B580" s="1020"/>
      <c r="C580" s="1012"/>
      <c r="D580" s="1013"/>
      <c r="E580" s="1054" t="s">
        <v>1077</v>
      </c>
      <c r="F580" s="1055"/>
      <c r="G580" s="495" t="s">
        <v>5</v>
      </c>
      <c r="H580" s="496">
        <f t="shared" si="88"/>
        <v>1948869</v>
      </c>
      <c r="I580" s="497">
        <f t="shared" si="89"/>
        <v>1948869</v>
      </c>
      <c r="J580" s="497">
        <v>1948869</v>
      </c>
      <c r="K580" s="497">
        <v>0</v>
      </c>
      <c r="L580" s="497">
        <f t="shared" si="90"/>
        <v>0</v>
      </c>
      <c r="M580" s="497">
        <v>0</v>
      </c>
      <c r="N580" s="497">
        <v>0</v>
      </c>
    </row>
    <row r="581" spans="1:14" s="530" customFormat="1" ht="17.25" customHeight="1">
      <c r="A581" s="1010"/>
      <c r="B581" s="1073"/>
      <c r="C581" s="1012"/>
      <c r="D581" s="1073"/>
      <c r="E581" s="1056"/>
      <c r="F581" s="1057"/>
      <c r="G581" s="495" t="s">
        <v>6</v>
      </c>
      <c r="H581" s="496">
        <f t="shared" si="88"/>
        <v>3282249</v>
      </c>
      <c r="I581" s="497">
        <f t="shared" si="89"/>
        <v>3282249</v>
      </c>
      <c r="J581" s="497">
        <v>3282249</v>
      </c>
      <c r="K581" s="497">
        <v>0</v>
      </c>
      <c r="L581" s="497">
        <f t="shared" si="90"/>
        <v>0</v>
      </c>
      <c r="M581" s="497">
        <v>0</v>
      </c>
      <c r="N581" s="497">
        <v>0</v>
      </c>
    </row>
    <row r="582" spans="1:14" s="530" customFormat="1" ht="17.25" customHeight="1">
      <c r="A582" s="1010"/>
      <c r="B582" s="1073"/>
      <c r="C582" s="1012"/>
      <c r="D582" s="1073"/>
      <c r="E582" s="1058"/>
      <c r="F582" s="1059"/>
      <c r="G582" s="495" t="s">
        <v>7</v>
      </c>
      <c r="H582" s="496">
        <f t="shared" si="88"/>
        <v>5231118</v>
      </c>
      <c r="I582" s="497">
        <f t="shared" si="89"/>
        <v>5231118</v>
      </c>
      <c r="J582" s="497">
        <f>J580+J581</f>
        <v>5231118</v>
      </c>
      <c r="K582" s="497">
        <f>K580+K581</f>
        <v>0</v>
      </c>
      <c r="L582" s="497">
        <f t="shared" si="90"/>
        <v>0</v>
      </c>
      <c r="M582" s="497">
        <f>M580+M581</f>
        <v>0</v>
      </c>
      <c r="N582" s="497">
        <f>N580+N581</f>
        <v>0</v>
      </c>
    </row>
    <row r="583" spans="1:14" s="530" customFormat="1" ht="14.25" hidden="1" customHeight="1">
      <c r="A583" s="1010"/>
      <c r="B583" s="1020"/>
      <c r="C583" s="1012"/>
      <c r="D583" s="1013"/>
      <c r="E583" s="1054" t="s">
        <v>1078</v>
      </c>
      <c r="F583" s="1055"/>
      <c r="G583" s="495" t="s">
        <v>5</v>
      </c>
      <c r="H583" s="496">
        <f t="shared" si="88"/>
        <v>541274</v>
      </c>
      <c r="I583" s="497">
        <f t="shared" si="89"/>
        <v>541274</v>
      </c>
      <c r="J583" s="497">
        <v>498765</v>
      </c>
      <c r="K583" s="497">
        <v>42509</v>
      </c>
      <c r="L583" s="497">
        <f t="shared" si="90"/>
        <v>0</v>
      </c>
      <c r="M583" s="497">
        <v>0</v>
      </c>
      <c r="N583" s="497">
        <v>0</v>
      </c>
    </row>
    <row r="584" spans="1:14" s="530" customFormat="1" ht="14.25" hidden="1" customHeight="1">
      <c r="A584" s="1010"/>
      <c r="B584" s="1073"/>
      <c r="C584" s="1012"/>
      <c r="D584" s="1073"/>
      <c r="E584" s="1056"/>
      <c r="F584" s="1057"/>
      <c r="G584" s="495" t="s">
        <v>6</v>
      </c>
      <c r="H584" s="496">
        <f t="shared" si="88"/>
        <v>0</v>
      </c>
      <c r="I584" s="497">
        <f t="shared" si="89"/>
        <v>0</v>
      </c>
      <c r="J584" s="497">
        <v>0</v>
      </c>
      <c r="K584" s="497">
        <v>0</v>
      </c>
      <c r="L584" s="497">
        <f t="shared" si="90"/>
        <v>0</v>
      </c>
      <c r="M584" s="497">
        <v>0</v>
      </c>
      <c r="N584" s="497">
        <v>0</v>
      </c>
    </row>
    <row r="585" spans="1:14" s="530" customFormat="1" ht="14.25" hidden="1" customHeight="1">
      <c r="A585" s="1010"/>
      <c r="B585" s="1073"/>
      <c r="C585" s="1012"/>
      <c r="D585" s="1073"/>
      <c r="E585" s="1058"/>
      <c r="F585" s="1059"/>
      <c r="G585" s="495" t="s">
        <v>7</v>
      </c>
      <c r="H585" s="496">
        <f t="shared" si="88"/>
        <v>541274</v>
      </c>
      <c r="I585" s="497">
        <f t="shared" si="89"/>
        <v>541274</v>
      </c>
      <c r="J585" s="497">
        <f>J583+J584</f>
        <v>498765</v>
      </c>
      <c r="K585" s="497">
        <f>K583+K584</f>
        <v>42509</v>
      </c>
      <c r="L585" s="497">
        <f t="shared" si="90"/>
        <v>0</v>
      </c>
      <c r="M585" s="497">
        <f>M583+M584</f>
        <v>0</v>
      </c>
      <c r="N585" s="497">
        <f>N583+N584</f>
        <v>0</v>
      </c>
    </row>
    <row r="586" spans="1:14" s="530" customFormat="1" ht="14.25" hidden="1" customHeight="1">
      <c r="A586" s="1010"/>
      <c r="B586" s="1020"/>
      <c r="C586" s="1012"/>
      <c r="D586" s="1013"/>
      <c r="E586" s="1054" t="s">
        <v>1079</v>
      </c>
      <c r="F586" s="1055"/>
      <c r="G586" s="495" t="s">
        <v>5</v>
      </c>
      <c r="H586" s="496">
        <f t="shared" si="88"/>
        <v>1431933</v>
      </c>
      <c r="I586" s="497">
        <f t="shared" si="89"/>
        <v>1431933</v>
      </c>
      <c r="J586" s="497">
        <v>1294375</v>
      </c>
      <c r="K586" s="497">
        <v>137558</v>
      </c>
      <c r="L586" s="497">
        <f t="shared" si="90"/>
        <v>0</v>
      </c>
      <c r="M586" s="497">
        <v>0</v>
      </c>
      <c r="N586" s="497">
        <v>0</v>
      </c>
    </row>
    <row r="587" spans="1:14" s="530" customFormat="1" ht="14.25" hidden="1" customHeight="1">
      <c r="A587" s="1010"/>
      <c r="B587" s="1073"/>
      <c r="C587" s="1012"/>
      <c r="D587" s="1073"/>
      <c r="E587" s="1056"/>
      <c r="F587" s="1057"/>
      <c r="G587" s="495" t="s">
        <v>6</v>
      </c>
      <c r="H587" s="496">
        <f t="shared" si="88"/>
        <v>0</v>
      </c>
      <c r="I587" s="497">
        <f t="shared" si="89"/>
        <v>0</v>
      </c>
      <c r="J587" s="497">
        <v>0</v>
      </c>
      <c r="K587" s="497">
        <v>0</v>
      </c>
      <c r="L587" s="497">
        <f t="shared" si="90"/>
        <v>0</v>
      </c>
      <c r="M587" s="497">
        <v>0</v>
      </c>
      <c r="N587" s="497">
        <v>0</v>
      </c>
    </row>
    <row r="588" spans="1:14" s="530" customFormat="1" ht="14.25" hidden="1" customHeight="1">
      <c r="A588" s="1010"/>
      <c r="B588" s="1073"/>
      <c r="C588" s="1012"/>
      <c r="D588" s="1073"/>
      <c r="E588" s="1058"/>
      <c r="F588" s="1059"/>
      <c r="G588" s="495" t="s">
        <v>7</v>
      </c>
      <c r="H588" s="496">
        <f t="shared" si="88"/>
        <v>1431933</v>
      </c>
      <c r="I588" s="497">
        <f t="shared" si="89"/>
        <v>1431933</v>
      </c>
      <c r="J588" s="497">
        <f>J586+J587</f>
        <v>1294375</v>
      </c>
      <c r="K588" s="497">
        <f>K586+K587</f>
        <v>137558</v>
      </c>
      <c r="L588" s="497">
        <f t="shared" si="90"/>
        <v>0</v>
      </c>
      <c r="M588" s="497">
        <f>M586+M587</f>
        <v>0</v>
      </c>
      <c r="N588" s="497">
        <f>N586+N587</f>
        <v>0</v>
      </c>
    </row>
    <row r="589" spans="1:14" s="530" customFormat="1" ht="14.85" customHeight="1">
      <c r="A589" s="1010"/>
      <c r="B589" s="1020"/>
      <c r="C589" s="1012"/>
      <c r="D589" s="1013"/>
      <c r="E589" s="1054" t="s">
        <v>1080</v>
      </c>
      <c r="F589" s="1055"/>
      <c r="G589" s="495" t="s">
        <v>5</v>
      </c>
      <c r="H589" s="496">
        <f t="shared" si="88"/>
        <v>0</v>
      </c>
      <c r="I589" s="497">
        <f t="shared" si="89"/>
        <v>0</v>
      </c>
      <c r="J589" s="497">
        <v>0</v>
      </c>
      <c r="K589" s="497">
        <v>0</v>
      </c>
      <c r="L589" s="497">
        <f t="shared" si="90"/>
        <v>0</v>
      </c>
      <c r="M589" s="497">
        <v>0</v>
      </c>
      <c r="N589" s="497">
        <v>0</v>
      </c>
    </row>
    <row r="590" spans="1:14" s="530" customFormat="1" ht="14.85" customHeight="1">
      <c r="A590" s="1010"/>
      <c r="B590" s="1073"/>
      <c r="C590" s="1012"/>
      <c r="D590" s="1073"/>
      <c r="E590" s="1056"/>
      <c r="F590" s="1057"/>
      <c r="G590" s="495" t="s">
        <v>6</v>
      </c>
      <c r="H590" s="496">
        <f t="shared" si="88"/>
        <v>226310</v>
      </c>
      <c r="I590" s="497">
        <f t="shared" si="89"/>
        <v>226310</v>
      </c>
      <c r="J590" s="497">
        <v>21000</v>
      </c>
      <c r="K590" s="497">
        <v>205310</v>
      </c>
      <c r="L590" s="497">
        <f t="shared" si="90"/>
        <v>0</v>
      </c>
      <c r="M590" s="497">
        <v>0</v>
      </c>
      <c r="N590" s="497">
        <v>0</v>
      </c>
    </row>
    <row r="591" spans="1:14" s="530" customFormat="1" ht="14.85" customHeight="1">
      <c r="A591" s="1010"/>
      <c r="B591" s="1073"/>
      <c r="C591" s="1012"/>
      <c r="D591" s="1073"/>
      <c r="E591" s="1058"/>
      <c r="F591" s="1059"/>
      <c r="G591" s="495" t="s">
        <v>7</v>
      </c>
      <c r="H591" s="496">
        <f t="shared" si="88"/>
        <v>226310</v>
      </c>
      <c r="I591" s="497">
        <f t="shared" si="89"/>
        <v>226310</v>
      </c>
      <c r="J591" s="497">
        <f>J589+J590</f>
        <v>21000</v>
      </c>
      <c r="K591" s="497">
        <f>K589+K590</f>
        <v>205310</v>
      </c>
      <c r="L591" s="497">
        <f t="shared" si="90"/>
        <v>0</v>
      </c>
      <c r="M591" s="497">
        <f>M589+M590</f>
        <v>0</v>
      </c>
      <c r="N591" s="497">
        <f>N589+N590</f>
        <v>0</v>
      </c>
    </row>
    <row r="592" spans="1:14" s="530" customFormat="1" ht="14.25" hidden="1" customHeight="1">
      <c r="A592" s="1010"/>
      <c r="B592" s="1020"/>
      <c r="C592" s="1012" t="s">
        <v>360</v>
      </c>
      <c r="D592" s="1013"/>
      <c r="E592" s="1014" t="s">
        <v>1081</v>
      </c>
      <c r="F592" s="1061"/>
      <c r="G592" s="561" t="s">
        <v>5</v>
      </c>
      <c r="H592" s="496">
        <f t="shared" si="88"/>
        <v>1920475</v>
      </c>
      <c r="I592" s="497">
        <f t="shared" si="89"/>
        <v>1920475</v>
      </c>
      <c r="J592" s="497">
        <v>1920475</v>
      </c>
      <c r="K592" s="497">
        <v>0</v>
      </c>
      <c r="L592" s="497">
        <f t="shared" si="90"/>
        <v>0</v>
      </c>
      <c r="M592" s="497">
        <v>0</v>
      </c>
      <c r="N592" s="497">
        <v>0</v>
      </c>
    </row>
    <row r="593" spans="1:14" s="530" customFormat="1" ht="14.25" hidden="1" customHeight="1">
      <c r="A593" s="1010"/>
      <c r="B593" s="1070"/>
      <c r="C593" s="1012"/>
      <c r="D593" s="1070"/>
      <c r="E593" s="1066"/>
      <c r="F593" s="1067"/>
      <c r="G593" s="561" t="s">
        <v>6</v>
      </c>
      <c r="H593" s="496">
        <f t="shared" si="88"/>
        <v>0</v>
      </c>
      <c r="I593" s="497">
        <f t="shared" si="89"/>
        <v>0</v>
      </c>
      <c r="J593" s="497">
        <v>0</v>
      </c>
      <c r="K593" s="497">
        <v>0</v>
      </c>
      <c r="L593" s="497">
        <f t="shared" si="90"/>
        <v>0</v>
      </c>
      <c r="M593" s="497">
        <v>0</v>
      </c>
      <c r="N593" s="497">
        <v>0</v>
      </c>
    </row>
    <row r="594" spans="1:14" s="448" customFormat="1" ht="14.25" hidden="1" customHeight="1">
      <c r="A594" s="1025"/>
      <c r="B594" s="1071"/>
      <c r="C594" s="1027"/>
      <c r="D594" s="1071"/>
      <c r="E594" s="1068"/>
      <c r="F594" s="1069"/>
      <c r="G594" s="562" t="s">
        <v>7</v>
      </c>
      <c r="H594" s="528">
        <f t="shared" si="88"/>
        <v>1920475</v>
      </c>
      <c r="I594" s="529">
        <f t="shared" si="89"/>
        <v>1920475</v>
      </c>
      <c r="J594" s="529">
        <f>J592+J593</f>
        <v>1920475</v>
      </c>
      <c r="K594" s="529">
        <f>K592+K593</f>
        <v>0</v>
      </c>
      <c r="L594" s="529">
        <f t="shared" si="90"/>
        <v>0</v>
      </c>
      <c r="M594" s="529">
        <f>M592+M593</f>
        <v>0</v>
      </c>
      <c r="N594" s="529">
        <f>N592+N593</f>
        <v>0</v>
      </c>
    </row>
    <row r="595" spans="1:14" s="530" customFormat="1" ht="15" hidden="1" customHeight="1">
      <c r="A595" s="1010"/>
      <c r="B595" s="1020"/>
      <c r="C595" s="1052" t="s">
        <v>267</v>
      </c>
      <c r="D595" s="1053"/>
      <c r="E595" s="1014" t="s">
        <v>1068</v>
      </c>
      <c r="F595" s="1015"/>
      <c r="G595" s="495" t="s">
        <v>5</v>
      </c>
      <c r="H595" s="496">
        <f t="shared" si="88"/>
        <v>51000</v>
      </c>
      <c r="I595" s="497">
        <f t="shared" si="89"/>
        <v>51000</v>
      </c>
      <c r="J595" s="497">
        <v>0</v>
      </c>
      <c r="K595" s="497">
        <v>51000</v>
      </c>
      <c r="L595" s="497">
        <f t="shared" si="90"/>
        <v>0</v>
      </c>
      <c r="M595" s="497">
        <v>0</v>
      </c>
      <c r="N595" s="497">
        <v>0</v>
      </c>
    </row>
    <row r="596" spans="1:14" s="530" customFormat="1" ht="15" hidden="1" customHeight="1">
      <c r="A596" s="1010"/>
      <c r="B596" s="1073"/>
      <c r="C596" s="1012"/>
      <c r="D596" s="1073"/>
      <c r="E596" s="1016"/>
      <c r="F596" s="1017"/>
      <c r="G596" s="495" t="s">
        <v>6</v>
      </c>
      <c r="H596" s="496">
        <f t="shared" si="88"/>
        <v>0</v>
      </c>
      <c r="I596" s="497">
        <f t="shared" si="89"/>
        <v>0</v>
      </c>
      <c r="J596" s="497">
        <v>0</v>
      </c>
      <c r="K596" s="497">
        <v>0</v>
      </c>
      <c r="L596" s="497">
        <f t="shared" si="90"/>
        <v>0</v>
      </c>
      <c r="M596" s="497">
        <v>0</v>
      </c>
      <c r="N596" s="497">
        <v>0</v>
      </c>
    </row>
    <row r="597" spans="1:14" s="530" customFormat="1" ht="15" hidden="1" customHeight="1">
      <c r="A597" s="1010"/>
      <c r="B597" s="1073"/>
      <c r="C597" s="1012"/>
      <c r="D597" s="1073"/>
      <c r="E597" s="1018"/>
      <c r="F597" s="1019"/>
      <c r="G597" s="495" t="s">
        <v>7</v>
      </c>
      <c r="H597" s="496">
        <f t="shared" si="88"/>
        <v>51000</v>
      </c>
      <c r="I597" s="497">
        <f t="shared" si="89"/>
        <v>51000</v>
      </c>
      <c r="J597" s="497">
        <f>J595+J596</f>
        <v>0</v>
      </c>
      <c r="K597" s="497">
        <f>K595+K596</f>
        <v>51000</v>
      </c>
      <c r="L597" s="497">
        <f t="shared" si="90"/>
        <v>0</v>
      </c>
      <c r="M597" s="497">
        <f>M595+M596</f>
        <v>0</v>
      </c>
      <c r="N597" s="497">
        <f>N595+N596</f>
        <v>0</v>
      </c>
    </row>
    <row r="598" spans="1:14" s="530" customFormat="1" ht="14.85" customHeight="1">
      <c r="A598" s="1010"/>
      <c r="B598" s="1020"/>
      <c r="C598" s="1052" t="s">
        <v>267</v>
      </c>
      <c r="D598" s="1053"/>
      <c r="E598" s="1054" t="s">
        <v>1082</v>
      </c>
      <c r="F598" s="1055"/>
      <c r="G598" s="495" t="s">
        <v>5</v>
      </c>
      <c r="H598" s="496">
        <f t="shared" si="88"/>
        <v>165225</v>
      </c>
      <c r="I598" s="497">
        <f t="shared" si="89"/>
        <v>165225</v>
      </c>
      <c r="J598" s="497">
        <v>165225</v>
      </c>
      <c r="K598" s="497">
        <v>0</v>
      </c>
      <c r="L598" s="497">
        <f t="shared" si="90"/>
        <v>0</v>
      </c>
      <c r="M598" s="497">
        <v>0</v>
      </c>
      <c r="N598" s="497">
        <v>0</v>
      </c>
    </row>
    <row r="599" spans="1:14" s="530" customFormat="1" ht="14.85" customHeight="1">
      <c r="A599" s="1010"/>
      <c r="B599" s="1073"/>
      <c r="C599" s="1012"/>
      <c r="D599" s="1073"/>
      <c r="E599" s="1056"/>
      <c r="F599" s="1057"/>
      <c r="G599" s="495" t="s">
        <v>6</v>
      </c>
      <c r="H599" s="496">
        <f t="shared" si="88"/>
        <v>-129275</v>
      </c>
      <c r="I599" s="497">
        <f t="shared" si="89"/>
        <v>-129275</v>
      </c>
      <c r="J599" s="497">
        <v>-129275</v>
      </c>
      <c r="K599" s="497">
        <v>0</v>
      </c>
      <c r="L599" s="497">
        <f t="shared" si="90"/>
        <v>0</v>
      </c>
      <c r="M599" s="497">
        <v>0</v>
      </c>
      <c r="N599" s="497">
        <v>0</v>
      </c>
    </row>
    <row r="600" spans="1:14" s="530" customFormat="1" ht="14.85" customHeight="1">
      <c r="A600" s="1010"/>
      <c r="B600" s="1073"/>
      <c r="C600" s="1012"/>
      <c r="D600" s="1073"/>
      <c r="E600" s="1058"/>
      <c r="F600" s="1059"/>
      <c r="G600" s="495" t="s">
        <v>7</v>
      </c>
      <c r="H600" s="496">
        <f t="shared" si="88"/>
        <v>35950</v>
      </c>
      <c r="I600" s="497">
        <f t="shared" si="89"/>
        <v>35950</v>
      </c>
      <c r="J600" s="497">
        <f>J598+J599</f>
        <v>35950</v>
      </c>
      <c r="K600" s="497">
        <f>K598+K599</f>
        <v>0</v>
      </c>
      <c r="L600" s="497">
        <f t="shared" si="90"/>
        <v>0</v>
      </c>
      <c r="M600" s="497">
        <f>M598+M599</f>
        <v>0</v>
      </c>
      <c r="N600" s="497">
        <f>N598+N599</f>
        <v>0</v>
      </c>
    </row>
    <row r="601" spans="1:14" s="530" customFormat="1" ht="14.25" customHeight="1">
      <c r="A601" s="1010"/>
      <c r="B601" s="1020"/>
      <c r="C601" s="1012"/>
      <c r="D601" s="1013"/>
      <c r="E601" s="1014" t="s">
        <v>1083</v>
      </c>
      <c r="F601" s="1015"/>
      <c r="G601" s="495" t="s">
        <v>5</v>
      </c>
      <c r="H601" s="496">
        <f t="shared" si="88"/>
        <v>0</v>
      </c>
      <c r="I601" s="497">
        <f t="shared" si="89"/>
        <v>0</v>
      </c>
      <c r="J601" s="497">
        <v>0</v>
      </c>
      <c r="K601" s="497">
        <v>0</v>
      </c>
      <c r="L601" s="497">
        <f t="shared" si="90"/>
        <v>0</v>
      </c>
      <c r="M601" s="497">
        <v>0</v>
      </c>
      <c r="N601" s="497">
        <v>0</v>
      </c>
    </row>
    <row r="602" spans="1:14" s="530" customFormat="1" ht="14.25" customHeight="1">
      <c r="A602" s="1010"/>
      <c r="B602" s="1073"/>
      <c r="C602" s="1012"/>
      <c r="D602" s="1073"/>
      <c r="E602" s="1016"/>
      <c r="F602" s="1017"/>
      <c r="G602" s="495" t="s">
        <v>6</v>
      </c>
      <c r="H602" s="496">
        <f t="shared" si="88"/>
        <v>10000</v>
      </c>
      <c r="I602" s="497">
        <f t="shared" si="89"/>
        <v>10000</v>
      </c>
      <c r="J602" s="497">
        <v>0</v>
      </c>
      <c r="K602" s="497">
        <v>10000</v>
      </c>
      <c r="L602" s="497">
        <f t="shared" si="90"/>
        <v>0</v>
      </c>
      <c r="M602" s="497">
        <v>0</v>
      </c>
      <c r="N602" s="497">
        <v>0</v>
      </c>
    </row>
    <row r="603" spans="1:14" s="530" customFormat="1" ht="14.25" customHeight="1">
      <c r="A603" s="1010"/>
      <c r="B603" s="1073"/>
      <c r="C603" s="1012"/>
      <c r="D603" s="1073"/>
      <c r="E603" s="1018"/>
      <c r="F603" s="1019"/>
      <c r="G603" s="495" t="s">
        <v>7</v>
      </c>
      <c r="H603" s="496">
        <f t="shared" si="88"/>
        <v>10000</v>
      </c>
      <c r="I603" s="497">
        <f t="shared" si="89"/>
        <v>10000</v>
      </c>
      <c r="J603" s="497">
        <f>J601+J602</f>
        <v>0</v>
      </c>
      <c r="K603" s="497">
        <f>K601+K602</f>
        <v>10000</v>
      </c>
      <c r="L603" s="497">
        <f t="shared" si="90"/>
        <v>0</v>
      </c>
      <c r="M603" s="497">
        <f>M601+M602</f>
        <v>0</v>
      </c>
      <c r="N603" s="497">
        <f>N601+N602</f>
        <v>0</v>
      </c>
    </row>
    <row r="604" spans="1:14" s="530" customFormat="1" ht="14.25" customHeight="1">
      <c r="A604" s="1010"/>
      <c r="B604" s="1020"/>
      <c r="C604" s="1012"/>
      <c r="D604" s="1013"/>
      <c r="E604" s="1014" t="s">
        <v>1084</v>
      </c>
      <c r="F604" s="1015"/>
      <c r="G604" s="495" t="s">
        <v>5</v>
      </c>
      <c r="H604" s="496">
        <f t="shared" si="88"/>
        <v>0</v>
      </c>
      <c r="I604" s="497">
        <f t="shared" si="89"/>
        <v>0</v>
      </c>
      <c r="J604" s="497">
        <v>0</v>
      </c>
      <c r="K604" s="497">
        <v>0</v>
      </c>
      <c r="L604" s="497">
        <f t="shared" si="90"/>
        <v>0</v>
      </c>
      <c r="M604" s="497">
        <v>0</v>
      </c>
      <c r="N604" s="497">
        <v>0</v>
      </c>
    </row>
    <row r="605" spans="1:14" s="530" customFormat="1" ht="14.25" customHeight="1">
      <c r="A605" s="1010"/>
      <c r="B605" s="1073"/>
      <c r="C605" s="1012"/>
      <c r="D605" s="1073"/>
      <c r="E605" s="1016"/>
      <c r="F605" s="1017"/>
      <c r="G605" s="495" t="s">
        <v>6</v>
      </c>
      <c r="H605" s="496">
        <f t="shared" si="88"/>
        <v>6000</v>
      </c>
      <c r="I605" s="497">
        <f t="shared" si="89"/>
        <v>6000</v>
      </c>
      <c r="J605" s="497">
        <v>0</v>
      </c>
      <c r="K605" s="497">
        <v>6000</v>
      </c>
      <c r="L605" s="497">
        <f t="shared" si="90"/>
        <v>0</v>
      </c>
      <c r="M605" s="497">
        <v>0</v>
      </c>
      <c r="N605" s="497">
        <v>0</v>
      </c>
    </row>
    <row r="606" spans="1:14" s="530" customFormat="1" ht="14.25" customHeight="1">
      <c r="A606" s="1010"/>
      <c r="B606" s="1073"/>
      <c r="C606" s="1012"/>
      <c r="D606" s="1073"/>
      <c r="E606" s="1018"/>
      <c r="F606" s="1019"/>
      <c r="G606" s="495" t="s">
        <v>7</v>
      </c>
      <c r="H606" s="496">
        <f t="shared" si="88"/>
        <v>6000</v>
      </c>
      <c r="I606" s="497">
        <f t="shared" si="89"/>
        <v>6000</v>
      </c>
      <c r="J606" s="497">
        <f>J604+J605</f>
        <v>0</v>
      </c>
      <c r="K606" s="497">
        <f>K604+K605</f>
        <v>6000</v>
      </c>
      <c r="L606" s="497">
        <f t="shared" si="90"/>
        <v>0</v>
      </c>
      <c r="M606" s="497">
        <f>M604+M605</f>
        <v>0</v>
      </c>
      <c r="N606" s="497">
        <f>N604+N605</f>
        <v>0</v>
      </c>
    </row>
    <row r="607" spans="1:14" s="530" customFormat="1" ht="14.25" hidden="1" customHeight="1">
      <c r="A607" s="1010"/>
      <c r="B607" s="1020"/>
      <c r="C607" s="1012"/>
      <c r="D607" s="1013"/>
      <c r="E607" s="1014" t="s">
        <v>1085</v>
      </c>
      <c r="F607" s="1015"/>
      <c r="G607" s="495" t="s">
        <v>5</v>
      </c>
      <c r="H607" s="496">
        <f t="shared" si="88"/>
        <v>44917</v>
      </c>
      <c r="I607" s="497">
        <f t="shared" si="89"/>
        <v>44917</v>
      </c>
      <c r="J607" s="497">
        <v>44917</v>
      </c>
      <c r="K607" s="497">
        <v>0</v>
      </c>
      <c r="L607" s="497">
        <f t="shared" si="90"/>
        <v>0</v>
      </c>
      <c r="M607" s="497">
        <v>0</v>
      </c>
      <c r="N607" s="497">
        <v>0</v>
      </c>
    </row>
    <row r="608" spans="1:14" s="530" customFormat="1" ht="14.25" hidden="1" customHeight="1">
      <c r="A608" s="1010"/>
      <c r="B608" s="1073"/>
      <c r="C608" s="1012"/>
      <c r="D608" s="1073"/>
      <c r="E608" s="1016"/>
      <c r="F608" s="1017"/>
      <c r="G608" s="495" t="s">
        <v>6</v>
      </c>
      <c r="H608" s="496">
        <f t="shared" si="88"/>
        <v>0</v>
      </c>
      <c r="I608" s="497">
        <f t="shared" si="89"/>
        <v>0</v>
      </c>
      <c r="J608" s="497">
        <v>0</v>
      </c>
      <c r="K608" s="497">
        <v>0</v>
      </c>
      <c r="L608" s="497">
        <f t="shared" si="90"/>
        <v>0</v>
      </c>
      <c r="M608" s="497">
        <v>0</v>
      </c>
      <c r="N608" s="497">
        <v>0</v>
      </c>
    </row>
    <row r="609" spans="1:14" s="530" customFormat="1" ht="14.25" hidden="1" customHeight="1">
      <c r="A609" s="1010"/>
      <c r="B609" s="1073"/>
      <c r="C609" s="1012"/>
      <c r="D609" s="1073"/>
      <c r="E609" s="1018"/>
      <c r="F609" s="1019"/>
      <c r="G609" s="495" t="s">
        <v>7</v>
      </c>
      <c r="H609" s="496">
        <f t="shared" si="88"/>
        <v>44917</v>
      </c>
      <c r="I609" s="497">
        <f t="shared" si="89"/>
        <v>44917</v>
      </c>
      <c r="J609" s="497">
        <f>J607+J608</f>
        <v>44917</v>
      </c>
      <c r="K609" s="497">
        <f>K607+K608</f>
        <v>0</v>
      </c>
      <c r="L609" s="497">
        <f t="shared" si="90"/>
        <v>0</v>
      </c>
      <c r="M609" s="497">
        <f>M607+M608</f>
        <v>0</v>
      </c>
      <c r="N609" s="497">
        <f>N607+N608</f>
        <v>0</v>
      </c>
    </row>
    <row r="610" spans="1:14" s="530" customFormat="1" ht="15" hidden="1" customHeight="1">
      <c r="A610" s="1010"/>
      <c r="B610" s="1020"/>
      <c r="C610" s="1012"/>
      <c r="D610" s="1013"/>
      <c r="E610" s="1014" t="s">
        <v>1086</v>
      </c>
      <c r="F610" s="1015"/>
      <c r="G610" s="495" t="s">
        <v>5</v>
      </c>
      <c r="H610" s="496">
        <f t="shared" si="88"/>
        <v>91000</v>
      </c>
      <c r="I610" s="497">
        <f t="shared" si="89"/>
        <v>91000</v>
      </c>
      <c r="J610" s="497">
        <v>0</v>
      </c>
      <c r="K610" s="497">
        <v>91000</v>
      </c>
      <c r="L610" s="497">
        <f t="shared" si="90"/>
        <v>0</v>
      </c>
      <c r="M610" s="497">
        <v>0</v>
      </c>
      <c r="N610" s="497">
        <v>0</v>
      </c>
    </row>
    <row r="611" spans="1:14" s="530" customFormat="1" ht="15" hidden="1" customHeight="1">
      <c r="A611" s="1010"/>
      <c r="B611" s="1073"/>
      <c r="C611" s="1012"/>
      <c r="D611" s="1073"/>
      <c r="E611" s="1016"/>
      <c r="F611" s="1017"/>
      <c r="G611" s="495" t="s">
        <v>6</v>
      </c>
      <c r="H611" s="496">
        <f t="shared" si="88"/>
        <v>0</v>
      </c>
      <c r="I611" s="497">
        <f t="shared" si="89"/>
        <v>0</v>
      </c>
      <c r="J611" s="497">
        <v>0</v>
      </c>
      <c r="K611" s="497">
        <v>0</v>
      </c>
      <c r="L611" s="497">
        <f t="shared" si="90"/>
        <v>0</v>
      </c>
      <c r="M611" s="497">
        <v>0</v>
      </c>
      <c r="N611" s="497">
        <v>0</v>
      </c>
    </row>
    <row r="612" spans="1:14" s="530" customFormat="1" ht="15" hidden="1" customHeight="1">
      <c r="A612" s="1010"/>
      <c r="B612" s="1073"/>
      <c r="C612" s="1012"/>
      <c r="D612" s="1073"/>
      <c r="E612" s="1018"/>
      <c r="F612" s="1019"/>
      <c r="G612" s="495" t="s">
        <v>7</v>
      </c>
      <c r="H612" s="496">
        <f t="shared" si="88"/>
        <v>91000</v>
      </c>
      <c r="I612" s="497">
        <f t="shared" si="89"/>
        <v>91000</v>
      </c>
      <c r="J612" s="497">
        <f>J610+J611</f>
        <v>0</v>
      </c>
      <c r="K612" s="497">
        <f>K610+K611</f>
        <v>91000</v>
      </c>
      <c r="L612" s="497">
        <f t="shared" si="90"/>
        <v>0</v>
      </c>
      <c r="M612" s="497">
        <f>M610+M611</f>
        <v>0</v>
      </c>
      <c r="N612" s="497">
        <f>N610+N611</f>
        <v>0</v>
      </c>
    </row>
    <row r="613" spans="1:14" s="530" customFormat="1" ht="15" hidden="1" customHeight="1">
      <c r="A613" s="1010"/>
      <c r="B613" s="1020"/>
      <c r="C613" s="1012"/>
      <c r="D613" s="1013"/>
      <c r="E613" s="1014" t="s">
        <v>1087</v>
      </c>
      <c r="F613" s="1015"/>
      <c r="G613" s="495" t="s">
        <v>5</v>
      </c>
      <c r="H613" s="496">
        <f t="shared" si="88"/>
        <v>171200</v>
      </c>
      <c r="I613" s="497">
        <f t="shared" si="89"/>
        <v>171200</v>
      </c>
      <c r="J613" s="497">
        <v>171200</v>
      </c>
      <c r="K613" s="497">
        <v>0</v>
      </c>
      <c r="L613" s="497">
        <f t="shared" si="90"/>
        <v>0</v>
      </c>
      <c r="M613" s="497">
        <v>0</v>
      </c>
      <c r="N613" s="497">
        <v>0</v>
      </c>
    </row>
    <row r="614" spans="1:14" s="530" customFormat="1" ht="15" hidden="1" customHeight="1">
      <c r="A614" s="1010"/>
      <c r="B614" s="1073"/>
      <c r="C614" s="1012"/>
      <c r="D614" s="1073"/>
      <c r="E614" s="1016"/>
      <c r="F614" s="1017"/>
      <c r="G614" s="495" t="s">
        <v>6</v>
      </c>
      <c r="H614" s="496">
        <f t="shared" si="88"/>
        <v>0</v>
      </c>
      <c r="I614" s="497">
        <f t="shared" si="89"/>
        <v>0</v>
      </c>
      <c r="J614" s="497">
        <v>0</v>
      </c>
      <c r="K614" s="497">
        <v>0</v>
      </c>
      <c r="L614" s="497">
        <f t="shared" si="90"/>
        <v>0</v>
      </c>
      <c r="M614" s="497">
        <v>0</v>
      </c>
      <c r="N614" s="497">
        <v>0</v>
      </c>
    </row>
    <row r="615" spans="1:14" s="530" customFormat="1" ht="15" hidden="1" customHeight="1">
      <c r="A615" s="1010"/>
      <c r="B615" s="1073"/>
      <c r="C615" s="1023"/>
      <c r="D615" s="1074"/>
      <c r="E615" s="1018"/>
      <c r="F615" s="1019"/>
      <c r="G615" s="495" t="s">
        <v>7</v>
      </c>
      <c r="H615" s="496">
        <f t="shared" si="88"/>
        <v>171200</v>
      </c>
      <c r="I615" s="497">
        <f t="shared" si="89"/>
        <v>171200</v>
      </c>
      <c r="J615" s="497">
        <f>J613+J614</f>
        <v>171200</v>
      </c>
      <c r="K615" s="497">
        <f>K613+K614</f>
        <v>0</v>
      </c>
      <c r="L615" s="497">
        <f t="shared" si="90"/>
        <v>0</v>
      </c>
      <c r="M615" s="497">
        <f>M613+M614</f>
        <v>0</v>
      </c>
      <c r="N615" s="497">
        <f>N613+N614</f>
        <v>0</v>
      </c>
    </row>
    <row r="616" spans="1:14" s="530" customFormat="1" ht="15" hidden="1" customHeight="1">
      <c r="A616" s="1010"/>
      <c r="B616" s="1020"/>
      <c r="C616" s="1052" t="s">
        <v>270</v>
      </c>
      <c r="D616" s="1053"/>
      <c r="E616" s="1014" t="s">
        <v>1088</v>
      </c>
      <c r="F616" s="1015"/>
      <c r="G616" s="495" t="s">
        <v>5</v>
      </c>
      <c r="H616" s="496">
        <f t="shared" si="88"/>
        <v>59000</v>
      </c>
      <c r="I616" s="497">
        <f t="shared" si="89"/>
        <v>59000</v>
      </c>
      <c r="J616" s="497">
        <v>59000</v>
      </c>
      <c r="K616" s="497">
        <v>0</v>
      </c>
      <c r="L616" s="497">
        <f t="shared" si="90"/>
        <v>0</v>
      </c>
      <c r="M616" s="497">
        <v>0</v>
      </c>
      <c r="N616" s="497">
        <v>0</v>
      </c>
    </row>
    <row r="617" spans="1:14" s="530" customFormat="1" ht="15" hidden="1" customHeight="1">
      <c r="A617" s="1010"/>
      <c r="B617" s="1073"/>
      <c r="C617" s="1012"/>
      <c r="D617" s="1073"/>
      <c r="E617" s="1016"/>
      <c r="F617" s="1017"/>
      <c r="G617" s="495" t="s">
        <v>6</v>
      </c>
      <c r="H617" s="496">
        <f t="shared" si="88"/>
        <v>0</v>
      </c>
      <c r="I617" s="497">
        <f t="shared" si="89"/>
        <v>0</v>
      </c>
      <c r="J617" s="497">
        <v>0</v>
      </c>
      <c r="K617" s="497">
        <v>0</v>
      </c>
      <c r="L617" s="497">
        <f t="shared" si="90"/>
        <v>0</v>
      </c>
      <c r="M617" s="497">
        <v>0</v>
      </c>
      <c r="N617" s="497">
        <v>0</v>
      </c>
    </row>
    <row r="618" spans="1:14" s="530" customFormat="1" ht="15" hidden="1" customHeight="1">
      <c r="A618" s="1010"/>
      <c r="B618" s="1073"/>
      <c r="C618" s="1012"/>
      <c r="D618" s="1073"/>
      <c r="E618" s="1018"/>
      <c r="F618" s="1019"/>
      <c r="G618" s="495" t="s">
        <v>7</v>
      </c>
      <c r="H618" s="496">
        <f t="shared" si="88"/>
        <v>59000</v>
      </c>
      <c r="I618" s="497">
        <f t="shared" si="89"/>
        <v>59000</v>
      </c>
      <c r="J618" s="497">
        <f>J616+J617</f>
        <v>59000</v>
      </c>
      <c r="K618" s="497">
        <f>K616+K617</f>
        <v>0</v>
      </c>
      <c r="L618" s="497">
        <f t="shared" si="90"/>
        <v>0</v>
      </c>
      <c r="M618" s="497">
        <f>M616+M617</f>
        <v>0</v>
      </c>
      <c r="N618" s="497">
        <f>N616+N617</f>
        <v>0</v>
      </c>
    </row>
    <row r="619" spans="1:14" s="530" customFormat="1" ht="14.25" hidden="1" customHeight="1">
      <c r="A619" s="1010"/>
      <c r="B619" s="1020"/>
      <c r="C619" s="1012"/>
      <c r="D619" s="1013"/>
      <c r="E619" s="1016" t="s">
        <v>1089</v>
      </c>
      <c r="F619" s="1062"/>
      <c r="G619" s="563" t="s">
        <v>5</v>
      </c>
      <c r="H619" s="549">
        <f t="shared" ref="H619:H697" si="91">I619+L619</f>
        <v>20000</v>
      </c>
      <c r="I619" s="550">
        <f t="shared" ref="I619:I697" si="92">J619+K619</f>
        <v>20000</v>
      </c>
      <c r="J619" s="550">
        <v>0</v>
      </c>
      <c r="K619" s="550">
        <v>20000</v>
      </c>
      <c r="L619" s="550">
        <f t="shared" ref="L619:L697" si="93">M619+N619</f>
        <v>0</v>
      </c>
      <c r="M619" s="550">
        <v>0</v>
      </c>
      <c r="N619" s="550">
        <v>0</v>
      </c>
    </row>
    <row r="620" spans="1:14" s="530" customFormat="1" ht="14.25" hidden="1" customHeight="1">
      <c r="A620" s="1010"/>
      <c r="B620" s="1020"/>
      <c r="C620" s="1012"/>
      <c r="D620" s="1013"/>
      <c r="E620" s="1016"/>
      <c r="F620" s="1062"/>
      <c r="G620" s="558" t="s">
        <v>6</v>
      </c>
      <c r="H620" s="496">
        <f t="shared" si="91"/>
        <v>0</v>
      </c>
      <c r="I620" s="497">
        <f t="shared" si="92"/>
        <v>0</v>
      </c>
      <c r="J620" s="497">
        <v>0</v>
      </c>
      <c r="K620" s="497">
        <v>0</v>
      </c>
      <c r="L620" s="497">
        <f t="shared" si="93"/>
        <v>0</v>
      </c>
      <c r="M620" s="497">
        <v>0</v>
      </c>
      <c r="N620" s="497">
        <v>0</v>
      </c>
    </row>
    <row r="621" spans="1:14" s="448" customFormat="1" ht="14.25" hidden="1" customHeight="1">
      <c r="A621" s="1025"/>
      <c r="B621" s="1026"/>
      <c r="C621" s="1027"/>
      <c r="D621" s="1028"/>
      <c r="E621" s="1018"/>
      <c r="F621" s="1063"/>
      <c r="G621" s="527" t="s">
        <v>7</v>
      </c>
      <c r="H621" s="528">
        <f t="shared" si="91"/>
        <v>20000</v>
      </c>
      <c r="I621" s="529">
        <f t="shared" si="92"/>
        <v>20000</v>
      </c>
      <c r="J621" s="529">
        <f>J619+J620</f>
        <v>0</v>
      </c>
      <c r="K621" s="529">
        <f>K619+K620</f>
        <v>20000</v>
      </c>
      <c r="L621" s="529">
        <f t="shared" si="93"/>
        <v>0</v>
      </c>
      <c r="M621" s="529">
        <f>M619+M620</f>
        <v>0</v>
      </c>
      <c r="N621" s="529">
        <f>N619+N620</f>
        <v>0</v>
      </c>
    </row>
    <row r="622" spans="1:14" s="530" customFormat="1" ht="14.25" hidden="1" customHeight="1">
      <c r="A622" s="1010"/>
      <c r="B622" s="1020"/>
      <c r="C622" s="1012"/>
      <c r="D622" s="1013"/>
      <c r="E622" s="1016" t="s">
        <v>1090</v>
      </c>
      <c r="F622" s="1062"/>
      <c r="G622" s="526" t="s">
        <v>5</v>
      </c>
      <c r="H622" s="496">
        <f t="shared" si="91"/>
        <v>21200</v>
      </c>
      <c r="I622" s="497">
        <f t="shared" si="92"/>
        <v>21200</v>
      </c>
      <c r="J622" s="497">
        <v>0</v>
      </c>
      <c r="K622" s="497">
        <v>21200</v>
      </c>
      <c r="L622" s="497">
        <f t="shared" si="93"/>
        <v>0</v>
      </c>
      <c r="M622" s="497">
        <v>0</v>
      </c>
      <c r="N622" s="497">
        <v>0</v>
      </c>
    </row>
    <row r="623" spans="1:14" s="530" customFormat="1" ht="14.25" hidden="1" customHeight="1">
      <c r="A623" s="1010"/>
      <c r="B623" s="1020"/>
      <c r="C623" s="1012"/>
      <c r="D623" s="1013"/>
      <c r="E623" s="1016"/>
      <c r="F623" s="1062"/>
      <c r="G623" s="526" t="s">
        <v>6</v>
      </c>
      <c r="H623" s="496">
        <f t="shared" si="91"/>
        <v>0</v>
      </c>
      <c r="I623" s="497">
        <f t="shared" si="92"/>
        <v>0</v>
      </c>
      <c r="J623" s="497">
        <v>0</v>
      </c>
      <c r="K623" s="497">
        <v>0</v>
      </c>
      <c r="L623" s="497">
        <f t="shared" si="93"/>
        <v>0</v>
      </c>
      <c r="M623" s="497">
        <v>0</v>
      </c>
      <c r="N623" s="497">
        <v>0</v>
      </c>
    </row>
    <row r="624" spans="1:14" s="448" customFormat="1" ht="14.25" hidden="1" customHeight="1">
      <c r="A624" s="1025"/>
      <c r="B624" s="1026"/>
      <c r="C624" s="1027"/>
      <c r="D624" s="1028"/>
      <c r="E624" s="1018"/>
      <c r="F624" s="1063"/>
      <c r="G624" s="564" t="s">
        <v>7</v>
      </c>
      <c r="H624" s="496">
        <f t="shared" si="91"/>
        <v>21200</v>
      </c>
      <c r="I624" s="497">
        <f t="shared" si="92"/>
        <v>21200</v>
      </c>
      <c r="J624" s="497">
        <f>J622+J623</f>
        <v>0</v>
      </c>
      <c r="K624" s="497">
        <f>K622+K623</f>
        <v>21200</v>
      </c>
      <c r="L624" s="497">
        <f t="shared" si="93"/>
        <v>0</v>
      </c>
      <c r="M624" s="497">
        <f>M622+M623</f>
        <v>0</v>
      </c>
      <c r="N624" s="497">
        <f>N622+N623</f>
        <v>0</v>
      </c>
    </row>
    <row r="625" spans="1:14" s="530" customFormat="1" ht="15" hidden="1" customHeight="1">
      <c r="A625" s="1010"/>
      <c r="B625" s="1020"/>
      <c r="C625" s="1052" t="s">
        <v>273</v>
      </c>
      <c r="D625" s="1053"/>
      <c r="E625" s="1014" t="s">
        <v>1091</v>
      </c>
      <c r="F625" s="1015"/>
      <c r="G625" s="495" t="s">
        <v>5</v>
      </c>
      <c r="H625" s="496">
        <f t="shared" si="91"/>
        <v>6000</v>
      </c>
      <c r="I625" s="497">
        <f t="shared" si="92"/>
        <v>6000</v>
      </c>
      <c r="J625" s="497">
        <v>0</v>
      </c>
      <c r="K625" s="497">
        <v>6000</v>
      </c>
      <c r="L625" s="497">
        <f t="shared" si="93"/>
        <v>0</v>
      </c>
      <c r="M625" s="497">
        <v>0</v>
      </c>
      <c r="N625" s="497">
        <v>0</v>
      </c>
    </row>
    <row r="626" spans="1:14" s="530" customFormat="1" ht="15" hidden="1" customHeight="1">
      <c r="A626" s="1010"/>
      <c r="B626" s="1073"/>
      <c r="C626" s="1012"/>
      <c r="D626" s="1073"/>
      <c r="E626" s="1016"/>
      <c r="F626" s="1017"/>
      <c r="G626" s="495" t="s">
        <v>6</v>
      </c>
      <c r="H626" s="496">
        <f t="shared" si="91"/>
        <v>0</v>
      </c>
      <c r="I626" s="497">
        <f t="shared" si="92"/>
        <v>0</v>
      </c>
      <c r="J626" s="497">
        <v>0</v>
      </c>
      <c r="K626" s="497">
        <v>0</v>
      </c>
      <c r="L626" s="497">
        <f t="shared" si="93"/>
        <v>0</v>
      </c>
      <c r="M626" s="497">
        <v>0</v>
      </c>
      <c r="N626" s="497">
        <v>0</v>
      </c>
    </row>
    <row r="627" spans="1:14" s="530" customFormat="1" ht="15" hidden="1" customHeight="1">
      <c r="A627" s="1010"/>
      <c r="B627" s="1073"/>
      <c r="C627" s="1012"/>
      <c r="D627" s="1073"/>
      <c r="E627" s="1018"/>
      <c r="F627" s="1019"/>
      <c r="G627" s="495" t="s">
        <v>7</v>
      </c>
      <c r="H627" s="496">
        <f t="shared" si="91"/>
        <v>6000</v>
      </c>
      <c r="I627" s="497">
        <f t="shared" si="92"/>
        <v>6000</v>
      </c>
      <c r="J627" s="497">
        <f>J625+J626</f>
        <v>0</v>
      </c>
      <c r="K627" s="497">
        <f>K625+K626</f>
        <v>6000</v>
      </c>
      <c r="L627" s="497">
        <f t="shared" si="93"/>
        <v>0</v>
      </c>
      <c r="M627" s="497">
        <f>M625+M626</f>
        <v>0</v>
      </c>
      <c r="N627" s="497">
        <f>N625+N626</f>
        <v>0</v>
      </c>
    </row>
    <row r="628" spans="1:14" s="530" customFormat="1" ht="15" hidden="1" customHeight="1">
      <c r="A628" s="1010"/>
      <c r="B628" s="1020"/>
      <c r="C628" s="1012"/>
      <c r="D628" s="1013"/>
      <c r="E628" s="1014" t="s">
        <v>1092</v>
      </c>
      <c r="F628" s="1015"/>
      <c r="G628" s="495" t="s">
        <v>5</v>
      </c>
      <c r="H628" s="496">
        <f t="shared" si="91"/>
        <v>25500</v>
      </c>
      <c r="I628" s="497">
        <f t="shared" si="92"/>
        <v>25500</v>
      </c>
      <c r="J628" s="497">
        <v>25500</v>
      </c>
      <c r="K628" s="497">
        <v>0</v>
      </c>
      <c r="L628" s="497">
        <f t="shared" si="93"/>
        <v>0</v>
      </c>
      <c r="M628" s="497">
        <v>0</v>
      </c>
      <c r="N628" s="497">
        <v>0</v>
      </c>
    </row>
    <row r="629" spans="1:14" s="530" customFormat="1" ht="15" hidden="1" customHeight="1">
      <c r="A629" s="1010"/>
      <c r="B629" s="1073"/>
      <c r="C629" s="1012"/>
      <c r="D629" s="1073"/>
      <c r="E629" s="1016"/>
      <c r="F629" s="1017"/>
      <c r="G629" s="495" t="s">
        <v>6</v>
      </c>
      <c r="H629" s="496">
        <f t="shared" si="91"/>
        <v>0</v>
      </c>
      <c r="I629" s="497">
        <f t="shared" si="92"/>
        <v>0</v>
      </c>
      <c r="J629" s="497">
        <v>0</v>
      </c>
      <c r="K629" s="497">
        <v>0</v>
      </c>
      <c r="L629" s="497">
        <f t="shared" si="93"/>
        <v>0</v>
      </c>
      <c r="M629" s="497">
        <v>0</v>
      </c>
      <c r="N629" s="497">
        <v>0</v>
      </c>
    </row>
    <row r="630" spans="1:14" s="530" customFormat="1" ht="15" hidden="1" customHeight="1">
      <c r="A630" s="1010"/>
      <c r="B630" s="1073"/>
      <c r="C630" s="1012"/>
      <c r="D630" s="1073"/>
      <c r="E630" s="1018"/>
      <c r="F630" s="1019"/>
      <c r="G630" s="495" t="s">
        <v>7</v>
      </c>
      <c r="H630" s="496">
        <f t="shared" si="91"/>
        <v>25500</v>
      </c>
      <c r="I630" s="497">
        <f t="shared" si="92"/>
        <v>25500</v>
      </c>
      <c r="J630" s="497">
        <f>J628+J629</f>
        <v>25500</v>
      </c>
      <c r="K630" s="497">
        <f>K628+K629</f>
        <v>0</v>
      </c>
      <c r="L630" s="497">
        <f t="shared" si="93"/>
        <v>0</v>
      </c>
      <c r="M630" s="497">
        <f>M628+M629</f>
        <v>0</v>
      </c>
      <c r="N630" s="497">
        <f>N628+N629</f>
        <v>0</v>
      </c>
    </row>
    <row r="631" spans="1:14" s="530" customFormat="1" ht="14.85" hidden="1" customHeight="1">
      <c r="A631" s="1010"/>
      <c r="B631" s="1020"/>
      <c r="C631" s="1012"/>
      <c r="D631" s="1013"/>
      <c r="E631" s="1014" t="s">
        <v>1093</v>
      </c>
      <c r="F631" s="1015"/>
      <c r="G631" s="495" t="s">
        <v>5</v>
      </c>
      <c r="H631" s="496">
        <f t="shared" si="91"/>
        <v>34200</v>
      </c>
      <c r="I631" s="497">
        <f t="shared" si="92"/>
        <v>34200</v>
      </c>
      <c r="J631" s="497">
        <v>21400</v>
      </c>
      <c r="K631" s="497">
        <v>12800</v>
      </c>
      <c r="L631" s="497">
        <f t="shared" si="93"/>
        <v>0</v>
      </c>
      <c r="M631" s="497">
        <v>0</v>
      </c>
      <c r="N631" s="497">
        <v>0</v>
      </c>
    </row>
    <row r="632" spans="1:14" s="530" customFormat="1" ht="14.85" hidden="1" customHeight="1">
      <c r="A632" s="1010"/>
      <c r="B632" s="1073"/>
      <c r="C632" s="1012"/>
      <c r="D632" s="1073"/>
      <c r="E632" s="1016"/>
      <c r="F632" s="1017"/>
      <c r="G632" s="495" t="s">
        <v>6</v>
      </c>
      <c r="H632" s="496">
        <f t="shared" si="91"/>
        <v>0</v>
      </c>
      <c r="I632" s="497">
        <f t="shared" si="92"/>
        <v>0</v>
      </c>
      <c r="J632" s="497">
        <v>0</v>
      </c>
      <c r="K632" s="497">
        <v>0</v>
      </c>
      <c r="L632" s="497">
        <f t="shared" si="93"/>
        <v>0</v>
      </c>
      <c r="M632" s="497">
        <v>0</v>
      </c>
      <c r="N632" s="497">
        <v>0</v>
      </c>
    </row>
    <row r="633" spans="1:14" s="530" customFormat="1" ht="14.85" hidden="1" customHeight="1">
      <c r="A633" s="1010"/>
      <c r="B633" s="1073"/>
      <c r="C633" s="1012"/>
      <c r="D633" s="1073"/>
      <c r="E633" s="1018"/>
      <c r="F633" s="1019"/>
      <c r="G633" s="495" t="s">
        <v>7</v>
      </c>
      <c r="H633" s="496">
        <f t="shared" si="91"/>
        <v>34200</v>
      </c>
      <c r="I633" s="497">
        <f t="shared" si="92"/>
        <v>34200</v>
      </c>
      <c r="J633" s="497">
        <f>J631+J632</f>
        <v>21400</v>
      </c>
      <c r="K633" s="497">
        <f>K631+K632</f>
        <v>12800</v>
      </c>
      <c r="L633" s="497">
        <f t="shared" si="93"/>
        <v>0</v>
      </c>
      <c r="M633" s="497">
        <f>M631+M632</f>
        <v>0</v>
      </c>
      <c r="N633" s="497">
        <f>N631+N632</f>
        <v>0</v>
      </c>
    </row>
    <row r="634" spans="1:14" s="530" customFormat="1" ht="14.1" hidden="1" customHeight="1">
      <c r="A634" s="1010"/>
      <c r="B634" s="1020"/>
      <c r="C634" s="1012"/>
      <c r="D634" s="1013"/>
      <c r="E634" s="1014" t="s">
        <v>1094</v>
      </c>
      <c r="F634" s="1015"/>
      <c r="G634" s="495" t="s">
        <v>5</v>
      </c>
      <c r="H634" s="496">
        <f t="shared" si="91"/>
        <v>11700</v>
      </c>
      <c r="I634" s="497">
        <f t="shared" si="92"/>
        <v>11700</v>
      </c>
      <c r="J634" s="497">
        <v>0</v>
      </c>
      <c r="K634" s="497">
        <v>11700</v>
      </c>
      <c r="L634" s="497">
        <f t="shared" si="93"/>
        <v>0</v>
      </c>
      <c r="M634" s="497">
        <v>0</v>
      </c>
      <c r="N634" s="497">
        <v>0</v>
      </c>
    </row>
    <row r="635" spans="1:14" s="530" customFormat="1" ht="14.1" hidden="1" customHeight="1">
      <c r="A635" s="1010"/>
      <c r="B635" s="1073"/>
      <c r="C635" s="1012"/>
      <c r="D635" s="1073"/>
      <c r="E635" s="1016"/>
      <c r="F635" s="1017"/>
      <c r="G635" s="495" t="s">
        <v>6</v>
      </c>
      <c r="H635" s="496">
        <f t="shared" si="91"/>
        <v>0</v>
      </c>
      <c r="I635" s="497">
        <f t="shared" si="92"/>
        <v>0</v>
      </c>
      <c r="J635" s="497">
        <v>0</v>
      </c>
      <c r="K635" s="497">
        <v>0</v>
      </c>
      <c r="L635" s="497">
        <f t="shared" si="93"/>
        <v>0</v>
      </c>
      <c r="M635" s="497">
        <v>0</v>
      </c>
      <c r="N635" s="497">
        <v>0</v>
      </c>
    </row>
    <row r="636" spans="1:14" s="530" customFormat="1" ht="14.1" hidden="1" customHeight="1">
      <c r="A636" s="1010"/>
      <c r="B636" s="1073"/>
      <c r="C636" s="1012"/>
      <c r="D636" s="1073"/>
      <c r="E636" s="1018"/>
      <c r="F636" s="1019"/>
      <c r="G636" s="495" t="s">
        <v>7</v>
      </c>
      <c r="H636" s="496">
        <f t="shared" si="91"/>
        <v>11700</v>
      </c>
      <c r="I636" s="497">
        <f t="shared" si="92"/>
        <v>11700</v>
      </c>
      <c r="J636" s="497">
        <f>J634+J635</f>
        <v>0</v>
      </c>
      <c r="K636" s="497">
        <f>K634+K635</f>
        <v>11700</v>
      </c>
      <c r="L636" s="497">
        <f t="shared" si="93"/>
        <v>0</v>
      </c>
      <c r="M636" s="497">
        <f>M634+M635</f>
        <v>0</v>
      </c>
      <c r="N636" s="497">
        <f>N634+N635</f>
        <v>0</v>
      </c>
    </row>
    <row r="637" spans="1:14" s="530" customFormat="1" ht="14.1" hidden="1" customHeight="1">
      <c r="A637" s="1010"/>
      <c r="B637" s="1020"/>
      <c r="C637" s="1012"/>
      <c r="D637" s="1013"/>
      <c r="E637" s="1014" t="s">
        <v>1095</v>
      </c>
      <c r="F637" s="1061"/>
      <c r="G637" s="561" t="s">
        <v>5</v>
      </c>
      <c r="H637" s="496">
        <f t="shared" si="91"/>
        <v>10000</v>
      </c>
      <c r="I637" s="497">
        <f t="shared" si="92"/>
        <v>10000</v>
      </c>
      <c r="J637" s="497">
        <v>0</v>
      </c>
      <c r="K637" s="497">
        <v>10000</v>
      </c>
      <c r="L637" s="497">
        <f t="shared" si="93"/>
        <v>0</v>
      </c>
      <c r="M637" s="497">
        <v>0</v>
      </c>
      <c r="N637" s="497">
        <v>0</v>
      </c>
    </row>
    <row r="638" spans="1:14" s="530" customFormat="1" ht="14.1" hidden="1" customHeight="1">
      <c r="A638" s="1010"/>
      <c r="B638" s="1070"/>
      <c r="C638" s="1012"/>
      <c r="D638" s="1070"/>
      <c r="E638" s="1066"/>
      <c r="F638" s="1067"/>
      <c r="G638" s="561" t="s">
        <v>6</v>
      </c>
      <c r="H638" s="496">
        <f t="shared" si="91"/>
        <v>0</v>
      </c>
      <c r="I638" s="497">
        <f t="shared" si="92"/>
        <v>0</v>
      </c>
      <c r="J638" s="497">
        <v>0</v>
      </c>
      <c r="K638" s="497">
        <v>0</v>
      </c>
      <c r="L638" s="497">
        <f t="shared" si="93"/>
        <v>0</v>
      </c>
      <c r="M638" s="497">
        <v>0</v>
      </c>
      <c r="N638" s="497">
        <v>0</v>
      </c>
    </row>
    <row r="639" spans="1:14" s="448" customFormat="1" ht="14.1" hidden="1" customHeight="1">
      <c r="A639" s="1025"/>
      <c r="B639" s="1071"/>
      <c r="C639" s="1027"/>
      <c r="D639" s="1071"/>
      <c r="E639" s="1068"/>
      <c r="F639" s="1069"/>
      <c r="G639" s="560" t="s">
        <v>7</v>
      </c>
      <c r="H639" s="496">
        <f t="shared" si="91"/>
        <v>10000</v>
      </c>
      <c r="I639" s="497">
        <f t="shared" si="92"/>
        <v>10000</v>
      </c>
      <c r="J639" s="497">
        <f>J637+J638</f>
        <v>0</v>
      </c>
      <c r="K639" s="497">
        <f>K637+K638</f>
        <v>10000</v>
      </c>
      <c r="L639" s="497">
        <f t="shared" si="93"/>
        <v>0</v>
      </c>
      <c r="M639" s="497">
        <f>M637+M638</f>
        <v>0</v>
      </c>
      <c r="N639" s="497">
        <f>N637+N638</f>
        <v>0</v>
      </c>
    </row>
    <row r="640" spans="1:14" s="530" customFormat="1" ht="14.85" customHeight="1">
      <c r="A640" s="1010"/>
      <c r="B640" s="1020"/>
      <c r="C640" s="1052" t="s">
        <v>273</v>
      </c>
      <c r="D640" s="1053"/>
      <c r="E640" s="1014" t="s">
        <v>1096</v>
      </c>
      <c r="F640" s="1061"/>
      <c r="G640" s="561" t="s">
        <v>5</v>
      </c>
      <c r="H640" s="496">
        <f t="shared" si="91"/>
        <v>0</v>
      </c>
      <c r="I640" s="497">
        <f t="shared" si="92"/>
        <v>0</v>
      </c>
      <c r="J640" s="497">
        <v>0</v>
      </c>
      <c r="K640" s="497">
        <v>0</v>
      </c>
      <c r="L640" s="497">
        <f t="shared" si="93"/>
        <v>0</v>
      </c>
      <c r="M640" s="497">
        <v>0</v>
      </c>
      <c r="N640" s="497">
        <v>0</v>
      </c>
    </row>
    <row r="641" spans="1:14" s="530" customFormat="1" ht="14.85" customHeight="1">
      <c r="A641" s="1010"/>
      <c r="B641" s="1070"/>
      <c r="C641" s="1012"/>
      <c r="D641" s="1070"/>
      <c r="E641" s="1066"/>
      <c r="F641" s="1067"/>
      <c r="G641" s="561" t="s">
        <v>6</v>
      </c>
      <c r="H641" s="496">
        <f t="shared" si="91"/>
        <v>145000</v>
      </c>
      <c r="I641" s="497">
        <f t="shared" si="92"/>
        <v>145000</v>
      </c>
      <c r="J641" s="497">
        <v>0</v>
      </c>
      <c r="K641" s="497">
        <v>145000</v>
      </c>
      <c r="L641" s="497">
        <f t="shared" si="93"/>
        <v>0</v>
      </c>
      <c r="M641" s="497">
        <v>0</v>
      </c>
      <c r="N641" s="497">
        <v>0</v>
      </c>
    </row>
    <row r="642" spans="1:14" s="448" customFormat="1" ht="14.85" customHeight="1">
      <c r="A642" s="1025"/>
      <c r="B642" s="1071"/>
      <c r="C642" s="1027"/>
      <c r="D642" s="1071"/>
      <c r="E642" s="1068"/>
      <c r="F642" s="1069"/>
      <c r="G642" s="562" t="s">
        <v>7</v>
      </c>
      <c r="H642" s="528">
        <f t="shared" si="91"/>
        <v>145000</v>
      </c>
      <c r="I642" s="529">
        <f t="shared" si="92"/>
        <v>145000</v>
      </c>
      <c r="J642" s="529">
        <f>J640+J641</f>
        <v>0</v>
      </c>
      <c r="K642" s="529">
        <f>K640+K641</f>
        <v>145000</v>
      </c>
      <c r="L642" s="529">
        <f t="shared" si="93"/>
        <v>0</v>
      </c>
      <c r="M642" s="529">
        <f>M640+M641</f>
        <v>0</v>
      </c>
      <c r="N642" s="529">
        <f>N640+N641</f>
        <v>0</v>
      </c>
    </row>
    <row r="643" spans="1:14" s="530" customFormat="1" ht="14.85" customHeight="1">
      <c r="A643" s="1010"/>
      <c r="B643" s="1020"/>
      <c r="C643" s="1012"/>
      <c r="D643" s="1013"/>
      <c r="E643" s="1014" t="s">
        <v>1097</v>
      </c>
      <c r="F643" s="1061"/>
      <c r="G643" s="561" t="s">
        <v>5</v>
      </c>
      <c r="H643" s="496">
        <f t="shared" si="91"/>
        <v>0</v>
      </c>
      <c r="I643" s="497">
        <f t="shared" si="92"/>
        <v>0</v>
      </c>
      <c r="J643" s="497">
        <v>0</v>
      </c>
      <c r="K643" s="497">
        <v>0</v>
      </c>
      <c r="L643" s="497">
        <f t="shared" si="93"/>
        <v>0</v>
      </c>
      <c r="M643" s="497">
        <v>0</v>
      </c>
      <c r="N643" s="497">
        <v>0</v>
      </c>
    </row>
    <row r="644" spans="1:14" s="530" customFormat="1" ht="14.85" customHeight="1">
      <c r="A644" s="1010"/>
      <c r="B644" s="1070"/>
      <c r="C644" s="1012"/>
      <c r="D644" s="1070"/>
      <c r="E644" s="1066"/>
      <c r="F644" s="1067"/>
      <c r="G644" s="561" t="s">
        <v>6</v>
      </c>
      <c r="H644" s="496">
        <f t="shared" si="91"/>
        <v>191404</v>
      </c>
      <c r="I644" s="497">
        <f t="shared" si="92"/>
        <v>191404</v>
      </c>
      <c r="J644" s="497">
        <v>178909</v>
      </c>
      <c r="K644" s="497">
        <v>12495</v>
      </c>
      <c r="L644" s="497">
        <f t="shared" si="93"/>
        <v>0</v>
      </c>
      <c r="M644" s="497">
        <v>0</v>
      </c>
      <c r="N644" s="497">
        <v>0</v>
      </c>
    </row>
    <row r="645" spans="1:14" s="448" customFormat="1" ht="14.85" customHeight="1">
      <c r="A645" s="1025"/>
      <c r="B645" s="1071"/>
      <c r="C645" s="1027"/>
      <c r="D645" s="1071"/>
      <c r="E645" s="1068"/>
      <c r="F645" s="1069"/>
      <c r="G645" s="562" t="s">
        <v>7</v>
      </c>
      <c r="H645" s="528">
        <f t="shared" si="91"/>
        <v>191404</v>
      </c>
      <c r="I645" s="529">
        <f t="shared" si="92"/>
        <v>191404</v>
      </c>
      <c r="J645" s="529">
        <f>J643+J644</f>
        <v>178909</v>
      </c>
      <c r="K645" s="529">
        <f>K643+K644</f>
        <v>12495</v>
      </c>
      <c r="L645" s="529">
        <f t="shared" si="93"/>
        <v>0</v>
      </c>
      <c r="M645" s="529">
        <f>M643+M644</f>
        <v>0</v>
      </c>
      <c r="N645" s="529">
        <f>N643+N644</f>
        <v>0</v>
      </c>
    </row>
    <row r="646" spans="1:14" s="530" customFormat="1" ht="14.85" customHeight="1">
      <c r="A646" s="1010"/>
      <c r="B646" s="1020"/>
      <c r="C646" s="1012"/>
      <c r="D646" s="1013"/>
      <c r="E646" s="1014" t="s">
        <v>1098</v>
      </c>
      <c r="F646" s="1061"/>
      <c r="G646" s="561" t="s">
        <v>5</v>
      </c>
      <c r="H646" s="496">
        <f t="shared" si="91"/>
        <v>0</v>
      </c>
      <c r="I646" s="497">
        <f t="shared" si="92"/>
        <v>0</v>
      </c>
      <c r="J646" s="497">
        <v>0</v>
      </c>
      <c r="K646" s="497">
        <v>0</v>
      </c>
      <c r="L646" s="497">
        <f t="shared" si="93"/>
        <v>0</v>
      </c>
      <c r="M646" s="497">
        <v>0</v>
      </c>
      <c r="N646" s="497">
        <v>0</v>
      </c>
    </row>
    <row r="647" spans="1:14" s="530" customFormat="1" ht="14.85" customHeight="1">
      <c r="A647" s="1010"/>
      <c r="B647" s="1070"/>
      <c r="C647" s="1012"/>
      <c r="D647" s="1070"/>
      <c r="E647" s="1066"/>
      <c r="F647" s="1067"/>
      <c r="G647" s="561" t="s">
        <v>6</v>
      </c>
      <c r="H647" s="496">
        <f t="shared" si="91"/>
        <v>30000</v>
      </c>
      <c r="I647" s="497">
        <f t="shared" si="92"/>
        <v>30000</v>
      </c>
      <c r="J647" s="497">
        <v>0</v>
      </c>
      <c r="K647" s="497">
        <v>30000</v>
      </c>
      <c r="L647" s="497">
        <f t="shared" si="93"/>
        <v>0</v>
      </c>
      <c r="M647" s="497">
        <v>0</v>
      </c>
      <c r="N647" s="497">
        <v>0</v>
      </c>
    </row>
    <row r="648" spans="1:14" s="448" customFormat="1" ht="14.85" customHeight="1">
      <c r="A648" s="1033"/>
      <c r="B648" s="1072"/>
      <c r="C648" s="1035"/>
      <c r="D648" s="1072"/>
      <c r="E648" s="1068"/>
      <c r="F648" s="1069"/>
      <c r="G648" s="560" t="s">
        <v>7</v>
      </c>
      <c r="H648" s="496">
        <f t="shared" si="91"/>
        <v>30000</v>
      </c>
      <c r="I648" s="497">
        <f t="shared" si="92"/>
        <v>30000</v>
      </c>
      <c r="J648" s="497">
        <f>J646+J647</f>
        <v>0</v>
      </c>
      <c r="K648" s="497">
        <f>K646+K647</f>
        <v>30000</v>
      </c>
      <c r="L648" s="497">
        <f t="shared" si="93"/>
        <v>0</v>
      </c>
      <c r="M648" s="497">
        <f>M646+M647</f>
        <v>0</v>
      </c>
      <c r="N648" s="497">
        <f>N646+N647</f>
        <v>0</v>
      </c>
    </row>
    <row r="649" spans="1:14" s="530" customFormat="1" ht="15" hidden="1" customHeight="1">
      <c r="A649" s="1010"/>
      <c r="B649" s="1020"/>
      <c r="C649" s="1012"/>
      <c r="D649" s="1013"/>
      <c r="E649" s="1016" t="s">
        <v>1099</v>
      </c>
      <c r="F649" s="1017"/>
      <c r="G649" s="548" t="s">
        <v>5</v>
      </c>
      <c r="H649" s="549">
        <f t="shared" si="91"/>
        <v>25000</v>
      </c>
      <c r="I649" s="550">
        <f t="shared" si="92"/>
        <v>25000</v>
      </c>
      <c r="J649" s="550">
        <v>25000</v>
      </c>
      <c r="K649" s="550">
        <v>0</v>
      </c>
      <c r="L649" s="550">
        <f t="shared" si="93"/>
        <v>0</v>
      </c>
      <c r="M649" s="550">
        <v>0</v>
      </c>
      <c r="N649" s="550">
        <v>0</v>
      </c>
    </row>
    <row r="650" spans="1:14" s="530" customFormat="1" ht="15" hidden="1" customHeight="1">
      <c r="A650" s="1010"/>
      <c r="B650" s="1037"/>
      <c r="C650" s="1012"/>
      <c r="D650" s="1037"/>
      <c r="E650" s="1016"/>
      <c r="F650" s="1017"/>
      <c r="G650" s="495" t="s">
        <v>6</v>
      </c>
      <c r="H650" s="496">
        <f t="shared" si="91"/>
        <v>0</v>
      </c>
      <c r="I650" s="497">
        <f t="shared" si="92"/>
        <v>0</v>
      </c>
      <c r="J650" s="497">
        <v>0</v>
      </c>
      <c r="K650" s="497">
        <v>0</v>
      </c>
      <c r="L650" s="497">
        <f t="shared" si="93"/>
        <v>0</v>
      </c>
      <c r="M650" s="497">
        <v>0</v>
      </c>
      <c r="N650" s="497">
        <v>0</v>
      </c>
    </row>
    <row r="651" spans="1:14" s="530" customFormat="1" ht="15" hidden="1" customHeight="1">
      <c r="A651" s="1010"/>
      <c r="B651" s="1037"/>
      <c r="C651" s="1012"/>
      <c r="D651" s="1037"/>
      <c r="E651" s="1018"/>
      <c r="F651" s="1019"/>
      <c r="G651" s="495" t="s">
        <v>7</v>
      </c>
      <c r="H651" s="496">
        <f t="shared" si="91"/>
        <v>25000</v>
      </c>
      <c r="I651" s="497">
        <f t="shared" si="92"/>
        <v>25000</v>
      </c>
      <c r="J651" s="497">
        <f>J649+J650</f>
        <v>25000</v>
      </c>
      <c r="K651" s="497">
        <f>K649+K650</f>
        <v>0</v>
      </c>
      <c r="L651" s="497">
        <f t="shared" si="93"/>
        <v>0</v>
      </c>
      <c r="M651" s="497">
        <f>M649+M650</f>
        <v>0</v>
      </c>
      <c r="N651" s="497">
        <f>N649+N650</f>
        <v>0</v>
      </c>
    </row>
    <row r="652" spans="1:14" s="530" customFormat="1" ht="15" hidden="1" customHeight="1">
      <c r="A652" s="1010"/>
      <c r="B652" s="1020"/>
      <c r="C652" s="1012"/>
      <c r="D652" s="1013"/>
      <c r="E652" s="1014" t="s">
        <v>1069</v>
      </c>
      <c r="F652" s="1015"/>
      <c r="G652" s="495" t="s">
        <v>5</v>
      </c>
      <c r="H652" s="496">
        <f t="shared" si="91"/>
        <v>45000</v>
      </c>
      <c r="I652" s="497">
        <f t="shared" si="92"/>
        <v>45000</v>
      </c>
      <c r="J652" s="497">
        <v>0</v>
      </c>
      <c r="K652" s="497">
        <v>45000</v>
      </c>
      <c r="L652" s="497">
        <f t="shared" si="93"/>
        <v>0</v>
      </c>
      <c r="M652" s="497">
        <v>0</v>
      </c>
      <c r="N652" s="497">
        <v>0</v>
      </c>
    </row>
    <row r="653" spans="1:14" s="530" customFormat="1" ht="15" hidden="1" customHeight="1">
      <c r="A653" s="1010"/>
      <c r="B653" s="1037"/>
      <c r="C653" s="1012"/>
      <c r="D653" s="1037"/>
      <c r="E653" s="1016"/>
      <c r="F653" s="1017"/>
      <c r="G653" s="495" t="s">
        <v>6</v>
      </c>
      <c r="H653" s="496">
        <f t="shared" si="91"/>
        <v>0</v>
      </c>
      <c r="I653" s="497">
        <f t="shared" si="92"/>
        <v>0</v>
      </c>
      <c r="J653" s="497">
        <v>0</v>
      </c>
      <c r="K653" s="497">
        <v>0</v>
      </c>
      <c r="L653" s="497">
        <f t="shared" si="93"/>
        <v>0</v>
      </c>
      <c r="M653" s="497">
        <v>0</v>
      </c>
      <c r="N653" s="497">
        <v>0</v>
      </c>
    </row>
    <row r="654" spans="1:14" s="530" customFormat="1" ht="15" hidden="1" customHeight="1">
      <c r="A654" s="1010"/>
      <c r="B654" s="1037"/>
      <c r="C654" s="1012"/>
      <c r="D654" s="1037"/>
      <c r="E654" s="1018"/>
      <c r="F654" s="1019"/>
      <c r="G654" s="495" t="s">
        <v>7</v>
      </c>
      <c r="H654" s="496">
        <f t="shared" si="91"/>
        <v>45000</v>
      </c>
      <c r="I654" s="497">
        <f t="shared" si="92"/>
        <v>45000</v>
      </c>
      <c r="J654" s="497">
        <f>J652+J653</f>
        <v>0</v>
      </c>
      <c r="K654" s="497">
        <f>K652+K653</f>
        <v>45000</v>
      </c>
      <c r="L654" s="497">
        <f t="shared" si="93"/>
        <v>0</v>
      </c>
      <c r="M654" s="497">
        <f>M652+M653</f>
        <v>0</v>
      </c>
      <c r="N654" s="497">
        <f>N652+N653</f>
        <v>0</v>
      </c>
    </row>
    <row r="655" spans="1:14" s="530" customFormat="1" ht="14.1" hidden="1" customHeight="1">
      <c r="A655" s="1010"/>
      <c r="B655" s="1020"/>
      <c r="C655" s="1012"/>
      <c r="D655" s="1013"/>
      <c r="E655" s="1014" t="s">
        <v>1100</v>
      </c>
      <c r="F655" s="1061"/>
      <c r="G655" s="561" t="s">
        <v>5</v>
      </c>
      <c r="H655" s="496">
        <f t="shared" si="91"/>
        <v>10000</v>
      </c>
      <c r="I655" s="497">
        <f t="shared" si="92"/>
        <v>10000</v>
      </c>
      <c r="J655" s="497">
        <v>0</v>
      </c>
      <c r="K655" s="497">
        <v>10000</v>
      </c>
      <c r="L655" s="497">
        <f t="shared" si="93"/>
        <v>0</v>
      </c>
      <c r="M655" s="497">
        <v>0</v>
      </c>
      <c r="N655" s="497">
        <v>0</v>
      </c>
    </row>
    <row r="656" spans="1:14" s="530" customFormat="1" ht="14.1" hidden="1" customHeight="1">
      <c r="A656" s="1010"/>
      <c r="B656" s="1070"/>
      <c r="C656" s="1012"/>
      <c r="D656" s="1070"/>
      <c r="E656" s="1066"/>
      <c r="F656" s="1067"/>
      <c r="G656" s="561" t="s">
        <v>6</v>
      </c>
      <c r="H656" s="496">
        <f t="shared" si="91"/>
        <v>0</v>
      </c>
      <c r="I656" s="497">
        <f t="shared" si="92"/>
        <v>0</v>
      </c>
      <c r="J656" s="497">
        <v>0</v>
      </c>
      <c r="K656" s="497">
        <v>0</v>
      </c>
      <c r="L656" s="497">
        <f t="shared" si="93"/>
        <v>0</v>
      </c>
      <c r="M656" s="497">
        <v>0</v>
      </c>
      <c r="N656" s="497">
        <v>0</v>
      </c>
    </row>
    <row r="657" spans="1:14" s="448" customFormat="1" ht="14.1" hidden="1" customHeight="1">
      <c r="A657" s="1025"/>
      <c r="B657" s="1071"/>
      <c r="C657" s="1027"/>
      <c r="D657" s="1071"/>
      <c r="E657" s="1068"/>
      <c r="F657" s="1069"/>
      <c r="G657" s="562" t="s">
        <v>7</v>
      </c>
      <c r="H657" s="528">
        <f t="shared" si="91"/>
        <v>10000</v>
      </c>
      <c r="I657" s="529">
        <f t="shared" si="92"/>
        <v>10000</v>
      </c>
      <c r="J657" s="529">
        <f>J655+J656</f>
        <v>0</v>
      </c>
      <c r="K657" s="529">
        <f>K655+K656</f>
        <v>10000</v>
      </c>
      <c r="L657" s="529">
        <f t="shared" si="93"/>
        <v>0</v>
      </c>
      <c r="M657" s="529">
        <f>M655+M656</f>
        <v>0</v>
      </c>
      <c r="N657" s="529">
        <f>N655+N656</f>
        <v>0</v>
      </c>
    </row>
    <row r="658" spans="1:14" s="530" customFormat="1" ht="14.1" hidden="1" customHeight="1">
      <c r="A658" s="1010"/>
      <c r="B658" s="1020"/>
      <c r="C658" s="1012"/>
      <c r="D658" s="1013"/>
      <c r="E658" s="1014" t="s">
        <v>1101</v>
      </c>
      <c r="F658" s="1061"/>
      <c r="G658" s="561" t="s">
        <v>5</v>
      </c>
      <c r="H658" s="496">
        <f t="shared" si="91"/>
        <v>9000</v>
      </c>
      <c r="I658" s="497">
        <f t="shared" si="92"/>
        <v>9000</v>
      </c>
      <c r="J658" s="497">
        <v>0</v>
      </c>
      <c r="K658" s="497">
        <v>9000</v>
      </c>
      <c r="L658" s="497">
        <f t="shared" si="93"/>
        <v>0</v>
      </c>
      <c r="M658" s="497">
        <v>0</v>
      </c>
      <c r="N658" s="497">
        <v>0</v>
      </c>
    </row>
    <row r="659" spans="1:14" s="530" customFormat="1" ht="14.1" hidden="1" customHeight="1">
      <c r="A659" s="1010"/>
      <c r="B659" s="1070"/>
      <c r="C659" s="1012"/>
      <c r="D659" s="1070"/>
      <c r="E659" s="1066"/>
      <c r="F659" s="1067"/>
      <c r="G659" s="561" t="s">
        <v>6</v>
      </c>
      <c r="H659" s="496">
        <f t="shared" si="91"/>
        <v>0</v>
      </c>
      <c r="I659" s="497">
        <f t="shared" si="92"/>
        <v>0</v>
      </c>
      <c r="J659" s="497">
        <v>0</v>
      </c>
      <c r="K659" s="497">
        <v>0</v>
      </c>
      <c r="L659" s="497">
        <f t="shared" si="93"/>
        <v>0</v>
      </c>
      <c r="M659" s="497">
        <v>0</v>
      </c>
      <c r="N659" s="497">
        <v>0</v>
      </c>
    </row>
    <row r="660" spans="1:14" s="448" customFormat="1" ht="14.1" hidden="1" customHeight="1">
      <c r="A660" s="1025"/>
      <c r="B660" s="1071"/>
      <c r="C660" s="1027"/>
      <c r="D660" s="1071"/>
      <c r="E660" s="1068"/>
      <c r="F660" s="1069"/>
      <c r="G660" s="562" t="s">
        <v>7</v>
      </c>
      <c r="H660" s="528">
        <f t="shared" si="91"/>
        <v>9000</v>
      </c>
      <c r="I660" s="529">
        <f t="shared" si="92"/>
        <v>9000</v>
      </c>
      <c r="J660" s="529">
        <f>J658+J659</f>
        <v>0</v>
      </c>
      <c r="K660" s="529">
        <f>K658+K659</f>
        <v>9000</v>
      </c>
      <c r="L660" s="529">
        <f t="shared" si="93"/>
        <v>0</v>
      </c>
      <c r="M660" s="529">
        <f>M658+M659</f>
        <v>0</v>
      </c>
      <c r="N660" s="529">
        <f>N658+N659</f>
        <v>0</v>
      </c>
    </row>
    <row r="661" spans="1:14" s="530" customFormat="1" ht="14.1" hidden="1" customHeight="1">
      <c r="A661" s="1010"/>
      <c r="B661" s="1020"/>
      <c r="C661" s="1012"/>
      <c r="D661" s="1013"/>
      <c r="E661" s="1014" t="s">
        <v>1102</v>
      </c>
      <c r="F661" s="1061"/>
      <c r="G661" s="561" t="s">
        <v>5</v>
      </c>
      <c r="H661" s="496">
        <f t="shared" si="91"/>
        <v>38600</v>
      </c>
      <c r="I661" s="497">
        <f t="shared" si="92"/>
        <v>38600</v>
      </c>
      <c r="J661" s="497">
        <v>0</v>
      </c>
      <c r="K661" s="497">
        <v>38600</v>
      </c>
      <c r="L661" s="497">
        <f t="shared" si="93"/>
        <v>0</v>
      </c>
      <c r="M661" s="497">
        <v>0</v>
      </c>
      <c r="N661" s="497">
        <v>0</v>
      </c>
    </row>
    <row r="662" spans="1:14" s="530" customFormat="1" ht="14.1" hidden="1" customHeight="1">
      <c r="A662" s="1010"/>
      <c r="B662" s="1070"/>
      <c r="C662" s="1012"/>
      <c r="D662" s="1070"/>
      <c r="E662" s="1066"/>
      <c r="F662" s="1067"/>
      <c r="G662" s="561" t="s">
        <v>6</v>
      </c>
      <c r="H662" s="496">
        <f t="shared" si="91"/>
        <v>0</v>
      </c>
      <c r="I662" s="497">
        <f t="shared" si="92"/>
        <v>0</v>
      </c>
      <c r="J662" s="497">
        <v>0</v>
      </c>
      <c r="K662" s="497">
        <v>0</v>
      </c>
      <c r="L662" s="497">
        <f t="shared" si="93"/>
        <v>0</v>
      </c>
      <c r="M662" s="497">
        <v>0</v>
      </c>
      <c r="N662" s="497">
        <v>0</v>
      </c>
    </row>
    <row r="663" spans="1:14" s="448" customFormat="1" ht="14.1" hidden="1" customHeight="1">
      <c r="A663" s="1025"/>
      <c r="B663" s="1071"/>
      <c r="C663" s="1027"/>
      <c r="D663" s="1071"/>
      <c r="E663" s="1068"/>
      <c r="F663" s="1069"/>
      <c r="G663" s="562" t="s">
        <v>7</v>
      </c>
      <c r="H663" s="528">
        <f t="shared" si="91"/>
        <v>38600</v>
      </c>
      <c r="I663" s="529">
        <f t="shared" si="92"/>
        <v>38600</v>
      </c>
      <c r="J663" s="529">
        <f>J661+J662</f>
        <v>0</v>
      </c>
      <c r="K663" s="529">
        <f>K661+K662</f>
        <v>38600</v>
      </c>
      <c r="L663" s="529">
        <f t="shared" si="93"/>
        <v>0</v>
      </c>
      <c r="M663" s="529">
        <f>M661+M662</f>
        <v>0</v>
      </c>
      <c r="N663" s="529">
        <f>N661+N662</f>
        <v>0</v>
      </c>
    </row>
    <row r="664" spans="1:14" s="530" customFormat="1" ht="14.1" hidden="1" customHeight="1">
      <c r="A664" s="1010"/>
      <c r="B664" s="1020"/>
      <c r="C664" s="1012"/>
      <c r="D664" s="1013"/>
      <c r="E664" s="1014" t="s">
        <v>1103</v>
      </c>
      <c r="F664" s="1061"/>
      <c r="G664" s="561" t="s">
        <v>5</v>
      </c>
      <c r="H664" s="496">
        <f t="shared" si="91"/>
        <v>134000</v>
      </c>
      <c r="I664" s="497">
        <f t="shared" si="92"/>
        <v>134000</v>
      </c>
      <c r="J664" s="497">
        <v>134000</v>
      </c>
      <c r="K664" s="497">
        <v>0</v>
      </c>
      <c r="L664" s="497">
        <f t="shared" si="93"/>
        <v>0</v>
      </c>
      <c r="M664" s="497">
        <v>0</v>
      </c>
      <c r="N664" s="497">
        <v>0</v>
      </c>
    </row>
    <row r="665" spans="1:14" s="530" customFormat="1" ht="14.1" hidden="1" customHeight="1">
      <c r="A665" s="1010"/>
      <c r="B665" s="1070"/>
      <c r="C665" s="1012"/>
      <c r="D665" s="1070"/>
      <c r="E665" s="1066"/>
      <c r="F665" s="1067"/>
      <c r="G665" s="561" t="s">
        <v>6</v>
      </c>
      <c r="H665" s="496">
        <f t="shared" si="91"/>
        <v>0</v>
      </c>
      <c r="I665" s="497">
        <f t="shared" si="92"/>
        <v>0</v>
      </c>
      <c r="J665" s="497">
        <v>0</v>
      </c>
      <c r="K665" s="497">
        <v>0</v>
      </c>
      <c r="L665" s="497">
        <f t="shared" si="93"/>
        <v>0</v>
      </c>
      <c r="M665" s="497">
        <v>0</v>
      </c>
      <c r="N665" s="497">
        <v>0</v>
      </c>
    </row>
    <row r="666" spans="1:14" s="448" customFormat="1" ht="14.1" hidden="1" customHeight="1">
      <c r="A666" s="1025"/>
      <c r="B666" s="1071"/>
      <c r="C666" s="1027"/>
      <c r="D666" s="1071"/>
      <c r="E666" s="1066"/>
      <c r="F666" s="1067"/>
      <c r="G666" s="562" t="s">
        <v>7</v>
      </c>
      <c r="H666" s="528">
        <f t="shared" si="91"/>
        <v>134000</v>
      </c>
      <c r="I666" s="529">
        <f t="shared" si="92"/>
        <v>134000</v>
      </c>
      <c r="J666" s="529">
        <f>J664+J665</f>
        <v>134000</v>
      </c>
      <c r="K666" s="529">
        <f>K664+K665</f>
        <v>0</v>
      </c>
      <c r="L666" s="529">
        <f t="shared" si="93"/>
        <v>0</v>
      </c>
      <c r="M666" s="529">
        <f>M664+M665</f>
        <v>0</v>
      </c>
      <c r="N666" s="529">
        <f>N664+N665</f>
        <v>0</v>
      </c>
    </row>
    <row r="667" spans="1:14" s="530" customFormat="1" ht="15" customHeight="1">
      <c r="A667" s="1064"/>
      <c r="B667" s="1065"/>
      <c r="C667" s="1052"/>
      <c r="D667" s="1053"/>
      <c r="E667" s="1014" t="s">
        <v>1104</v>
      </c>
      <c r="F667" s="1061"/>
      <c r="G667" s="561" t="s">
        <v>5</v>
      </c>
      <c r="H667" s="496">
        <f t="shared" si="91"/>
        <v>0</v>
      </c>
      <c r="I667" s="497">
        <f t="shared" si="92"/>
        <v>0</v>
      </c>
      <c r="J667" s="497">
        <v>0</v>
      </c>
      <c r="K667" s="497">
        <v>0</v>
      </c>
      <c r="L667" s="497">
        <f t="shared" si="93"/>
        <v>0</v>
      </c>
      <c r="M667" s="497">
        <v>0</v>
      </c>
      <c r="N667" s="497">
        <v>0</v>
      </c>
    </row>
    <row r="668" spans="1:14" s="530" customFormat="1" ht="15" customHeight="1">
      <c r="A668" s="1010"/>
      <c r="B668" s="1070"/>
      <c r="C668" s="1012"/>
      <c r="D668" s="1070"/>
      <c r="E668" s="1066"/>
      <c r="F668" s="1067"/>
      <c r="G668" s="561" t="s">
        <v>6</v>
      </c>
      <c r="H668" s="496">
        <f t="shared" si="91"/>
        <v>145000</v>
      </c>
      <c r="I668" s="497">
        <f t="shared" si="92"/>
        <v>145000</v>
      </c>
      <c r="J668" s="497">
        <v>0</v>
      </c>
      <c r="K668" s="497">
        <v>145000</v>
      </c>
      <c r="L668" s="497">
        <f t="shared" si="93"/>
        <v>0</v>
      </c>
      <c r="M668" s="497">
        <v>0</v>
      </c>
      <c r="N668" s="497">
        <v>0</v>
      </c>
    </row>
    <row r="669" spans="1:14" s="448" customFormat="1" ht="15" customHeight="1">
      <c r="A669" s="1025"/>
      <c r="B669" s="1071"/>
      <c r="C669" s="1027"/>
      <c r="D669" s="1071"/>
      <c r="E669" s="1068"/>
      <c r="F669" s="1069"/>
      <c r="G669" s="562" t="s">
        <v>7</v>
      </c>
      <c r="H669" s="528">
        <f t="shared" si="91"/>
        <v>145000</v>
      </c>
      <c r="I669" s="529">
        <f t="shared" si="92"/>
        <v>145000</v>
      </c>
      <c r="J669" s="529">
        <f>J667+J668</f>
        <v>0</v>
      </c>
      <c r="K669" s="529">
        <f>K667+K668</f>
        <v>145000</v>
      </c>
      <c r="L669" s="529">
        <f t="shared" si="93"/>
        <v>0</v>
      </c>
      <c r="M669" s="529">
        <f>M667+M668</f>
        <v>0</v>
      </c>
      <c r="N669" s="529">
        <f>N667+N668</f>
        <v>0</v>
      </c>
    </row>
    <row r="670" spans="1:14" s="448" customFormat="1" ht="15" hidden="1" customHeight="1">
      <c r="A670" s="1025"/>
      <c r="B670" s="1026"/>
      <c r="C670" s="1031" t="s">
        <v>278</v>
      </c>
      <c r="D670" s="1032"/>
      <c r="E670" s="1054" t="s">
        <v>1105</v>
      </c>
      <c r="F670" s="1055"/>
      <c r="G670" s="495" t="s">
        <v>5</v>
      </c>
      <c r="H670" s="496">
        <f t="shared" si="91"/>
        <v>74000</v>
      </c>
      <c r="I670" s="497">
        <f t="shared" si="92"/>
        <v>74000</v>
      </c>
      <c r="J670" s="497">
        <v>0</v>
      </c>
      <c r="K670" s="497">
        <v>74000</v>
      </c>
      <c r="L670" s="497">
        <f t="shared" si="93"/>
        <v>0</v>
      </c>
      <c r="M670" s="497">
        <v>0</v>
      </c>
      <c r="N670" s="497">
        <v>0</v>
      </c>
    </row>
    <row r="671" spans="1:14" s="448" customFormat="1" ht="15" hidden="1" customHeight="1">
      <c r="A671" s="1025"/>
      <c r="B671" s="1037"/>
      <c r="C671" s="1027"/>
      <c r="D671" s="1037"/>
      <c r="E671" s="1056"/>
      <c r="F671" s="1057"/>
      <c r="G671" s="495" t="s">
        <v>6</v>
      </c>
      <c r="H671" s="496">
        <f t="shared" si="91"/>
        <v>0</v>
      </c>
      <c r="I671" s="497">
        <f t="shared" si="92"/>
        <v>0</v>
      </c>
      <c r="J671" s="497">
        <v>0</v>
      </c>
      <c r="K671" s="497">
        <v>0</v>
      </c>
      <c r="L671" s="497">
        <f t="shared" si="93"/>
        <v>0</v>
      </c>
      <c r="M671" s="497">
        <v>0</v>
      </c>
      <c r="N671" s="497">
        <v>0</v>
      </c>
    </row>
    <row r="672" spans="1:14" s="448" customFormat="1" ht="15" hidden="1" customHeight="1">
      <c r="A672" s="1025"/>
      <c r="B672" s="1037"/>
      <c r="C672" s="1027"/>
      <c r="D672" s="1037"/>
      <c r="E672" s="1058"/>
      <c r="F672" s="1059"/>
      <c r="G672" s="495" t="s">
        <v>7</v>
      </c>
      <c r="H672" s="496">
        <f t="shared" si="91"/>
        <v>74000</v>
      </c>
      <c r="I672" s="497">
        <f t="shared" si="92"/>
        <v>74000</v>
      </c>
      <c r="J672" s="497">
        <f>J670+J671</f>
        <v>0</v>
      </c>
      <c r="K672" s="497">
        <f>K670+K671</f>
        <v>74000</v>
      </c>
      <c r="L672" s="497">
        <f t="shared" si="93"/>
        <v>0</v>
      </c>
      <c r="M672" s="497">
        <f>M670+M671</f>
        <v>0</v>
      </c>
      <c r="N672" s="497">
        <f>N670+N671</f>
        <v>0</v>
      </c>
    </row>
    <row r="673" spans="1:14" s="530" customFormat="1" ht="14.25" hidden="1" customHeight="1">
      <c r="A673" s="1010"/>
      <c r="B673" s="1020"/>
      <c r="C673" s="1012"/>
      <c r="D673" s="1013"/>
      <c r="E673" s="1014" t="s">
        <v>1106</v>
      </c>
      <c r="F673" s="1015"/>
      <c r="G673" s="495" t="s">
        <v>5</v>
      </c>
      <c r="H673" s="496">
        <f t="shared" si="91"/>
        <v>0</v>
      </c>
      <c r="I673" s="497">
        <f t="shared" si="92"/>
        <v>0</v>
      </c>
      <c r="J673" s="497">
        <v>0</v>
      </c>
      <c r="K673" s="497">
        <v>0</v>
      </c>
      <c r="L673" s="497">
        <f t="shared" si="93"/>
        <v>0</v>
      </c>
      <c r="M673" s="497">
        <v>0</v>
      </c>
      <c r="N673" s="497">
        <v>0</v>
      </c>
    </row>
    <row r="674" spans="1:14" s="530" customFormat="1" ht="14.25" hidden="1" customHeight="1">
      <c r="A674" s="1010"/>
      <c r="B674" s="1037"/>
      <c r="C674" s="1012"/>
      <c r="D674" s="1037"/>
      <c r="E674" s="1016"/>
      <c r="F674" s="1017"/>
      <c r="G674" s="495" t="s">
        <v>6</v>
      </c>
      <c r="H674" s="496">
        <f t="shared" si="91"/>
        <v>0</v>
      </c>
      <c r="I674" s="497">
        <f t="shared" si="92"/>
        <v>0</v>
      </c>
      <c r="J674" s="497">
        <v>0</v>
      </c>
      <c r="K674" s="497">
        <v>0</v>
      </c>
      <c r="L674" s="497">
        <f t="shared" si="93"/>
        <v>0</v>
      </c>
      <c r="M674" s="497">
        <v>0</v>
      </c>
      <c r="N674" s="497">
        <v>0</v>
      </c>
    </row>
    <row r="675" spans="1:14" s="530" customFormat="1" ht="14.25" hidden="1" customHeight="1">
      <c r="A675" s="1010"/>
      <c r="B675" s="1037"/>
      <c r="C675" s="1012"/>
      <c r="D675" s="1037"/>
      <c r="E675" s="1018"/>
      <c r="F675" s="1019"/>
      <c r="G675" s="495" t="s">
        <v>7</v>
      </c>
      <c r="H675" s="496">
        <f t="shared" si="91"/>
        <v>0</v>
      </c>
      <c r="I675" s="497">
        <f t="shared" si="92"/>
        <v>0</v>
      </c>
      <c r="J675" s="497">
        <f>J673+J674</f>
        <v>0</v>
      </c>
      <c r="K675" s="497">
        <f>K673+K674</f>
        <v>0</v>
      </c>
      <c r="L675" s="497">
        <f t="shared" si="93"/>
        <v>0</v>
      </c>
      <c r="M675" s="497">
        <f>M673+M674</f>
        <v>0</v>
      </c>
      <c r="N675" s="497">
        <f>N673+N674</f>
        <v>0</v>
      </c>
    </row>
    <row r="676" spans="1:14" s="530" customFormat="1" ht="15" hidden="1" customHeight="1">
      <c r="A676" s="1010"/>
      <c r="B676" s="1020"/>
      <c r="C676" s="1012"/>
      <c r="D676" s="1013"/>
      <c r="E676" s="1014" t="s">
        <v>1107</v>
      </c>
      <c r="F676" s="1015"/>
      <c r="G676" s="495" t="s">
        <v>5</v>
      </c>
      <c r="H676" s="496">
        <f t="shared" si="91"/>
        <v>170660</v>
      </c>
      <c r="I676" s="497">
        <f t="shared" si="92"/>
        <v>170660</v>
      </c>
      <c r="J676" s="497">
        <v>170660</v>
      </c>
      <c r="K676" s="497">
        <v>0</v>
      </c>
      <c r="L676" s="497">
        <f t="shared" si="93"/>
        <v>0</v>
      </c>
      <c r="M676" s="497">
        <v>0</v>
      </c>
      <c r="N676" s="497">
        <v>0</v>
      </c>
    </row>
    <row r="677" spans="1:14" s="530" customFormat="1" ht="15" hidden="1" customHeight="1">
      <c r="A677" s="1010"/>
      <c r="B677" s="1037"/>
      <c r="C677" s="1012"/>
      <c r="D677" s="1037"/>
      <c r="E677" s="1016"/>
      <c r="F677" s="1017"/>
      <c r="G677" s="495" t="s">
        <v>6</v>
      </c>
      <c r="H677" s="496">
        <f t="shared" si="91"/>
        <v>0</v>
      </c>
      <c r="I677" s="497">
        <f t="shared" si="92"/>
        <v>0</v>
      </c>
      <c r="J677" s="497">
        <v>0</v>
      </c>
      <c r="K677" s="497">
        <v>0</v>
      </c>
      <c r="L677" s="497">
        <f t="shared" si="93"/>
        <v>0</v>
      </c>
      <c r="M677" s="497">
        <v>0</v>
      </c>
      <c r="N677" s="497">
        <v>0</v>
      </c>
    </row>
    <row r="678" spans="1:14" s="530" customFormat="1" ht="15" hidden="1" customHeight="1">
      <c r="A678" s="1010"/>
      <c r="B678" s="1037"/>
      <c r="C678" s="1012"/>
      <c r="D678" s="1037"/>
      <c r="E678" s="1018"/>
      <c r="F678" s="1019"/>
      <c r="G678" s="495" t="s">
        <v>7</v>
      </c>
      <c r="H678" s="496">
        <f t="shared" si="91"/>
        <v>170660</v>
      </c>
      <c r="I678" s="497">
        <f t="shared" si="92"/>
        <v>170660</v>
      </c>
      <c r="J678" s="497">
        <f>J676+J677</f>
        <v>170660</v>
      </c>
      <c r="K678" s="497">
        <f>K676+K677</f>
        <v>0</v>
      </c>
      <c r="L678" s="497">
        <f t="shared" si="93"/>
        <v>0</v>
      </c>
      <c r="M678" s="497">
        <f>M676+M677</f>
        <v>0</v>
      </c>
      <c r="N678" s="497">
        <f>N676+N677</f>
        <v>0</v>
      </c>
    </row>
    <row r="679" spans="1:14" s="530" customFormat="1" ht="14.25" customHeight="1">
      <c r="A679" s="1010"/>
      <c r="B679" s="1020"/>
      <c r="C679" s="1052" t="s">
        <v>278</v>
      </c>
      <c r="D679" s="1053"/>
      <c r="E679" s="1014" t="s">
        <v>1108</v>
      </c>
      <c r="F679" s="1061"/>
      <c r="G679" s="558" t="s">
        <v>5</v>
      </c>
      <c r="H679" s="496">
        <f t="shared" si="91"/>
        <v>298772</v>
      </c>
      <c r="I679" s="497">
        <f t="shared" si="92"/>
        <v>298772</v>
      </c>
      <c r="J679" s="497">
        <v>298772</v>
      </c>
      <c r="K679" s="497">
        <v>0</v>
      </c>
      <c r="L679" s="497">
        <f t="shared" si="93"/>
        <v>0</v>
      </c>
      <c r="M679" s="497">
        <v>0</v>
      </c>
      <c r="N679" s="497">
        <v>0</v>
      </c>
    </row>
    <row r="680" spans="1:14" s="530" customFormat="1" ht="14.25" customHeight="1">
      <c r="A680" s="1010"/>
      <c r="B680" s="1020"/>
      <c r="C680" s="1012"/>
      <c r="D680" s="1013"/>
      <c r="E680" s="1016"/>
      <c r="F680" s="1062"/>
      <c r="G680" s="558" t="s">
        <v>6</v>
      </c>
      <c r="H680" s="496">
        <f t="shared" si="91"/>
        <v>121203</v>
      </c>
      <c r="I680" s="497">
        <f t="shared" si="92"/>
        <v>121203</v>
      </c>
      <c r="J680" s="497">
        <v>121203</v>
      </c>
      <c r="K680" s="497">
        <v>0</v>
      </c>
      <c r="L680" s="497">
        <f t="shared" si="93"/>
        <v>0</v>
      </c>
      <c r="M680" s="497">
        <v>0</v>
      </c>
      <c r="N680" s="497">
        <v>0</v>
      </c>
    </row>
    <row r="681" spans="1:14" s="448" customFormat="1" ht="14.25" customHeight="1">
      <c r="A681" s="1025"/>
      <c r="B681" s="1026"/>
      <c r="C681" s="1027"/>
      <c r="D681" s="1028"/>
      <c r="E681" s="1018"/>
      <c r="F681" s="1063"/>
      <c r="G681" s="527" t="s">
        <v>7</v>
      </c>
      <c r="H681" s="528">
        <f t="shared" si="91"/>
        <v>419975</v>
      </c>
      <c r="I681" s="529">
        <f t="shared" si="92"/>
        <v>419975</v>
      </c>
      <c r="J681" s="529">
        <f>J679+J680</f>
        <v>419975</v>
      </c>
      <c r="K681" s="529">
        <f>K679+K680</f>
        <v>0</v>
      </c>
      <c r="L681" s="529">
        <f t="shared" si="93"/>
        <v>0</v>
      </c>
      <c r="M681" s="529">
        <f>M679+M680</f>
        <v>0</v>
      </c>
      <c r="N681" s="529">
        <f>N679+N680</f>
        <v>0</v>
      </c>
    </row>
    <row r="682" spans="1:14" s="530" customFormat="1" ht="14.25" hidden="1" customHeight="1">
      <c r="A682" s="1010"/>
      <c r="B682" s="1020"/>
      <c r="C682" s="1012"/>
      <c r="D682" s="1013"/>
      <c r="E682" s="1014" t="s">
        <v>1109</v>
      </c>
      <c r="F682" s="1061"/>
      <c r="G682" s="558" t="s">
        <v>5</v>
      </c>
      <c r="H682" s="496">
        <f t="shared" si="91"/>
        <v>40950</v>
      </c>
      <c r="I682" s="497">
        <f t="shared" si="92"/>
        <v>40950</v>
      </c>
      <c r="J682" s="497">
        <v>0</v>
      </c>
      <c r="K682" s="497">
        <v>40950</v>
      </c>
      <c r="L682" s="497">
        <f t="shared" si="93"/>
        <v>0</v>
      </c>
      <c r="M682" s="497">
        <v>0</v>
      </c>
      <c r="N682" s="497">
        <v>0</v>
      </c>
    </row>
    <row r="683" spans="1:14" s="530" customFormat="1" ht="14.25" hidden="1" customHeight="1">
      <c r="A683" s="1010"/>
      <c r="B683" s="1020"/>
      <c r="C683" s="1012"/>
      <c r="D683" s="1013"/>
      <c r="E683" s="1016"/>
      <c r="F683" s="1062"/>
      <c r="G683" s="558" t="s">
        <v>6</v>
      </c>
      <c r="H683" s="496">
        <f t="shared" si="91"/>
        <v>0</v>
      </c>
      <c r="I683" s="497">
        <f t="shared" si="92"/>
        <v>0</v>
      </c>
      <c r="J683" s="497">
        <v>0</v>
      </c>
      <c r="K683" s="497">
        <v>0</v>
      </c>
      <c r="L683" s="497">
        <f t="shared" si="93"/>
        <v>0</v>
      </c>
      <c r="M683" s="497">
        <v>0</v>
      </c>
      <c r="N683" s="497">
        <v>0</v>
      </c>
    </row>
    <row r="684" spans="1:14" s="448" customFormat="1" ht="14.25" hidden="1" customHeight="1">
      <c r="A684" s="1025"/>
      <c r="B684" s="1026"/>
      <c r="C684" s="1027"/>
      <c r="D684" s="1028"/>
      <c r="E684" s="1018"/>
      <c r="F684" s="1063"/>
      <c r="G684" s="527" t="s">
        <v>7</v>
      </c>
      <c r="H684" s="528">
        <f t="shared" si="91"/>
        <v>40950</v>
      </c>
      <c r="I684" s="529">
        <f t="shared" si="92"/>
        <v>40950</v>
      </c>
      <c r="J684" s="529">
        <f>J682+J683</f>
        <v>0</v>
      </c>
      <c r="K684" s="529">
        <f>K682+K683</f>
        <v>40950</v>
      </c>
      <c r="L684" s="529">
        <f t="shared" si="93"/>
        <v>0</v>
      </c>
      <c r="M684" s="529">
        <f>M682+M683</f>
        <v>0</v>
      </c>
      <c r="N684" s="529">
        <f>N682+N683</f>
        <v>0</v>
      </c>
    </row>
    <row r="685" spans="1:14" s="530" customFormat="1" ht="14.25" customHeight="1">
      <c r="A685" s="1010"/>
      <c r="B685" s="1020"/>
      <c r="C685" s="1012"/>
      <c r="D685" s="1013"/>
      <c r="E685" s="1014" t="s">
        <v>1110</v>
      </c>
      <c r="F685" s="1061"/>
      <c r="G685" s="558" t="s">
        <v>5</v>
      </c>
      <c r="H685" s="496">
        <f t="shared" si="91"/>
        <v>0</v>
      </c>
      <c r="I685" s="497">
        <f t="shared" si="92"/>
        <v>0</v>
      </c>
      <c r="J685" s="497">
        <v>0</v>
      </c>
      <c r="K685" s="497">
        <v>0</v>
      </c>
      <c r="L685" s="497">
        <f t="shared" si="93"/>
        <v>0</v>
      </c>
      <c r="M685" s="497">
        <v>0</v>
      </c>
      <c r="N685" s="497">
        <v>0</v>
      </c>
    </row>
    <row r="686" spans="1:14" s="530" customFormat="1" ht="14.25" customHeight="1">
      <c r="A686" s="1010"/>
      <c r="B686" s="1020"/>
      <c r="C686" s="1012"/>
      <c r="D686" s="1013"/>
      <c r="E686" s="1016"/>
      <c r="F686" s="1062"/>
      <c r="G686" s="558" t="s">
        <v>6</v>
      </c>
      <c r="H686" s="496">
        <f t="shared" si="91"/>
        <v>12315</v>
      </c>
      <c r="I686" s="497">
        <f t="shared" si="92"/>
        <v>12315</v>
      </c>
      <c r="J686" s="497">
        <v>0</v>
      </c>
      <c r="K686" s="497">
        <v>12315</v>
      </c>
      <c r="L686" s="497">
        <f t="shared" si="93"/>
        <v>0</v>
      </c>
      <c r="M686" s="497">
        <v>0</v>
      </c>
      <c r="N686" s="497">
        <v>0</v>
      </c>
    </row>
    <row r="687" spans="1:14" s="448" customFormat="1" ht="14.25" customHeight="1">
      <c r="A687" s="1025"/>
      <c r="B687" s="1026"/>
      <c r="C687" s="1027"/>
      <c r="D687" s="1028"/>
      <c r="E687" s="1018"/>
      <c r="F687" s="1063"/>
      <c r="G687" s="527" t="s">
        <v>7</v>
      </c>
      <c r="H687" s="528">
        <f t="shared" si="91"/>
        <v>12315</v>
      </c>
      <c r="I687" s="529">
        <f t="shared" si="92"/>
        <v>12315</v>
      </c>
      <c r="J687" s="529">
        <f>J685+J686</f>
        <v>0</v>
      </c>
      <c r="K687" s="529">
        <f>K685+K686</f>
        <v>12315</v>
      </c>
      <c r="L687" s="529">
        <f t="shared" si="93"/>
        <v>0</v>
      </c>
      <c r="M687" s="529">
        <f>M685+M686</f>
        <v>0</v>
      </c>
      <c r="N687" s="529">
        <f>N685+N686</f>
        <v>0</v>
      </c>
    </row>
    <row r="688" spans="1:14" s="530" customFormat="1" ht="15" customHeight="1">
      <c r="A688" s="1010"/>
      <c r="B688" s="1020"/>
      <c r="C688" s="1012"/>
      <c r="D688" s="1013"/>
      <c r="E688" s="1014" t="s">
        <v>1111</v>
      </c>
      <c r="F688" s="1015"/>
      <c r="G688" s="495" t="s">
        <v>5</v>
      </c>
      <c r="H688" s="496">
        <f t="shared" si="91"/>
        <v>327496</v>
      </c>
      <c r="I688" s="497">
        <f t="shared" si="92"/>
        <v>327496</v>
      </c>
      <c r="J688" s="497">
        <v>327496</v>
      </c>
      <c r="K688" s="497">
        <v>0</v>
      </c>
      <c r="L688" s="497">
        <f t="shared" si="93"/>
        <v>0</v>
      </c>
      <c r="M688" s="497">
        <v>0</v>
      </c>
      <c r="N688" s="497">
        <v>0</v>
      </c>
    </row>
    <row r="689" spans="1:14" s="530" customFormat="1" ht="15" customHeight="1">
      <c r="A689" s="1010"/>
      <c r="B689" s="1037"/>
      <c r="C689" s="1012"/>
      <c r="D689" s="1037"/>
      <c r="E689" s="1016"/>
      <c r="F689" s="1017"/>
      <c r="G689" s="495" t="s">
        <v>6</v>
      </c>
      <c r="H689" s="496">
        <f t="shared" si="91"/>
        <v>64044</v>
      </c>
      <c r="I689" s="497">
        <f t="shared" si="92"/>
        <v>64044</v>
      </c>
      <c r="J689" s="497">
        <v>64044</v>
      </c>
      <c r="K689" s="497">
        <v>0</v>
      </c>
      <c r="L689" s="497">
        <f t="shared" si="93"/>
        <v>0</v>
      </c>
      <c r="M689" s="497">
        <v>0</v>
      </c>
      <c r="N689" s="497">
        <v>0</v>
      </c>
    </row>
    <row r="690" spans="1:14" s="530" customFormat="1" ht="15" customHeight="1">
      <c r="A690" s="1010"/>
      <c r="B690" s="1037"/>
      <c r="C690" s="1012"/>
      <c r="D690" s="1037"/>
      <c r="E690" s="1018"/>
      <c r="F690" s="1019"/>
      <c r="G690" s="495" t="s">
        <v>7</v>
      </c>
      <c r="H690" s="496">
        <f t="shared" si="91"/>
        <v>391540</v>
      </c>
      <c r="I690" s="497">
        <f t="shared" si="92"/>
        <v>391540</v>
      </c>
      <c r="J690" s="497">
        <f>J688+J689</f>
        <v>391540</v>
      </c>
      <c r="K690" s="497">
        <f>K688+K689</f>
        <v>0</v>
      </c>
      <c r="L690" s="497">
        <f t="shared" si="93"/>
        <v>0</v>
      </c>
      <c r="M690" s="497">
        <f>M688+M689</f>
        <v>0</v>
      </c>
      <c r="N690" s="497">
        <f>N688+N689</f>
        <v>0</v>
      </c>
    </row>
    <row r="691" spans="1:14" s="530" customFormat="1" ht="15" hidden="1" customHeight="1">
      <c r="A691" s="1010"/>
      <c r="B691" s="1020"/>
      <c r="C691" s="1012"/>
      <c r="D691" s="1013"/>
      <c r="E691" s="1014" t="s">
        <v>1112</v>
      </c>
      <c r="F691" s="1015"/>
      <c r="G691" s="495" t="s">
        <v>5</v>
      </c>
      <c r="H691" s="496">
        <f t="shared" si="91"/>
        <v>150000</v>
      </c>
      <c r="I691" s="497">
        <f t="shared" si="92"/>
        <v>150000</v>
      </c>
      <c r="J691" s="497">
        <v>150000</v>
      </c>
      <c r="K691" s="497">
        <v>0</v>
      </c>
      <c r="L691" s="497">
        <f t="shared" si="93"/>
        <v>0</v>
      </c>
      <c r="M691" s="497">
        <v>0</v>
      </c>
      <c r="N691" s="497">
        <v>0</v>
      </c>
    </row>
    <row r="692" spans="1:14" s="530" customFormat="1" ht="15" hidden="1" customHeight="1">
      <c r="A692" s="1010"/>
      <c r="B692" s="1037"/>
      <c r="C692" s="1012"/>
      <c r="D692" s="1037"/>
      <c r="E692" s="1016"/>
      <c r="F692" s="1017"/>
      <c r="G692" s="495" t="s">
        <v>6</v>
      </c>
      <c r="H692" s="496">
        <f t="shared" si="91"/>
        <v>0</v>
      </c>
      <c r="I692" s="497">
        <f t="shared" si="92"/>
        <v>0</v>
      </c>
      <c r="J692" s="497">
        <v>0</v>
      </c>
      <c r="K692" s="497">
        <v>0</v>
      </c>
      <c r="L692" s="497">
        <f t="shared" si="93"/>
        <v>0</v>
      </c>
      <c r="M692" s="497">
        <v>0</v>
      </c>
      <c r="N692" s="497">
        <v>0</v>
      </c>
    </row>
    <row r="693" spans="1:14" s="530" customFormat="1" ht="15" hidden="1" customHeight="1">
      <c r="A693" s="1010"/>
      <c r="B693" s="1037"/>
      <c r="C693" s="1012"/>
      <c r="D693" s="1037"/>
      <c r="E693" s="1018"/>
      <c r="F693" s="1019"/>
      <c r="G693" s="495" t="s">
        <v>7</v>
      </c>
      <c r="H693" s="496">
        <f t="shared" si="91"/>
        <v>150000</v>
      </c>
      <c r="I693" s="497">
        <f t="shared" si="92"/>
        <v>150000</v>
      </c>
      <c r="J693" s="497">
        <f>J691+J692</f>
        <v>150000</v>
      </c>
      <c r="K693" s="497">
        <f>K691+K692</f>
        <v>0</v>
      </c>
      <c r="L693" s="497">
        <f t="shared" si="93"/>
        <v>0</v>
      </c>
      <c r="M693" s="497">
        <f>M691+M692</f>
        <v>0</v>
      </c>
      <c r="N693" s="497">
        <f>N691+N692</f>
        <v>0</v>
      </c>
    </row>
    <row r="694" spans="1:14" s="530" customFormat="1" ht="14.25" customHeight="1">
      <c r="A694" s="1010"/>
      <c r="B694" s="1020"/>
      <c r="C694" s="1012"/>
      <c r="D694" s="1013"/>
      <c r="E694" s="1014" t="s">
        <v>1113</v>
      </c>
      <c r="F694" s="1015"/>
      <c r="G694" s="495" t="s">
        <v>5</v>
      </c>
      <c r="H694" s="496">
        <f t="shared" si="91"/>
        <v>90000</v>
      </c>
      <c r="I694" s="497">
        <f t="shared" si="92"/>
        <v>90000</v>
      </c>
      <c r="J694" s="497">
        <v>0</v>
      </c>
      <c r="K694" s="497">
        <v>90000</v>
      </c>
      <c r="L694" s="497">
        <f t="shared" si="93"/>
        <v>0</v>
      </c>
      <c r="M694" s="497">
        <v>0</v>
      </c>
      <c r="N694" s="497">
        <v>0</v>
      </c>
    </row>
    <row r="695" spans="1:14" s="530" customFormat="1" ht="14.25" customHeight="1">
      <c r="A695" s="1010"/>
      <c r="B695" s="1037"/>
      <c r="C695" s="1012"/>
      <c r="D695" s="1037"/>
      <c r="E695" s="1016"/>
      <c r="F695" s="1017"/>
      <c r="G695" s="495" t="s">
        <v>6</v>
      </c>
      <c r="H695" s="496">
        <f t="shared" si="91"/>
        <v>20149</v>
      </c>
      <c r="I695" s="497">
        <f t="shared" si="92"/>
        <v>20149</v>
      </c>
      <c r="J695" s="497">
        <v>0</v>
      </c>
      <c r="K695" s="497">
        <v>20149</v>
      </c>
      <c r="L695" s="497">
        <f t="shared" si="93"/>
        <v>0</v>
      </c>
      <c r="M695" s="497">
        <v>0</v>
      </c>
      <c r="N695" s="497">
        <v>0</v>
      </c>
    </row>
    <row r="696" spans="1:14" s="530" customFormat="1" ht="14.25" customHeight="1">
      <c r="A696" s="1010"/>
      <c r="B696" s="1037"/>
      <c r="C696" s="1012"/>
      <c r="D696" s="1037"/>
      <c r="E696" s="1018"/>
      <c r="F696" s="1019"/>
      <c r="G696" s="495" t="s">
        <v>7</v>
      </c>
      <c r="H696" s="496">
        <f t="shared" si="91"/>
        <v>110149</v>
      </c>
      <c r="I696" s="497">
        <f t="shared" si="92"/>
        <v>110149</v>
      </c>
      <c r="J696" s="497">
        <f>J694+J695</f>
        <v>0</v>
      </c>
      <c r="K696" s="497">
        <f>K694+K695</f>
        <v>110149</v>
      </c>
      <c r="L696" s="497">
        <f t="shared" si="93"/>
        <v>0</v>
      </c>
      <c r="M696" s="497">
        <f>M694+M695</f>
        <v>0</v>
      </c>
      <c r="N696" s="497">
        <f>N694+N695</f>
        <v>0</v>
      </c>
    </row>
    <row r="697" spans="1:14" s="530" customFormat="1" ht="14.25" customHeight="1">
      <c r="A697" s="1010"/>
      <c r="B697" s="1020"/>
      <c r="C697" s="1012"/>
      <c r="D697" s="1013"/>
      <c r="E697" s="1014" t="s">
        <v>1114</v>
      </c>
      <c r="F697" s="1015"/>
      <c r="G697" s="495" t="s">
        <v>5</v>
      </c>
      <c r="H697" s="496">
        <f t="shared" si="91"/>
        <v>12850</v>
      </c>
      <c r="I697" s="497">
        <f t="shared" si="92"/>
        <v>12850</v>
      </c>
      <c r="J697" s="497">
        <v>0</v>
      </c>
      <c r="K697" s="497">
        <v>12850</v>
      </c>
      <c r="L697" s="497">
        <f t="shared" si="93"/>
        <v>0</v>
      </c>
      <c r="M697" s="497">
        <v>0</v>
      </c>
      <c r="N697" s="497">
        <v>0</v>
      </c>
    </row>
    <row r="698" spans="1:14" s="530" customFormat="1" ht="14.25" customHeight="1">
      <c r="A698" s="1010"/>
      <c r="B698" s="1037"/>
      <c r="C698" s="1012"/>
      <c r="D698" s="1037"/>
      <c r="E698" s="1016"/>
      <c r="F698" s="1017"/>
      <c r="G698" s="495" t="s">
        <v>6</v>
      </c>
      <c r="H698" s="496">
        <f t="shared" ref="H698:H747" si="94">I698+L698</f>
        <v>-6450</v>
      </c>
      <c r="I698" s="497">
        <f t="shared" ref="I698:I747" si="95">J698+K698</f>
        <v>-6450</v>
      </c>
      <c r="J698" s="497">
        <v>0</v>
      </c>
      <c r="K698" s="497">
        <v>-6450</v>
      </c>
      <c r="L698" s="497">
        <f t="shared" ref="L698:L747" si="96">M698+N698</f>
        <v>0</v>
      </c>
      <c r="M698" s="497">
        <v>0</v>
      </c>
      <c r="N698" s="497">
        <v>0</v>
      </c>
    </row>
    <row r="699" spans="1:14" s="530" customFormat="1" ht="14.25" customHeight="1">
      <c r="A699" s="1010"/>
      <c r="B699" s="1037"/>
      <c r="C699" s="1012"/>
      <c r="D699" s="1037"/>
      <c r="E699" s="1018"/>
      <c r="F699" s="1019"/>
      <c r="G699" s="495" t="s">
        <v>7</v>
      </c>
      <c r="H699" s="496">
        <f t="shared" si="94"/>
        <v>6400</v>
      </c>
      <c r="I699" s="497">
        <f t="shared" si="95"/>
        <v>6400</v>
      </c>
      <c r="J699" s="497">
        <f>J697+J698</f>
        <v>0</v>
      </c>
      <c r="K699" s="497">
        <f>K697+K698</f>
        <v>6400</v>
      </c>
      <c r="L699" s="497">
        <f t="shared" si="96"/>
        <v>0</v>
      </c>
      <c r="M699" s="497">
        <f>M697+M698</f>
        <v>0</v>
      </c>
      <c r="N699" s="497">
        <f>N697+N698</f>
        <v>0</v>
      </c>
    </row>
    <row r="700" spans="1:14" s="530" customFormat="1" ht="14.25" customHeight="1">
      <c r="A700" s="1010"/>
      <c r="B700" s="1020"/>
      <c r="C700" s="1012"/>
      <c r="D700" s="1013"/>
      <c r="E700" s="1014" t="s">
        <v>1115</v>
      </c>
      <c r="F700" s="1015"/>
      <c r="G700" s="495" t="s">
        <v>5</v>
      </c>
      <c r="H700" s="496">
        <f t="shared" si="94"/>
        <v>0</v>
      </c>
      <c r="I700" s="497">
        <f t="shared" si="95"/>
        <v>0</v>
      </c>
      <c r="J700" s="497">
        <v>0</v>
      </c>
      <c r="K700" s="497">
        <v>0</v>
      </c>
      <c r="L700" s="497">
        <f t="shared" si="96"/>
        <v>0</v>
      </c>
      <c r="M700" s="497">
        <v>0</v>
      </c>
      <c r="N700" s="497">
        <v>0</v>
      </c>
    </row>
    <row r="701" spans="1:14" s="530" customFormat="1" ht="14.25" customHeight="1">
      <c r="A701" s="1010"/>
      <c r="B701" s="1037"/>
      <c r="C701" s="1012"/>
      <c r="D701" s="1037"/>
      <c r="E701" s="1016"/>
      <c r="F701" s="1017"/>
      <c r="G701" s="495" t="s">
        <v>6</v>
      </c>
      <c r="H701" s="496">
        <f t="shared" si="94"/>
        <v>25900</v>
      </c>
      <c r="I701" s="497">
        <f t="shared" si="95"/>
        <v>25900</v>
      </c>
      <c r="J701" s="497">
        <v>25900</v>
      </c>
      <c r="K701" s="497">
        <v>0</v>
      </c>
      <c r="L701" s="497">
        <f t="shared" si="96"/>
        <v>0</v>
      </c>
      <c r="M701" s="497">
        <v>0</v>
      </c>
      <c r="N701" s="497">
        <v>0</v>
      </c>
    </row>
    <row r="702" spans="1:14" s="530" customFormat="1" ht="14.25" customHeight="1">
      <c r="A702" s="1010"/>
      <c r="B702" s="1037"/>
      <c r="C702" s="1023"/>
      <c r="D702" s="1060"/>
      <c r="E702" s="1018"/>
      <c r="F702" s="1019"/>
      <c r="G702" s="495" t="s">
        <v>7</v>
      </c>
      <c r="H702" s="496">
        <f t="shared" si="94"/>
        <v>25900</v>
      </c>
      <c r="I702" s="497">
        <f t="shared" si="95"/>
        <v>25900</v>
      </c>
      <c r="J702" s="497">
        <f>J700+J701</f>
        <v>25900</v>
      </c>
      <c r="K702" s="497">
        <f>K700+K701</f>
        <v>0</v>
      </c>
      <c r="L702" s="497">
        <f t="shared" si="96"/>
        <v>0</v>
      </c>
      <c r="M702" s="497">
        <f>M700+M701</f>
        <v>0</v>
      </c>
      <c r="N702" s="497">
        <f>N700+N701</f>
        <v>0</v>
      </c>
    </row>
    <row r="703" spans="1:14" s="448" customFormat="1" ht="15" hidden="1" customHeight="1">
      <c r="A703" s="1025"/>
      <c r="B703" s="1026"/>
      <c r="C703" s="1031" t="s">
        <v>1008</v>
      </c>
      <c r="D703" s="1032"/>
      <c r="E703" s="1054" t="s">
        <v>1116</v>
      </c>
      <c r="F703" s="1055"/>
      <c r="G703" s="565" t="s">
        <v>5</v>
      </c>
      <c r="H703" s="496">
        <f t="shared" si="94"/>
        <v>1125000</v>
      </c>
      <c r="I703" s="497">
        <f t="shared" si="95"/>
        <v>225000</v>
      </c>
      <c r="J703" s="497">
        <v>0</v>
      </c>
      <c r="K703" s="497">
        <v>225000</v>
      </c>
      <c r="L703" s="497">
        <f t="shared" si="96"/>
        <v>900000</v>
      </c>
      <c r="M703" s="497">
        <v>0</v>
      </c>
      <c r="N703" s="497">
        <v>900000</v>
      </c>
    </row>
    <row r="704" spans="1:14" s="448" customFormat="1" ht="15" hidden="1" customHeight="1">
      <c r="A704" s="1025"/>
      <c r="B704" s="1037"/>
      <c r="C704" s="1027"/>
      <c r="D704" s="1037"/>
      <c r="E704" s="1056"/>
      <c r="F704" s="1057"/>
      <c r="G704" s="565" t="s">
        <v>6</v>
      </c>
      <c r="H704" s="496">
        <f t="shared" si="94"/>
        <v>0</v>
      </c>
      <c r="I704" s="497">
        <f t="shared" si="95"/>
        <v>0</v>
      </c>
      <c r="J704" s="497">
        <v>0</v>
      </c>
      <c r="K704" s="497">
        <v>0</v>
      </c>
      <c r="L704" s="497">
        <f t="shared" si="96"/>
        <v>0</v>
      </c>
      <c r="M704" s="497">
        <v>0</v>
      </c>
      <c r="N704" s="497">
        <v>0</v>
      </c>
    </row>
    <row r="705" spans="1:14" s="448" customFormat="1" ht="15" hidden="1" customHeight="1">
      <c r="A705" s="1025"/>
      <c r="B705" s="1037"/>
      <c r="C705" s="1035"/>
      <c r="D705" s="1060"/>
      <c r="E705" s="1058"/>
      <c r="F705" s="1059"/>
      <c r="G705" s="565" t="s">
        <v>7</v>
      </c>
      <c r="H705" s="496">
        <f t="shared" si="94"/>
        <v>1125000</v>
      </c>
      <c r="I705" s="497">
        <f t="shared" si="95"/>
        <v>225000</v>
      </c>
      <c r="J705" s="497">
        <f>J703+J704</f>
        <v>0</v>
      </c>
      <c r="K705" s="497">
        <f>K703+K704</f>
        <v>225000</v>
      </c>
      <c r="L705" s="497">
        <f t="shared" si="96"/>
        <v>900000</v>
      </c>
      <c r="M705" s="497">
        <f>M703+M704</f>
        <v>0</v>
      </c>
      <c r="N705" s="497">
        <f>N703+N704</f>
        <v>900000</v>
      </c>
    </row>
    <row r="706" spans="1:14" s="530" customFormat="1" ht="15" hidden="1" customHeight="1">
      <c r="A706" s="1010"/>
      <c r="B706" s="1020"/>
      <c r="C706" s="1052" t="s">
        <v>284</v>
      </c>
      <c r="D706" s="1053"/>
      <c r="E706" s="1014" t="s">
        <v>1117</v>
      </c>
      <c r="F706" s="1015"/>
      <c r="G706" s="495" t="s">
        <v>5</v>
      </c>
      <c r="H706" s="496">
        <f t="shared" si="94"/>
        <v>1100000</v>
      </c>
      <c r="I706" s="497">
        <f t="shared" si="95"/>
        <v>0</v>
      </c>
      <c r="J706" s="497">
        <v>0</v>
      </c>
      <c r="K706" s="497">
        <v>0</v>
      </c>
      <c r="L706" s="497">
        <f t="shared" si="96"/>
        <v>1100000</v>
      </c>
      <c r="M706" s="497">
        <v>0</v>
      </c>
      <c r="N706" s="497">
        <v>1100000</v>
      </c>
    </row>
    <row r="707" spans="1:14" s="530" customFormat="1" ht="15" hidden="1" customHeight="1">
      <c r="A707" s="1010"/>
      <c r="B707" s="1037"/>
      <c r="C707" s="1012"/>
      <c r="D707" s="1037"/>
      <c r="E707" s="1016"/>
      <c r="F707" s="1017"/>
      <c r="G707" s="495" t="s">
        <v>6</v>
      </c>
      <c r="H707" s="496">
        <f t="shared" si="94"/>
        <v>0</v>
      </c>
      <c r="I707" s="497">
        <f t="shared" si="95"/>
        <v>0</v>
      </c>
      <c r="J707" s="497">
        <v>0</v>
      </c>
      <c r="K707" s="497">
        <v>0</v>
      </c>
      <c r="L707" s="497">
        <f t="shared" si="96"/>
        <v>0</v>
      </c>
      <c r="M707" s="497">
        <v>0</v>
      </c>
      <c r="N707" s="497">
        <v>0</v>
      </c>
    </row>
    <row r="708" spans="1:14" s="530" customFormat="1" ht="15" hidden="1" customHeight="1">
      <c r="A708" s="1010"/>
      <c r="B708" s="1037"/>
      <c r="C708" s="1012"/>
      <c r="D708" s="1037"/>
      <c r="E708" s="1018"/>
      <c r="F708" s="1019"/>
      <c r="G708" s="495" t="s">
        <v>7</v>
      </c>
      <c r="H708" s="496">
        <f t="shared" si="94"/>
        <v>1100000</v>
      </c>
      <c r="I708" s="497">
        <f t="shared" si="95"/>
        <v>0</v>
      </c>
      <c r="J708" s="497">
        <f>J706+J707</f>
        <v>0</v>
      </c>
      <c r="K708" s="497">
        <f>K706+K707</f>
        <v>0</v>
      </c>
      <c r="L708" s="497">
        <f t="shared" si="96"/>
        <v>1100000</v>
      </c>
      <c r="M708" s="497">
        <f>M706+M707</f>
        <v>0</v>
      </c>
      <c r="N708" s="497">
        <f>N706+N707</f>
        <v>1100000</v>
      </c>
    </row>
    <row r="709" spans="1:14" s="448" customFormat="1" ht="15" hidden="1" customHeight="1">
      <c r="A709" s="1025"/>
      <c r="B709" s="1026"/>
      <c r="C709" s="1027"/>
      <c r="D709" s="1028"/>
      <c r="E709" s="1014" t="s">
        <v>1118</v>
      </c>
      <c r="F709" s="1015"/>
      <c r="G709" s="495" t="s">
        <v>5</v>
      </c>
      <c r="H709" s="496">
        <f t="shared" si="94"/>
        <v>370000</v>
      </c>
      <c r="I709" s="497">
        <f t="shared" si="95"/>
        <v>370000</v>
      </c>
      <c r="J709" s="497">
        <v>0</v>
      </c>
      <c r="K709" s="497">
        <v>370000</v>
      </c>
      <c r="L709" s="497">
        <f t="shared" si="96"/>
        <v>0</v>
      </c>
      <c r="M709" s="497">
        <v>0</v>
      </c>
      <c r="N709" s="497">
        <v>0</v>
      </c>
    </row>
    <row r="710" spans="1:14" s="448" customFormat="1" ht="15" hidden="1" customHeight="1">
      <c r="A710" s="1025"/>
      <c r="B710" s="1037"/>
      <c r="C710" s="1027"/>
      <c r="D710" s="1037"/>
      <c r="E710" s="1016"/>
      <c r="F710" s="1017"/>
      <c r="G710" s="495" t="s">
        <v>6</v>
      </c>
      <c r="H710" s="496">
        <f t="shared" si="94"/>
        <v>0</v>
      </c>
      <c r="I710" s="497">
        <f t="shared" si="95"/>
        <v>0</v>
      </c>
      <c r="J710" s="497">
        <v>0</v>
      </c>
      <c r="K710" s="497">
        <v>0</v>
      </c>
      <c r="L710" s="497">
        <f t="shared" si="96"/>
        <v>0</v>
      </c>
      <c r="M710" s="497">
        <v>0</v>
      </c>
      <c r="N710" s="497">
        <v>0</v>
      </c>
    </row>
    <row r="711" spans="1:14" s="448" customFormat="1" ht="15" hidden="1" customHeight="1">
      <c r="A711" s="1025"/>
      <c r="B711" s="1037"/>
      <c r="C711" s="1027"/>
      <c r="D711" s="1037"/>
      <c r="E711" s="1018"/>
      <c r="F711" s="1019"/>
      <c r="G711" s="495" t="s">
        <v>7</v>
      </c>
      <c r="H711" s="496">
        <f t="shared" si="94"/>
        <v>370000</v>
      </c>
      <c r="I711" s="497">
        <f t="shared" si="95"/>
        <v>370000</v>
      </c>
      <c r="J711" s="497">
        <f>J709+J710</f>
        <v>0</v>
      </c>
      <c r="K711" s="497">
        <f>K709+K710</f>
        <v>370000</v>
      </c>
      <c r="L711" s="497">
        <f t="shared" si="96"/>
        <v>0</v>
      </c>
      <c r="M711" s="497">
        <f>M709+M710</f>
        <v>0</v>
      </c>
      <c r="N711" s="497">
        <f>N709+N710</f>
        <v>0</v>
      </c>
    </row>
    <row r="712" spans="1:14" s="530" customFormat="1" ht="15" hidden="1" customHeight="1">
      <c r="A712" s="1010"/>
      <c r="B712" s="1020"/>
      <c r="C712" s="1012"/>
      <c r="D712" s="1013"/>
      <c r="E712" s="1014" t="s">
        <v>1119</v>
      </c>
      <c r="F712" s="1015"/>
      <c r="G712" s="495" t="s">
        <v>5</v>
      </c>
      <c r="H712" s="496">
        <f t="shared" si="94"/>
        <v>50000</v>
      </c>
      <c r="I712" s="497">
        <f t="shared" si="95"/>
        <v>50000</v>
      </c>
      <c r="J712" s="497">
        <v>0</v>
      </c>
      <c r="K712" s="497">
        <v>50000</v>
      </c>
      <c r="L712" s="497">
        <f t="shared" si="96"/>
        <v>0</v>
      </c>
      <c r="M712" s="497">
        <v>0</v>
      </c>
      <c r="N712" s="497">
        <v>0</v>
      </c>
    </row>
    <row r="713" spans="1:14" s="530" customFormat="1" ht="15" hidden="1" customHeight="1">
      <c r="A713" s="1010"/>
      <c r="B713" s="1037"/>
      <c r="C713" s="1012"/>
      <c r="D713" s="1037"/>
      <c r="E713" s="1016"/>
      <c r="F713" s="1017"/>
      <c r="G713" s="495" t="s">
        <v>6</v>
      </c>
      <c r="H713" s="496">
        <f t="shared" si="94"/>
        <v>0</v>
      </c>
      <c r="I713" s="497">
        <f t="shared" si="95"/>
        <v>0</v>
      </c>
      <c r="J713" s="497">
        <v>0</v>
      </c>
      <c r="K713" s="497">
        <v>0</v>
      </c>
      <c r="L713" s="497">
        <f t="shared" si="96"/>
        <v>0</v>
      </c>
      <c r="M713" s="497">
        <v>0</v>
      </c>
      <c r="N713" s="497">
        <v>0</v>
      </c>
    </row>
    <row r="714" spans="1:14" s="530" customFormat="1" ht="15" hidden="1" customHeight="1">
      <c r="A714" s="1010"/>
      <c r="B714" s="1037"/>
      <c r="C714" s="1012"/>
      <c r="D714" s="1037"/>
      <c r="E714" s="1018"/>
      <c r="F714" s="1019"/>
      <c r="G714" s="495" t="s">
        <v>7</v>
      </c>
      <c r="H714" s="496">
        <f t="shared" si="94"/>
        <v>50000</v>
      </c>
      <c r="I714" s="497">
        <f t="shared" si="95"/>
        <v>50000</v>
      </c>
      <c r="J714" s="497">
        <f>J712+J713</f>
        <v>0</v>
      </c>
      <c r="K714" s="497">
        <f>K712+K713</f>
        <v>50000</v>
      </c>
      <c r="L714" s="497">
        <f t="shared" si="96"/>
        <v>0</v>
      </c>
      <c r="M714" s="497">
        <f>M712+M713</f>
        <v>0</v>
      </c>
      <c r="N714" s="497">
        <f>N712+N713</f>
        <v>0</v>
      </c>
    </row>
    <row r="715" spans="1:14" s="530" customFormat="1" ht="15" customHeight="1">
      <c r="A715" s="1010"/>
      <c r="B715" s="1020"/>
      <c r="C715" s="1052" t="s">
        <v>284</v>
      </c>
      <c r="D715" s="1053"/>
      <c r="E715" s="1014" t="s">
        <v>1120</v>
      </c>
      <c r="F715" s="1015"/>
      <c r="G715" s="495" t="s">
        <v>5</v>
      </c>
      <c r="H715" s="496">
        <f t="shared" si="94"/>
        <v>640000</v>
      </c>
      <c r="I715" s="497">
        <f t="shared" si="95"/>
        <v>640000</v>
      </c>
      <c r="J715" s="497">
        <v>0</v>
      </c>
      <c r="K715" s="497">
        <v>640000</v>
      </c>
      <c r="L715" s="497">
        <f t="shared" si="96"/>
        <v>0</v>
      </c>
      <c r="M715" s="497">
        <v>0</v>
      </c>
      <c r="N715" s="497">
        <v>0</v>
      </c>
    </row>
    <row r="716" spans="1:14" s="530" customFormat="1" ht="15" customHeight="1">
      <c r="A716" s="1010"/>
      <c r="B716" s="1037"/>
      <c r="C716" s="1012"/>
      <c r="D716" s="1037"/>
      <c r="E716" s="1016"/>
      <c r="F716" s="1017"/>
      <c r="G716" s="495" t="s">
        <v>6</v>
      </c>
      <c r="H716" s="496">
        <f t="shared" si="94"/>
        <v>-340000</v>
      </c>
      <c r="I716" s="497">
        <f t="shared" si="95"/>
        <v>-340000</v>
      </c>
      <c r="J716" s="497">
        <v>0</v>
      </c>
      <c r="K716" s="497">
        <v>-340000</v>
      </c>
      <c r="L716" s="497">
        <f t="shared" si="96"/>
        <v>0</v>
      </c>
      <c r="M716" s="497">
        <v>0</v>
      </c>
      <c r="N716" s="497">
        <v>0</v>
      </c>
    </row>
    <row r="717" spans="1:14" s="530" customFormat="1" ht="15" customHeight="1">
      <c r="A717" s="1010"/>
      <c r="B717" s="1037"/>
      <c r="C717" s="1012"/>
      <c r="D717" s="1037"/>
      <c r="E717" s="1018"/>
      <c r="F717" s="1019"/>
      <c r="G717" s="495" t="s">
        <v>7</v>
      </c>
      <c r="H717" s="496">
        <f t="shared" si="94"/>
        <v>300000</v>
      </c>
      <c r="I717" s="497">
        <f t="shared" si="95"/>
        <v>300000</v>
      </c>
      <c r="J717" s="497">
        <f>J715+J716</f>
        <v>0</v>
      </c>
      <c r="K717" s="497">
        <f>K715+K716</f>
        <v>300000</v>
      </c>
      <c r="L717" s="497">
        <f t="shared" si="96"/>
        <v>0</v>
      </c>
      <c r="M717" s="497">
        <f>M715+M716</f>
        <v>0</v>
      </c>
      <c r="N717" s="497">
        <f>N715+N716</f>
        <v>0</v>
      </c>
    </row>
    <row r="718" spans="1:14" s="530" customFormat="1" ht="15" customHeight="1">
      <c r="A718" s="1010"/>
      <c r="B718" s="1020"/>
      <c r="C718" s="1012"/>
      <c r="D718" s="1013"/>
      <c r="E718" s="1014" t="s">
        <v>1065</v>
      </c>
      <c r="F718" s="1015"/>
      <c r="G718" s="495" t="s">
        <v>5</v>
      </c>
      <c r="H718" s="496">
        <f t="shared" si="94"/>
        <v>450000</v>
      </c>
      <c r="I718" s="497">
        <f t="shared" si="95"/>
        <v>450000</v>
      </c>
      <c r="J718" s="497">
        <v>0</v>
      </c>
      <c r="K718" s="497">
        <v>450000</v>
      </c>
      <c r="L718" s="497">
        <f t="shared" si="96"/>
        <v>0</v>
      </c>
      <c r="M718" s="497">
        <v>0</v>
      </c>
      <c r="N718" s="497">
        <v>0</v>
      </c>
    </row>
    <row r="719" spans="1:14" s="530" customFormat="1" ht="15" customHeight="1">
      <c r="A719" s="1010"/>
      <c r="B719" s="1037"/>
      <c r="C719" s="1012"/>
      <c r="D719" s="1037"/>
      <c r="E719" s="1016"/>
      <c r="F719" s="1017"/>
      <c r="G719" s="495" t="s">
        <v>6</v>
      </c>
      <c r="H719" s="496">
        <f t="shared" si="94"/>
        <v>-450000</v>
      </c>
      <c r="I719" s="497">
        <f t="shared" si="95"/>
        <v>-450000</v>
      </c>
      <c r="J719" s="497">
        <v>0</v>
      </c>
      <c r="K719" s="497">
        <v>-450000</v>
      </c>
      <c r="L719" s="497">
        <f t="shared" si="96"/>
        <v>0</v>
      </c>
      <c r="M719" s="497">
        <v>0</v>
      </c>
      <c r="N719" s="497">
        <v>0</v>
      </c>
    </row>
    <row r="720" spans="1:14" s="530" customFormat="1" ht="15" customHeight="1">
      <c r="A720" s="1010"/>
      <c r="B720" s="1020"/>
      <c r="C720" s="1012"/>
      <c r="D720" s="1013"/>
      <c r="E720" s="1018"/>
      <c r="F720" s="1019"/>
      <c r="G720" s="495" t="s">
        <v>7</v>
      </c>
      <c r="H720" s="496">
        <f t="shared" si="94"/>
        <v>0</v>
      </c>
      <c r="I720" s="497">
        <f t="shared" si="95"/>
        <v>0</v>
      </c>
      <c r="J720" s="497">
        <f>J718+J719</f>
        <v>0</v>
      </c>
      <c r="K720" s="497">
        <f>K718+K719</f>
        <v>0</v>
      </c>
      <c r="L720" s="497">
        <f t="shared" si="96"/>
        <v>0</v>
      </c>
      <c r="M720" s="497">
        <f>M718+M719</f>
        <v>0</v>
      </c>
      <c r="N720" s="497">
        <f>N718+N719</f>
        <v>0</v>
      </c>
    </row>
    <row r="721" spans="1:14" s="530" customFormat="1" ht="15" hidden="1" customHeight="1">
      <c r="A721" s="1010"/>
      <c r="B721" s="1020"/>
      <c r="C721" s="1012"/>
      <c r="D721" s="1013"/>
      <c r="E721" s="1014" t="s">
        <v>1066</v>
      </c>
      <c r="F721" s="1015"/>
      <c r="G721" s="495" t="s">
        <v>5</v>
      </c>
      <c r="H721" s="496">
        <f t="shared" si="94"/>
        <v>450000</v>
      </c>
      <c r="I721" s="497">
        <f t="shared" si="95"/>
        <v>450000</v>
      </c>
      <c r="J721" s="497">
        <v>0</v>
      </c>
      <c r="K721" s="497">
        <v>450000</v>
      </c>
      <c r="L721" s="497">
        <f t="shared" si="96"/>
        <v>0</v>
      </c>
      <c r="M721" s="497">
        <v>0</v>
      </c>
      <c r="N721" s="497">
        <v>0</v>
      </c>
    </row>
    <row r="722" spans="1:14" s="530" customFormat="1" ht="15" hidden="1" customHeight="1">
      <c r="A722" s="1010"/>
      <c r="B722" s="1020"/>
      <c r="C722" s="1012"/>
      <c r="D722" s="1013"/>
      <c r="E722" s="1016"/>
      <c r="F722" s="1017"/>
      <c r="G722" s="495" t="s">
        <v>6</v>
      </c>
      <c r="H722" s="496">
        <f t="shared" si="94"/>
        <v>0</v>
      </c>
      <c r="I722" s="497">
        <f t="shared" si="95"/>
        <v>0</v>
      </c>
      <c r="J722" s="497">
        <v>0</v>
      </c>
      <c r="K722" s="497">
        <v>0</v>
      </c>
      <c r="L722" s="497">
        <f t="shared" si="96"/>
        <v>0</v>
      </c>
      <c r="M722" s="497">
        <v>0</v>
      </c>
      <c r="N722" s="497">
        <v>0</v>
      </c>
    </row>
    <row r="723" spans="1:14" s="530" customFormat="1" ht="15" hidden="1" customHeight="1">
      <c r="A723" s="1010"/>
      <c r="B723" s="1020"/>
      <c r="C723" s="1012"/>
      <c r="D723" s="1013"/>
      <c r="E723" s="1018"/>
      <c r="F723" s="1019"/>
      <c r="G723" s="495" t="s">
        <v>7</v>
      </c>
      <c r="H723" s="496">
        <f t="shared" si="94"/>
        <v>450000</v>
      </c>
      <c r="I723" s="497">
        <f t="shared" si="95"/>
        <v>450000</v>
      </c>
      <c r="J723" s="497">
        <f>J721+J722</f>
        <v>0</v>
      </c>
      <c r="K723" s="497">
        <f>K721+K722</f>
        <v>450000</v>
      </c>
      <c r="L723" s="497">
        <f t="shared" si="96"/>
        <v>0</v>
      </c>
      <c r="M723" s="497">
        <f>M721+M722</f>
        <v>0</v>
      </c>
      <c r="N723" s="497">
        <f>N721+N722</f>
        <v>0</v>
      </c>
    </row>
    <row r="724" spans="1:14" s="530" customFormat="1" ht="15" customHeight="1">
      <c r="A724" s="1010"/>
      <c r="B724" s="1020"/>
      <c r="C724" s="1012"/>
      <c r="D724" s="1013"/>
      <c r="E724" s="1014" t="s">
        <v>1121</v>
      </c>
      <c r="F724" s="1015"/>
      <c r="G724" s="495" t="s">
        <v>5</v>
      </c>
      <c r="H724" s="496">
        <f t="shared" si="94"/>
        <v>130000</v>
      </c>
      <c r="I724" s="497">
        <f t="shared" si="95"/>
        <v>130000</v>
      </c>
      <c r="J724" s="497">
        <v>0</v>
      </c>
      <c r="K724" s="497">
        <v>130000</v>
      </c>
      <c r="L724" s="497">
        <f t="shared" si="96"/>
        <v>0</v>
      </c>
      <c r="M724" s="497">
        <v>0</v>
      </c>
      <c r="N724" s="497">
        <v>0</v>
      </c>
    </row>
    <row r="725" spans="1:14" s="530" customFormat="1" ht="15" customHeight="1">
      <c r="A725" s="1010"/>
      <c r="B725" s="1020"/>
      <c r="C725" s="1012"/>
      <c r="D725" s="1013"/>
      <c r="E725" s="1016"/>
      <c r="F725" s="1017"/>
      <c r="G725" s="495" t="s">
        <v>6</v>
      </c>
      <c r="H725" s="496">
        <f t="shared" si="94"/>
        <v>-9399</v>
      </c>
      <c r="I725" s="497">
        <f t="shared" si="95"/>
        <v>-9399</v>
      </c>
      <c r="J725" s="497">
        <v>0</v>
      </c>
      <c r="K725" s="497">
        <v>-9399</v>
      </c>
      <c r="L725" s="497">
        <f t="shared" si="96"/>
        <v>0</v>
      </c>
      <c r="M725" s="497">
        <v>0</v>
      </c>
      <c r="N725" s="497">
        <v>0</v>
      </c>
    </row>
    <row r="726" spans="1:14" s="530" customFormat="1" ht="15" customHeight="1">
      <c r="A726" s="1010"/>
      <c r="B726" s="1020"/>
      <c r="C726" s="1012"/>
      <c r="D726" s="1013"/>
      <c r="E726" s="1018"/>
      <c r="F726" s="1019"/>
      <c r="G726" s="495" t="s">
        <v>7</v>
      </c>
      <c r="H726" s="496">
        <f t="shared" si="94"/>
        <v>120601</v>
      </c>
      <c r="I726" s="497">
        <f t="shared" si="95"/>
        <v>120601</v>
      </c>
      <c r="J726" s="497">
        <f>J724+J725</f>
        <v>0</v>
      </c>
      <c r="K726" s="497">
        <f>K724+K725</f>
        <v>120601</v>
      </c>
      <c r="L726" s="497">
        <f t="shared" si="96"/>
        <v>0</v>
      </c>
      <c r="M726" s="497">
        <f>M724+M725</f>
        <v>0</v>
      </c>
      <c r="N726" s="497">
        <f>N724+N725</f>
        <v>0</v>
      </c>
    </row>
    <row r="727" spans="1:14" s="569" customFormat="1" ht="15" customHeight="1">
      <c r="A727" s="1038"/>
      <c r="B727" s="1039"/>
      <c r="C727" s="1040"/>
      <c r="D727" s="1041"/>
      <c r="E727" s="1042" t="s">
        <v>1122</v>
      </c>
      <c r="F727" s="1043"/>
      <c r="G727" s="566" t="s">
        <v>5</v>
      </c>
      <c r="H727" s="567">
        <f>I727+L727</f>
        <v>0</v>
      </c>
      <c r="I727" s="568">
        <f>J727+K727</f>
        <v>0</v>
      </c>
      <c r="J727" s="568">
        <v>0</v>
      </c>
      <c r="K727" s="568">
        <v>0</v>
      </c>
      <c r="L727" s="568">
        <f>M727+N727</f>
        <v>0</v>
      </c>
      <c r="M727" s="568">
        <v>0</v>
      </c>
      <c r="N727" s="568">
        <v>0</v>
      </c>
    </row>
    <row r="728" spans="1:14" s="569" customFormat="1" ht="15" customHeight="1">
      <c r="A728" s="1038"/>
      <c r="B728" s="1039"/>
      <c r="C728" s="1040"/>
      <c r="D728" s="1041"/>
      <c r="E728" s="1044"/>
      <c r="F728" s="1045"/>
      <c r="G728" s="566" t="s">
        <v>6</v>
      </c>
      <c r="H728" s="567">
        <f>I728+L728</f>
        <v>50000</v>
      </c>
      <c r="I728" s="568">
        <f>J728+K728</f>
        <v>50000</v>
      </c>
      <c r="J728" s="568">
        <v>0</v>
      </c>
      <c r="K728" s="568">
        <v>50000</v>
      </c>
      <c r="L728" s="568">
        <f>M728+N728</f>
        <v>0</v>
      </c>
      <c r="M728" s="568">
        <v>0</v>
      </c>
      <c r="N728" s="568">
        <v>0</v>
      </c>
    </row>
    <row r="729" spans="1:14" s="571" customFormat="1" ht="15" customHeight="1">
      <c r="A729" s="1048"/>
      <c r="B729" s="1049"/>
      <c r="C729" s="1050"/>
      <c r="D729" s="1051"/>
      <c r="E729" s="1046"/>
      <c r="F729" s="1047"/>
      <c r="G729" s="570" t="s">
        <v>7</v>
      </c>
      <c r="H729" s="567">
        <f>I729+L729</f>
        <v>50000</v>
      </c>
      <c r="I729" s="568">
        <f>J729+K729</f>
        <v>50000</v>
      </c>
      <c r="J729" s="568">
        <f>J727+J728</f>
        <v>0</v>
      </c>
      <c r="K729" s="568">
        <f>K727+K728</f>
        <v>50000</v>
      </c>
      <c r="L729" s="568">
        <f>M729+N729</f>
        <v>0</v>
      </c>
      <c r="M729" s="568">
        <f>M727+M728</f>
        <v>0</v>
      </c>
      <c r="N729" s="568">
        <f>N727+N728</f>
        <v>0</v>
      </c>
    </row>
    <row r="730" spans="1:14" s="448" customFormat="1" ht="15" customHeight="1">
      <c r="A730" s="1025"/>
      <c r="B730" s="1026"/>
      <c r="C730" s="1027"/>
      <c r="D730" s="1028"/>
      <c r="E730" s="1014" t="s">
        <v>377</v>
      </c>
      <c r="F730" s="1015"/>
      <c r="G730" s="495" t="s">
        <v>5</v>
      </c>
      <c r="H730" s="496">
        <f t="shared" ref="H730:H732" si="97">I730+L730</f>
        <v>0</v>
      </c>
      <c r="I730" s="497">
        <f t="shared" ref="I730:I732" si="98">J730+K730</f>
        <v>0</v>
      </c>
      <c r="J730" s="497">
        <v>0</v>
      </c>
      <c r="K730" s="497">
        <v>0</v>
      </c>
      <c r="L730" s="497">
        <f t="shared" ref="L730:L732" si="99">M730+N730</f>
        <v>0</v>
      </c>
      <c r="M730" s="497">
        <v>0</v>
      </c>
      <c r="N730" s="497">
        <v>0</v>
      </c>
    </row>
    <row r="731" spans="1:14" s="448" customFormat="1" ht="15" customHeight="1">
      <c r="A731" s="1025"/>
      <c r="B731" s="1037"/>
      <c r="C731" s="1027"/>
      <c r="D731" s="1037"/>
      <c r="E731" s="1016"/>
      <c r="F731" s="1017"/>
      <c r="G731" s="495" t="s">
        <v>6</v>
      </c>
      <c r="H731" s="496">
        <f t="shared" si="97"/>
        <v>50000</v>
      </c>
      <c r="I731" s="497">
        <f t="shared" si="98"/>
        <v>0</v>
      </c>
      <c r="J731" s="497">
        <v>0</v>
      </c>
      <c r="K731" s="497">
        <v>0</v>
      </c>
      <c r="L731" s="497">
        <f t="shared" si="99"/>
        <v>50000</v>
      </c>
      <c r="M731" s="497">
        <v>50000</v>
      </c>
      <c r="N731" s="497">
        <v>0</v>
      </c>
    </row>
    <row r="732" spans="1:14" s="448" customFormat="1" ht="15" customHeight="1">
      <c r="A732" s="1025"/>
      <c r="B732" s="1037"/>
      <c r="C732" s="1027"/>
      <c r="D732" s="1037"/>
      <c r="E732" s="1018"/>
      <c r="F732" s="1019"/>
      <c r="G732" s="495" t="s">
        <v>7</v>
      </c>
      <c r="H732" s="496">
        <f t="shared" si="97"/>
        <v>50000</v>
      </c>
      <c r="I732" s="497">
        <f t="shared" si="98"/>
        <v>0</v>
      </c>
      <c r="J732" s="497">
        <f>J730+J731</f>
        <v>0</v>
      </c>
      <c r="K732" s="497">
        <f>K730+K731</f>
        <v>0</v>
      </c>
      <c r="L732" s="497">
        <f t="shared" si="99"/>
        <v>50000</v>
      </c>
      <c r="M732" s="497">
        <f>M730+M731</f>
        <v>50000</v>
      </c>
      <c r="N732" s="497">
        <f>N730+N731</f>
        <v>0</v>
      </c>
    </row>
    <row r="733" spans="1:14" s="448" customFormat="1" ht="15" customHeight="1">
      <c r="A733" s="1029" t="s">
        <v>286</v>
      </c>
      <c r="B733" s="1030"/>
      <c r="C733" s="1031" t="s">
        <v>288</v>
      </c>
      <c r="D733" s="1032"/>
      <c r="E733" s="1014" t="s">
        <v>1123</v>
      </c>
      <c r="F733" s="1015"/>
      <c r="G733" s="495" t="s">
        <v>5</v>
      </c>
      <c r="H733" s="496">
        <f t="shared" si="94"/>
        <v>3400000</v>
      </c>
      <c r="I733" s="497">
        <f t="shared" si="95"/>
        <v>0</v>
      </c>
      <c r="J733" s="497">
        <v>0</v>
      </c>
      <c r="K733" s="497">
        <v>0</v>
      </c>
      <c r="L733" s="497">
        <f t="shared" si="96"/>
        <v>3400000</v>
      </c>
      <c r="M733" s="497">
        <v>0</v>
      </c>
      <c r="N733" s="497">
        <v>3400000</v>
      </c>
    </row>
    <row r="734" spans="1:14" s="448" customFormat="1" ht="15" customHeight="1">
      <c r="A734" s="1025"/>
      <c r="B734" s="1026"/>
      <c r="C734" s="1027"/>
      <c r="D734" s="1028"/>
      <c r="E734" s="1016"/>
      <c r="F734" s="1017"/>
      <c r="G734" s="495" t="s">
        <v>6</v>
      </c>
      <c r="H734" s="496">
        <f t="shared" si="94"/>
        <v>60000</v>
      </c>
      <c r="I734" s="497">
        <f t="shared" si="95"/>
        <v>0</v>
      </c>
      <c r="J734" s="497">
        <v>0</v>
      </c>
      <c r="K734" s="497">
        <v>0</v>
      </c>
      <c r="L734" s="497">
        <f t="shared" si="96"/>
        <v>60000</v>
      </c>
      <c r="M734" s="497">
        <v>0</v>
      </c>
      <c r="N734" s="497">
        <v>60000</v>
      </c>
    </row>
    <row r="735" spans="1:14" s="448" customFormat="1" ht="15" customHeight="1">
      <c r="A735" s="1033"/>
      <c r="B735" s="1034"/>
      <c r="C735" s="1035"/>
      <c r="D735" s="1036"/>
      <c r="E735" s="1018"/>
      <c r="F735" s="1019"/>
      <c r="G735" s="495" t="s">
        <v>7</v>
      </c>
      <c r="H735" s="496">
        <f t="shared" si="94"/>
        <v>3460000</v>
      </c>
      <c r="I735" s="497">
        <f t="shared" si="95"/>
        <v>0</v>
      </c>
      <c r="J735" s="497">
        <f>J733+J734</f>
        <v>0</v>
      </c>
      <c r="K735" s="497">
        <f>K733+K734</f>
        <v>0</v>
      </c>
      <c r="L735" s="497">
        <f t="shared" si="96"/>
        <v>3460000</v>
      </c>
      <c r="M735" s="497">
        <f>M733+M734</f>
        <v>0</v>
      </c>
      <c r="N735" s="497">
        <f>N733+N734</f>
        <v>3460000</v>
      </c>
    </row>
    <row r="736" spans="1:14" s="448" customFormat="1" ht="15" customHeight="1">
      <c r="A736" s="1029"/>
      <c r="B736" s="1030"/>
      <c r="C736" s="1031"/>
      <c r="D736" s="1032"/>
      <c r="E736" s="1014" t="s">
        <v>1124</v>
      </c>
      <c r="F736" s="1015"/>
      <c r="G736" s="495" t="s">
        <v>5</v>
      </c>
      <c r="H736" s="496">
        <f t="shared" si="94"/>
        <v>700000</v>
      </c>
      <c r="I736" s="497">
        <f t="shared" si="95"/>
        <v>0</v>
      </c>
      <c r="J736" s="497">
        <v>0</v>
      </c>
      <c r="K736" s="497">
        <v>0</v>
      </c>
      <c r="L736" s="497">
        <f t="shared" si="96"/>
        <v>700000</v>
      </c>
      <c r="M736" s="497">
        <v>0</v>
      </c>
      <c r="N736" s="497">
        <v>700000</v>
      </c>
    </row>
    <row r="737" spans="1:14" s="448" customFormat="1" ht="15" customHeight="1">
      <c r="A737" s="1025"/>
      <c r="B737" s="1026"/>
      <c r="C737" s="1027"/>
      <c r="D737" s="1028"/>
      <c r="E737" s="1016"/>
      <c r="F737" s="1017"/>
      <c r="G737" s="495" t="s">
        <v>6</v>
      </c>
      <c r="H737" s="496">
        <f t="shared" si="94"/>
        <v>-60000</v>
      </c>
      <c r="I737" s="497">
        <f t="shared" si="95"/>
        <v>0</v>
      </c>
      <c r="J737" s="497">
        <v>0</v>
      </c>
      <c r="K737" s="497">
        <v>0</v>
      </c>
      <c r="L737" s="497">
        <f t="shared" si="96"/>
        <v>-60000</v>
      </c>
      <c r="M737" s="497">
        <v>0</v>
      </c>
      <c r="N737" s="497">
        <v>-60000</v>
      </c>
    </row>
    <row r="738" spans="1:14" s="448" customFormat="1" ht="15" customHeight="1">
      <c r="A738" s="1025"/>
      <c r="B738" s="1026"/>
      <c r="C738" s="1027"/>
      <c r="D738" s="1028"/>
      <c r="E738" s="1018"/>
      <c r="F738" s="1019"/>
      <c r="G738" s="495" t="s">
        <v>7</v>
      </c>
      <c r="H738" s="496">
        <f t="shared" si="94"/>
        <v>640000</v>
      </c>
      <c r="I738" s="497">
        <f t="shared" si="95"/>
        <v>0</v>
      </c>
      <c r="J738" s="497">
        <f>J736+J737</f>
        <v>0</v>
      </c>
      <c r="K738" s="497">
        <f>K736+K737</f>
        <v>0</v>
      </c>
      <c r="L738" s="497">
        <f t="shared" si="96"/>
        <v>640000</v>
      </c>
      <c r="M738" s="497">
        <f>M736+M737</f>
        <v>0</v>
      </c>
      <c r="N738" s="497">
        <f>N736+N737</f>
        <v>640000</v>
      </c>
    </row>
    <row r="739" spans="1:14" s="448" customFormat="1" ht="15" hidden="1" customHeight="1">
      <c r="A739" s="1025"/>
      <c r="B739" s="1026"/>
      <c r="C739" s="1027"/>
      <c r="D739" s="1028"/>
      <c r="E739" s="1014" t="s">
        <v>1125</v>
      </c>
      <c r="F739" s="1015"/>
      <c r="G739" s="495" t="s">
        <v>5</v>
      </c>
      <c r="H739" s="496">
        <f t="shared" si="94"/>
        <v>0</v>
      </c>
      <c r="I739" s="497">
        <f t="shared" si="95"/>
        <v>0</v>
      </c>
      <c r="J739" s="497">
        <v>0</v>
      </c>
      <c r="K739" s="497">
        <v>0</v>
      </c>
      <c r="L739" s="497">
        <f t="shared" si="96"/>
        <v>0</v>
      </c>
      <c r="M739" s="497">
        <v>0</v>
      </c>
      <c r="N739" s="497">
        <v>0</v>
      </c>
    </row>
    <row r="740" spans="1:14" s="448" customFormat="1" ht="15" hidden="1" customHeight="1">
      <c r="A740" s="1025"/>
      <c r="B740" s="1026"/>
      <c r="C740" s="1027"/>
      <c r="D740" s="1028"/>
      <c r="E740" s="1016"/>
      <c r="F740" s="1017"/>
      <c r="G740" s="495" t="s">
        <v>6</v>
      </c>
      <c r="H740" s="496">
        <f t="shared" si="94"/>
        <v>0</v>
      </c>
      <c r="I740" s="497">
        <f t="shared" si="95"/>
        <v>0</v>
      </c>
      <c r="J740" s="497">
        <v>0</v>
      </c>
      <c r="K740" s="497">
        <v>0</v>
      </c>
      <c r="L740" s="497">
        <f t="shared" si="96"/>
        <v>0</v>
      </c>
      <c r="M740" s="497">
        <v>0</v>
      </c>
      <c r="N740" s="497">
        <v>0</v>
      </c>
    </row>
    <row r="741" spans="1:14" s="448" customFormat="1" ht="15" hidden="1" customHeight="1">
      <c r="A741" s="1025"/>
      <c r="B741" s="1026"/>
      <c r="C741" s="1027"/>
      <c r="D741" s="1028"/>
      <c r="E741" s="1018"/>
      <c r="F741" s="1019"/>
      <c r="G741" s="495" t="s">
        <v>7</v>
      </c>
      <c r="H741" s="496">
        <f t="shared" si="94"/>
        <v>0</v>
      </c>
      <c r="I741" s="497">
        <f t="shared" si="95"/>
        <v>0</v>
      </c>
      <c r="J741" s="497">
        <f>J739+J740</f>
        <v>0</v>
      </c>
      <c r="K741" s="497">
        <f>K739+K740</f>
        <v>0</v>
      </c>
      <c r="L741" s="497">
        <f t="shared" si="96"/>
        <v>0</v>
      </c>
      <c r="M741" s="497">
        <f>M739+M740</f>
        <v>0</v>
      </c>
      <c r="N741" s="497">
        <f>N739+N740</f>
        <v>0</v>
      </c>
    </row>
    <row r="742" spans="1:14" s="448" customFormat="1" ht="15" customHeight="1">
      <c r="A742" s="1025"/>
      <c r="B742" s="1026"/>
      <c r="C742" s="1027"/>
      <c r="D742" s="1028"/>
      <c r="E742" s="1014" t="s">
        <v>390</v>
      </c>
      <c r="F742" s="1015"/>
      <c r="G742" s="495" t="s">
        <v>5</v>
      </c>
      <c r="H742" s="496">
        <f t="shared" si="94"/>
        <v>0</v>
      </c>
      <c r="I742" s="497">
        <f t="shared" si="95"/>
        <v>0</v>
      </c>
      <c r="J742" s="497">
        <v>0</v>
      </c>
      <c r="K742" s="497">
        <v>0</v>
      </c>
      <c r="L742" s="497">
        <f t="shared" si="96"/>
        <v>0</v>
      </c>
      <c r="M742" s="497">
        <v>0</v>
      </c>
      <c r="N742" s="497">
        <v>0</v>
      </c>
    </row>
    <row r="743" spans="1:14" s="448" customFormat="1" ht="15" customHeight="1">
      <c r="A743" s="1025"/>
      <c r="B743" s="1026"/>
      <c r="C743" s="1027"/>
      <c r="D743" s="1028"/>
      <c r="E743" s="1016"/>
      <c r="F743" s="1017"/>
      <c r="G743" s="495" t="s">
        <v>6</v>
      </c>
      <c r="H743" s="496">
        <f t="shared" si="94"/>
        <v>50000</v>
      </c>
      <c r="I743" s="497">
        <f t="shared" si="95"/>
        <v>0</v>
      </c>
      <c r="J743" s="497">
        <v>0</v>
      </c>
      <c r="K743" s="497">
        <v>0</v>
      </c>
      <c r="L743" s="497">
        <f t="shared" si="96"/>
        <v>50000</v>
      </c>
      <c r="M743" s="497">
        <v>50000</v>
      </c>
      <c r="N743" s="497">
        <v>0</v>
      </c>
    </row>
    <row r="744" spans="1:14" s="448" customFormat="1" ht="15" customHeight="1">
      <c r="A744" s="1025"/>
      <c r="B744" s="1026"/>
      <c r="C744" s="1027"/>
      <c r="D744" s="1028"/>
      <c r="E744" s="1018"/>
      <c r="F744" s="1019"/>
      <c r="G744" s="495" t="s">
        <v>7</v>
      </c>
      <c r="H744" s="496">
        <f t="shared" si="94"/>
        <v>50000</v>
      </c>
      <c r="I744" s="497">
        <f t="shared" si="95"/>
        <v>0</v>
      </c>
      <c r="J744" s="497">
        <f>J742+J743</f>
        <v>0</v>
      </c>
      <c r="K744" s="497">
        <f>K742+K743</f>
        <v>0</v>
      </c>
      <c r="L744" s="497">
        <f t="shared" si="96"/>
        <v>50000</v>
      </c>
      <c r="M744" s="497">
        <f>M742+M743</f>
        <v>50000</v>
      </c>
      <c r="N744" s="497">
        <f>N742+N743</f>
        <v>0</v>
      </c>
    </row>
    <row r="745" spans="1:14" s="530" customFormat="1" ht="15" customHeight="1">
      <c r="A745" s="1010"/>
      <c r="B745" s="1011"/>
      <c r="C745" s="1012"/>
      <c r="D745" s="1013"/>
      <c r="E745" s="1014" t="s">
        <v>1126</v>
      </c>
      <c r="F745" s="1015"/>
      <c r="G745" s="495" t="s">
        <v>5</v>
      </c>
      <c r="H745" s="496">
        <f t="shared" si="94"/>
        <v>2000000</v>
      </c>
      <c r="I745" s="497">
        <f t="shared" si="95"/>
        <v>2000000</v>
      </c>
      <c r="J745" s="497">
        <v>2000000</v>
      </c>
      <c r="K745" s="497">
        <v>0</v>
      </c>
      <c r="L745" s="497">
        <f t="shared" si="96"/>
        <v>0</v>
      </c>
      <c r="M745" s="497">
        <v>0</v>
      </c>
      <c r="N745" s="497">
        <v>0</v>
      </c>
    </row>
    <row r="746" spans="1:14" s="530" customFormat="1" ht="15" customHeight="1">
      <c r="A746" s="1010"/>
      <c r="B746" s="1020"/>
      <c r="C746" s="1012"/>
      <c r="D746" s="1013"/>
      <c r="E746" s="1016"/>
      <c r="F746" s="1017"/>
      <c r="G746" s="495" t="s">
        <v>6</v>
      </c>
      <c r="H746" s="496">
        <f t="shared" si="94"/>
        <v>650000</v>
      </c>
      <c r="I746" s="497">
        <f t="shared" si="95"/>
        <v>650000</v>
      </c>
      <c r="J746" s="497">
        <v>650000</v>
      </c>
      <c r="K746" s="497">
        <v>0</v>
      </c>
      <c r="L746" s="497">
        <f t="shared" si="96"/>
        <v>0</v>
      </c>
      <c r="M746" s="497">
        <v>0</v>
      </c>
      <c r="N746" s="497">
        <v>0</v>
      </c>
    </row>
    <row r="747" spans="1:14" s="530" customFormat="1" ht="15" customHeight="1">
      <c r="A747" s="1021"/>
      <c r="B747" s="1022"/>
      <c r="C747" s="1023"/>
      <c r="D747" s="1024"/>
      <c r="E747" s="1018"/>
      <c r="F747" s="1019"/>
      <c r="G747" s="495" t="s">
        <v>7</v>
      </c>
      <c r="H747" s="496">
        <f t="shared" si="94"/>
        <v>2650000</v>
      </c>
      <c r="I747" s="497">
        <f t="shared" si="95"/>
        <v>2650000</v>
      </c>
      <c r="J747" s="497">
        <f>J745+J746</f>
        <v>2650000</v>
      </c>
      <c r="K747" s="497">
        <f>K745+K746</f>
        <v>0</v>
      </c>
      <c r="L747" s="497">
        <f t="shared" si="96"/>
        <v>0</v>
      </c>
      <c r="M747" s="497">
        <f>M745+M746</f>
        <v>0</v>
      </c>
      <c r="N747" s="497">
        <f>N745+N746</f>
        <v>0</v>
      </c>
    </row>
    <row r="748" spans="1:14" s="518" customFormat="1" ht="5.0999999999999996" customHeight="1">
      <c r="A748" s="542"/>
      <c r="B748" s="543"/>
      <c r="C748" s="543"/>
      <c r="D748" s="543"/>
      <c r="E748" s="543"/>
      <c r="F748" s="543"/>
      <c r="G748" s="572"/>
      <c r="H748" s="573"/>
      <c r="I748" s="574"/>
      <c r="J748" s="574"/>
      <c r="K748" s="574"/>
      <c r="L748" s="574"/>
      <c r="M748" s="574"/>
      <c r="N748" s="575"/>
    </row>
    <row r="749" spans="1:14" s="577" customFormat="1" ht="14.1" customHeight="1">
      <c r="A749" s="1004" t="s">
        <v>4</v>
      </c>
      <c r="B749" s="1005"/>
      <c r="C749" s="1005"/>
      <c r="D749" s="1005"/>
      <c r="E749" s="1005"/>
      <c r="F749" s="1005"/>
      <c r="G749" s="576" t="s">
        <v>5</v>
      </c>
      <c r="H749" s="475">
        <f t="shared" ref="H749:N751" si="100">H11</f>
        <v>581195477</v>
      </c>
      <c r="I749" s="475">
        <f t="shared" si="100"/>
        <v>357971560</v>
      </c>
      <c r="J749" s="475">
        <f t="shared" si="100"/>
        <v>210097355</v>
      </c>
      <c r="K749" s="475">
        <f t="shared" si="100"/>
        <v>147874205</v>
      </c>
      <c r="L749" s="475">
        <f t="shared" si="100"/>
        <v>223223917</v>
      </c>
      <c r="M749" s="475">
        <f t="shared" si="100"/>
        <v>24136178</v>
      </c>
      <c r="N749" s="475">
        <f t="shared" si="100"/>
        <v>199087739</v>
      </c>
    </row>
    <row r="750" spans="1:14" s="577" customFormat="1" ht="14.1" customHeight="1">
      <c r="A750" s="1006"/>
      <c r="B750" s="1007"/>
      <c r="C750" s="1007"/>
      <c r="D750" s="1007"/>
      <c r="E750" s="1007"/>
      <c r="F750" s="1007"/>
      <c r="G750" s="576" t="s">
        <v>6</v>
      </c>
      <c r="H750" s="475">
        <f t="shared" si="100"/>
        <v>6873215</v>
      </c>
      <c r="I750" s="475">
        <f t="shared" si="100"/>
        <v>9694059</v>
      </c>
      <c r="J750" s="475">
        <f t="shared" si="100"/>
        <v>12425142</v>
      </c>
      <c r="K750" s="475">
        <f t="shared" si="100"/>
        <v>-2731083</v>
      </c>
      <c r="L750" s="475">
        <f t="shared" si="100"/>
        <v>-2820844</v>
      </c>
      <c r="M750" s="475">
        <f t="shared" si="100"/>
        <v>3272430</v>
      </c>
      <c r="N750" s="475">
        <f t="shared" si="100"/>
        <v>-6093274</v>
      </c>
    </row>
    <row r="751" spans="1:14" s="577" customFormat="1" ht="14.1" customHeight="1">
      <c r="A751" s="1008"/>
      <c r="B751" s="1009"/>
      <c r="C751" s="1009"/>
      <c r="D751" s="1009"/>
      <c r="E751" s="1009"/>
      <c r="F751" s="1009"/>
      <c r="G751" s="576" t="s">
        <v>7</v>
      </c>
      <c r="H751" s="475">
        <f t="shared" si="100"/>
        <v>588068692</v>
      </c>
      <c r="I751" s="475">
        <f t="shared" si="100"/>
        <v>367665619</v>
      </c>
      <c r="J751" s="475">
        <f t="shared" si="100"/>
        <v>222522497</v>
      </c>
      <c r="K751" s="475">
        <f t="shared" si="100"/>
        <v>145143122</v>
      </c>
      <c r="L751" s="475">
        <f t="shared" si="100"/>
        <v>220403073</v>
      </c>
      <c r="M751" s="475">
        <f t="shared" si="100"/>
        <v>27408608</v>
      </c>
      <c r="N751" s="475">
        <f t="shared" si="100"/>
        <v>192994465</v>
      </c>
    </row>
    <row r="752" spans="1:14" s="448" customFormat="1" ht="1.5" customHeight="1">
      <c r="A752" s="578"/>
      <c r="B752" s="578"/>
      <c r="C752" s="578"/>
      <c r="D752" s="578"/>
      <c r="E752" s="579"/>
      <c r="F752" s="580"/>
      <c r="G752" s="579"/>
      <c r="H752" s="581"/>
      <c r="I752" s="582"/>
      <c r="J752" s="582"/>
      <c r="K752" s="582"/>
      <c r="L752" s="582"/>
      <c r="M752" s="582"/>
      <c r="N752" s="582"/>
    </row>
    <row r="753" spans="1:14" ht="15" customHeight="1">
      <c r="A753" s="583" t="s">
        <v>1127</v>
      </c>
      <c r="B753" s="584"/>
      <c r="C753" s="585"/>
      <c r="D753" s="584"/>
      <c r="E753" s="585"/>
    </row>
    <row r="754" spans="1:14" s="586" customFormat="1" ht="12.75" customHeight="1">
      <c r="A754" s="591" t="s">
        <v>1128</v>
      </c>
      <c r="B754" s="592"/>
      <c r="C754" s="593"/>
      <c r="D754" s="592"/>
      <c r="E754" s="593"/>
      <c r="G754" s="587"/>
      <c r="H754" s="588"/>
      <c r="I754" s="589"/>
      <c r="J754" s="589"/>
      <c r="K754" s="589"/>
      <c r="L754" s="589"/>
      <c r="M754" s="589"/>
      <c r="N754" s="589"/>
    </row>
    <row r="755" spans="1:14" s="586" customFormat="1" ht="11.25" customHeight="1">
      <c r="A755" s="594" t="s">
        <v>1129</v>
      </c>
      <c r="B755" s="594" t="s">
        <v>1130</v>
      </c>
      <c r="C755" s="595" t="s">
        <v>1131</v>
      </c>
      <c r="D755" s="594"/>
      <c r="E755" s="587"/>
      <c r="G755" s="596"/>
      <c r="H755" s="588"/>
      <c r="I755" s="589"/>
      <c r="J755" s="589"/>
      <c r="K755" s="589"/>
      <c r="L755" s="589"/>
      <c r="M755" s="589"/>
      <c r="N755" s="589"/>
    </row>
    <row r="756" spans="1:14" s="586" customFormat="1" ht="11.25" customHeight="1">
      <c r="A756" s="594" t="s">
        <v>6</v>
      </c>
      <c r="B756" s="594" t="s">
        <v>1130</v>
      </c>
      <c r="C756" s="595" t="s">
        <v>1132</v>
      </c>
      <c r="D756" s="594"/>
      <c r="E756" s="587"/>
      <c r="G756" s="596"/>
      <c r="H756" s="588"/>
      <c r="I756" s="589"/>
      <c r="J756" s="589"/>
      <c r="K756" s="589"/>
      <c r="L756" s="589"/>
      <c r="M756" s="589"/>
      <c r="N756" s="589"/>
    </row>
    <row r="757" spans="1:14" s="586" customFormat="1" ht="11.25" customHeight="1">
      <c r="A757" s="594" t="s">
        <v>7</v>
      </c>
      <c r="B757" s="594" t="s">
        <v>1130</v>
      </c>
      <c r="C757" s="595" t="s">
        <v>1133</v>
      </c>
      <c r="D757" s="594"/>
      <c r="E757" s="587"/>
      <c r="G757" s="596"/>
      <c r="H757" s="588"/>
      <c r="I757" s="589"/>
      <c r="J757" s="589"/>
      <c r="K757" s="589"/>
      <c r="L757" s="589"/>
      <c r="M757" s="589"/>
      <c r="N757" s="589"/>
    </row>
  </sheetData>
  <sheetProtection password="C25B" sheet="1" objects="1" scenarios="1"/>
  <mergeCells count="1545"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A34:B34"/>
    <mergeCell ref="C34:D34"/>
    <mergeCell ref="E34:F36"/>
    <mergeCell ref="A35:B35"/>
    <mergeCell ref="C35:D35"/>
    <mergeCell ref="A36:B36"/>
    <mergeCell ref="C36:D36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A43:B43"/>
    <mergeCell ref="C43:D43"/>
    <mergeCell ref="E43:F45"/>
    <mergeCell ref="A44:B44"/>
    <mergeCell ref="C44:D44"/>
    <mergeCell ref="A45:B45"/>
    <mergeCell ref="C45:D45"/>
    <mergeCell ref="A40:B40"/>
    <mergeCell ref="C40:D40"/>
    <mergeCell ref="E40:F42"/>
    <mergeCell ref="A41:B41"/>
    <mergeCell ref="C41:D41"/>
    <mergeCell ref="A42:B42"/>
    <mergeCell ref="C42:D42"/>
    <mergeCell ref="A37:B37"/>
    <mergeCell ref="C37:D37"/>
    <mergeCell ref="E37:F39"/>
    <mergeCell ref="A38:B38"/>
    <mergeCell ref="C38:D38"/>
    <mergeCell ref="A39:B39"/>
    <mergeCell ref="C39:D39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A46:B46"/>
    <mergeCell ref="C46:D46"/>
    <mergeCell ref="E46:F48"/>
    <mergeCell ref="A47:B47"/>
    <mergeCell ref="C47:D47"/>
    <mergeCell ref="A48:B48"/>
    <mergeCell ref="C48:D48"/>
    <mergeCell ref="A76:F78"/>
    <mergeCell ref="A79:B79"/>
    <mergeCell ref="C79:D79"/>
    <mergeCell ref="E79:F81"/>
    <mergeCell ref="A80:B80"/>
    <mergeCell ref="C80:D80"/>
    <mergeCell ref="A81:B81"/>
    <mergeCell ref="C81:D81"/>
    <mergeCell ref="A70:F72"/>
    <mergeCell ref="A73:B73"/>
    <mergeCell ref="C73:D73"/>
    <mergeCell ref="E73:F75"/>
    <mergeCell ref="A74:B74"/>
    <mergeCell ref="C74:D74"/>
    <mergeCell ref="A75:B75"/>
    <mergeCell ref="C75:D75"/>
    <mergeCell ref="A56:F58"/>
    <mergeCell ref="A60:F62"/>
    <mergeCell ref="A64:F66"/>
    <mergeCell ref="A67:B67"/>
    <mergeCell ref="C67:D67"/>
    <mergeCell ref="E67:F69"/>
    <mergeCell ref="A68:B68"/>
    <mergeCell ref="C68:D68"/>
    <mergeCell ref="A69:B69"/>
    <mergeCell ref="C69:D69"/>
    <mergeCell ref="A91:F93"/>
    <mergeCell ref="A94:B94"/>
    <mergeCell ref="C94:D94"/>
    <mergeCell ref="E94:F96"/>
    <mergeCell ref="A95:B95"/>
    <mergeCell ref="C95:D95"/>
    <mergeCell ref="A96:B96"/>
    <mergeCell ref="C96:D96"/>
    <mergeCell ref="A88:B88"/>
    <mergeCell ref="C88:D88"/>
    <mergeCell ref="E88:F90"/>
    <mergeCell ref="A89:B89"/>
    <mergeCell ref="C89:D89"/>
    <mergeCell ref="A90:B90"/>
    <mergeCell ref="C90:D90"/>
    <mergeCell ref="A82:F84"/>
    <mergeCell ref="A85:B85"/>
    <mergeCell ref="C85:D85"/>
    <mergeCell ref="E85:F87"/>
    <mergeCell ref="A86:B86"/>
    <mergeCell ref="C86:D86"/>
    <mergeCell ref="A87:B87"/>
    <mergeCell ref="C87:D87"/>
    <mergeCell ref="A109:F111"/>
    <mergeCell ref="A112:B112"/>
    <mergeCell ref="C112:D112"/>
    <mergeCell ref="E112:F114"/>
    <mergeCell ref="A113:B113"/>
    <mergeCell ref="C113:D113"/>
    <mergeCell ref="A114:B114"/>
    <mergeCell ref="C114:D114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121:B121"/>
    <mergeCell ref="C121:D121"/>
    <mergeCell ref="E121:F123"/>
    <mergeCell ref="A122:B122"/>
    <mergeCell ref="C122:D122"/>
    <mergeCell ref="A123:B123"/>
    <mergeCell ref="C123:D123"/>
    <mergeCell ref="A118:B118"/>
    <mergeCell ref="C118:D118"/>
    <mergeCell ref="E118:F120"/>
    <mergeCell ref="A119:B119"/>
    <mergeCell ref="C119:D119"/>
    <mergeCell ref="A120:B120"/>
    <mergeCell ref="C120:D120"/>
    <mergeCell ref="A115:B115"/>
    <mergeCell ref="C115:D115"/>
    <mergeCell ref="E115:F117"/>
    <mergeCell ref="A116:B116"/>
    <mergeCell ref="C116:D116"/>
    <mergeCell ref="A117:B117"/>
    <mergeCell ref="C117:D117"/>
    <mergeCell ref="A136:F138"/>
    <mergeCell ref="A139:B139"/>
    <mergeCell ref="C139:D139"/>
    <mergeCell ref="E139:F141"/>
    <mergeCell ref="A140:B140"/>
    <mergeCell ref="C140:D140"/>
    <mergeCell ref="A141:B141"/>
    <mergeCell ref="C141:D141"/>
    <mergeCell ref="A130:F132"/>
    <mergeCell ref="A133:B133"/>
    <mergeCell ref="C133:D133"/>
    <mergeCell ref="E133:F135"/>
    <mergeCell ref="A134:B134"/>
    <mergeCell ref="C134:D134"/>
    <mergeCell ref="A135:B135"/>
    <mergeCell ref="C135:D135"/>
    <mergeCell ref="A124:F126"/>
    <mergeCell ref="A127:B127"/>
    <mergeCell ref="C127:D127"/>
    <mergeCell ref="E127:F129"/>
    <mergeCell ref="A128:B128"/>
    <mergeCell ref="C128:D128"/>
    <mergeCell ref="A129:B129"/>
    <mergeCell ref="C129:D129"/>
    <mergeCell ref="A154:B154"/>
    <mergeCell ref="C154:D154"/>
    <mergeCell ref="E154:F156"/>
    <mergeCell ref="A155:B155"/>
    <mergeCell ref="C155:D155"/>
    <mergeCell ref="A156:B156"/>
    <mergeCell ref="C156:D156"/>
    <mergeCell ref="A148:F150"/>
    <mergeCell ref="A151:B151"/>
    <mergeCell ref="C151:D151"/>
    <mergeCell ref="E151:F153"/>
    <mergeCell ref="A152:B152"/>
    <mergeCell ref="C152:D152"/>
    <mergeCell ref="A153:B153"/>
    <mergeCell ref="C153:D153"/>
    <mergeCell ref="A142:F144"/>
    <mergeCell ref="A145:B145"/>
    <mergeCell ref="C145:D145"/>
    <mergeCell ref="E145:F147"/>
    <mergeCell ref="A146:B146"/>
    <mergeCell ref="C146:D146"/>
    <mergeCell ref="A147:B147"/>
    <mergeCell ref="C147:D147"/>
    <mergeCell ref="A166:B166"/>
    <mergeCell ref="C166:D166"/>
    <mergeCell ref="E166:F168"/>
    <mergeCell ref="A167:B167"/>
    <mergeCell ref="C167:D167"/>
    <mergeCell ref="A168:B168"/>
    <mergeCell ref="C168:D168"/>
    <mergeCell ref="A160:F162"/>
    <mergeCell ref="A163:B163"/>
    <mergeCell ref="C163:D163"/>
    <mergeCell ref="E163:F165"/>
    <mergeCell ref="A164:B164"/>
    <mergeCell ref="C164:D164"/>
    <mergeCell ref="A165:B165"/>
    <mergeCell ref="C165:D165"/>
    <mergeCell ref="A157:B157"/>
    <mergeCell ref="C157:D157"/>
    <mergeCell ref="E157:F159"/>
    <mergeCell ref="A158:B158"/>
    <mergeCell ref="C158:D158"/>
    <mergeCell ref="A159:B159"/>
    <mergeCell ref="C159:D159"/>
    <mergeCell ref="A175:F177"/>
    <mergeCell ref="A178:B178"/>
    <mergeCell ref="C178:D178"/>
    <mergeCell ref="E178:F180"/>
    <mergeCell ref="A179:B179"/>
    <mergeCell ref="C179:D179"/>
    <mergeCell ref="A180:B180"/>
    <mergeCell ref="C180:D180"/>
    <mergeCell ref="A172:B172"/>
    <mergeCell ref="C172:D172"/>
    <mergeCell ref="E172:F174"/>
    <mergeCell ref="A173:B173"/>
    <mergeCell ref="C173:D173"/>
    <mergeCell ref="A174:B174"/>
    <mergeCell ref="C174:D174"/>
    <mergeCell ref="A169:B169"/>
    <mergeCell ref="C169:D169"/>
    <mergeCell ref="E169:F171"/>
    <mergeCell ref="A170:B170"/>
    <mergeCell ref="C170:D170"/>
    <mergeCell ref="A171:B171"/>
    <mergeCell ref="C171:D171"/>
    <mergeCell ref="A187:F189"/>
    <mergeCell ref="A190:B190"/>
    <mergeCell ref="C190:D190"/>
    <mergeCell ref="E190:F192"/>
    <mergeCell ref="A191:B191"/>
    <mergeCell ref="C191:D191"/>
    <mergeCell ref="A192:B192"/>
    <mergeCell ref="C192:D192"/>
    <mergeCell ref="A184:B184"/>
    <mergeCell ref="C184:D184"/>
    <mergeCell ref="E184:F186"/>
    <mergeCell ref="A185:B185"/>
    <mergeCell ref="C185:D185"/>
    <mergeCell ref="A186:B186"/>
    <mergeCell ref="C186:D186"/>
    <mergeCell ref="A181:B181"/>
    <mergeCell ref="C181:D181"/>
    <mergeCell ref="E181:F183"/>
    <mergeCell ref="A182:B182"/>
    <mergeCell ref="C182:D182"/>
    <mergeCell ref="A183:B183"/>
    <mergeCell ref="C183:D183"/>
    <mergeCell ref="A199:B199"/>
    <mergeCell ref="C199:D199"/>
    <mergeCell ref="E199:F201"/>
    <mergeCell ref="A200:B200"/>
    <mergeCell ref="C200:D200"/>
    <mergeCell ref="A201:B201"/>
    <mergeCell ref="C201:D201"/>
    <mergeCell ref="A196:B196"/>
    <mergeCell ref="C196:D196"/>
    <mergeCell ref="E196:F198"/>
    <mergeCell ref="A197:B197"/>
    <mergeCell ref="C197:D197"/>
    <mergeCell ref="A198:B198"/>
    <mergeCell ref="C198:D198"/>
    <mergeCell ref="A193:B193"/>
    <mergeCell ref="C193:D193"/>
    <mergeCell ref="E193:F195"/>
    <mergeCell ref="A194:B194"/>
    <mergeCell ref="C194:D194"/>
    <mergeCell ref="A195:B195"/>
    <mergeCell ref="C195:D195"/>
    <mergeCell ref="A209:F211"/>
    <mergeCell ref="A213:F215"/>
    <mergeCell ref="A217:B217"/>
    <mergeCell ref="C217:D217"/>
    <mergeCell ref="F217:F219"/>
    <mergeCell ref="A218:B218"/>
    <mergeCell ref="C218:D218"/>
    <mergeCell ref="A219:B219"/>
    <mergeCell ref="C219:D219"/>
    <mergeCell ref="A202:F204"/>
    <mergeCell ref="A205:B205"/>
    <mergeCell ref="C205:D205"/>
    <mergeCell ref="E205:F207"/>
    <mergeCell ref="A206:B206"/>
    <mergeCell ref="C206:D206"/>
    <mergeCell ref="A207:B207"/>
    <mergeCell ref="C207:D207"/>
    <mergeCell ref="A226:B226"/>
    <mergeCell ref="C226:D226"/>
    <mergeCell ref="F226:F228"/>
    <mergeCell ref="A227:B227"/>
    <mergeCell ref="C227:D227"/>
    <mergeCell ref="A228:B228"/>
    <mergeCell ref="C228:D228"/>
    <mergeCell ref="A223:B223"/>
    <mergeCell ref="C223:D223"/>
    <mergeCell ref="F223:F225"/>
    <mergeCell ref="A224:B224"/>
    <mergeCell ref="C224:D224"/>
    <mergeCell ref="A225:B225"/>
    <mergeCell ref="C225:D225"/>
    <mergeCell ref="A220:B220"/>
    <mergeCell ref="C220:D220"/>
    <mergeCell ref="F220:F222"/>
    <mergeCell ref="A221:B221"/>
    <mergeCell ref="C221:D221"/>
    <mergeCell ref="A222:B222"/>
    <mergeCell ref="C222:D222"/>
    <mergeCell ref="A235:B235"/>
    <mergeCell ref="C235:D235"/>
    <mergeCell ref="F235:F237"/>
    <mergeCell ref="A236:B236"/>
    <mergeCell ref="C236:D236"/>
    <mergeCell ref="A237:B237"/>
    <mergeCell ref="C237:D237"/>
    <mergeCell ref="A232:B232"/>
    <mergeCell ref="C232:D232"/>
    <mergeCell ref="F232:F234"/>
    <mergeCell ref="A233:B233"/>
    <mergeCell ref="C233:D233"/>
    <mergeCell ref="A234:B234"/>
    <mergeCell ref="C234:D234"/>
    <mergeCell ref="A229:B229"/>
    <mergeCell ref="C229:D229"/>
    <mergeCell ref="F229:F231"/>
    <mergeCell ref="A230:B230"/>
    <mergeCell ref="C230:D230"/>
    <mergeCell ref="A231:B231"/>
    <mergeCell ref="C231:D231"/>
    <mergeCell ref="A244:B244"/>
    <mergeCell ref="C244:D244"/>
    <mergeCell ref="F244:F246"/>
    <mergeCell ref="A245:B245"/>
    <mergeCell ref="C245:D245"/>
    <mergeCell ref="A246:B246"/>
    <mergeCell ref="C246:D246"/>
    <mergeCell ref="A241:B241"/>
    <mergeCell ref="C241:D241"/>
    <mergeCell ref="F241:F243"/>
    <mergeCell ref="A242:B242"/>
    <mergeCell ref="C242:D242"/>
    <mergeCell ref="A243:B243"/>
    <mergeCell ref="C243:D243"/>
    <mergeCell ref="A238:B238"/>
    <mergeCell ref="C238:D238"/>
    <mergeCell ref="F238:F240"/>
    <mergeCell ref="A239:B239"/>
    <mergeCell ref="C239:D239"/>
    <mergeCell ref="A240:B240"/>
    <mergeCell ref="C240:D240"/>
    <mergeCell ref="A253:B253"/>
    <mergeCell ref="C253:D253"/>
    <mergeCell ref="F253:F255"/>
    <mergeCell ref="A254:B254"/>
    <mergeCell ref="C254:D254"/>
    <mergeCell ref="A255:B255"/>
    <mergeCell ref="C255:D255"/>
    <mergeCell ref="A250:B250"/>
    <mergeCell ref="C250:D250"/>
    <mergeCell ref="F250:F252"/>
    <mergeCell ref="A251:B251"/>
    <mergeCell ref="C251:D251"/>
    <mergeCell ref="A252:B252"/>
    <mergeCell ref="C252:D252"/>
    <mergeCell ref="A247:B247"/>
    <mergeCell ref="C247:D247"/>
    <mergeCell ref="F247:F249"/>
    <mergeCell ref="A248:B248"/>
    <mergeCell ref="C248:D248"/>
    <mergeCell ref="A249:B249"/>
    <mergeCell ref="C249:D249"/>
    <mergeCell ref="A262:B262"/>
    <mergeCell ref="C262:D262"/>
    <mergeCell ref="F262:F264"/>
    <mergeCell ref="A263:B263"/>
    <mergeCell ref="C263:D263"/>
    <mergeCell ref="A264:B264"/>
    <mergeCell ref="C264:D264"/>
    <mergeCell ref="A259:B259"/>
    <mergeCell ref="C259:D259"/>
    <mergeCell ref="F259:F261"/>
    <mergeCell ref="A260:B260"/>
    <mergeCell ref="C260:D260"/>
    <mergeCell ref="A261:B261"/>
    <mergeCell ref="C261:D261"/>
    <mergeCell ref="A256:B256"/>
    <mergeCell ref="C256:D256"/>
    <mergeCell ref="F256:F258"/>
    <mergeCell ref="A257:B257"/>
    <mergeCell ref="C257:D257"/>
    <mergeCell ref="A258:B258"/>
    <mergeCell ref="C258:D258"/>
    <mergeCell ref="A271:B271"/>
    <mergeCell ref="C271:D271"/>
    <mergeCell ref="F271:F273"/>
    <mergeCell ref="A272:B272"/>
    <mergeCell ref="C272:D272"/>
    <mergeCell ref="A273:B273"/>
    <mergeCell ref="C273:D273"/>
    <mergeCell ref="A268:B268"/>
    <mergeCell ref="C268:D268"/>
    <mergeCell ref="F268:F270"/>
    <mergeCell ref="A269:B269"/>
    <mergeCell ref="C269:D269"/>
    <mergeCell ref="A270:B270"/>
    <mergeCell ref="C270:D270"/>
    <mergeCell ref="A265:B265"/>
    <mergeCell ref="C265:D265"/>
    <mergeCell ref="F265:F267"/>
    <mergeCell ref="A266:B266"/>
    <mergeCell ref="C266:D266"/>
    <mergeCell ref="A267:B267"/>
    <mergeCell ref="C267:D267"/>
    <mergeCell ref="A280:B280"/>
    <mergeCell ref="C280:D280"/>
    <mergeCell ref="F280:F282"/>
    <mergeCell ref="A281:B281"/>
    <mergeCell ref="C281:D281"/>
    <mergeCell ref="A282:B282"/>
    <mergeCell ref="C282:D282"/>
    <mergeCell ref="A277:B277"/>
    <mergeCell ref="C277:D277"/>
    <mergeCell ref="F277:F279"/>
    <mergeCell ref="A278:B278"/>
    <mergeCell ref="C278:D278"/>
    <mergeCell ref="A279:B279"/>
    <mergeCell ref="C279:D279"/>
    <mergeCell ref="A274:B274"/>
    <mergeCell ref="C274:D274"/>
    <mergeCell ref="F274:F276"/>
    <mergeCell ref="A275:B275"/>
    <mergeCell ref="C275:D275"/>
    <mergeCell ref="A276:B276"/>
    <mergeCell ref="C276:D276"/>
    <mergeCell ref="A289:B289"/>
    <mergeCell ref="C289:D289"/>
    <mergeCell ref="F289:F291"/>
    <mergeCell ref="A290:B290"/>
    <mergeCell ref="C290:D290"/>
    <mergeCell ref="A291:B291"/>
    <mergeCell ref="C291:D291"/>
    <mergeCell ref="A286:B286"/>
    <mergeCell ref="C286:D286"/>
    <mergeCell ref="F286:F288"/>
    <mergeCell ref="A287:B287"/>
    <mergeCell ref="C287:D287"/>
    <mergeCell ref="A288:B288"/>
    <mergeCell ref="C288:D288"/>
    <mergeCell ref="A283:B283"/>
    <mergeCell ref="C283:D283"/>
    <mergeCell ref="F283:F285"/>
    <mergeCell ref="A284:B284"/>
    <mergeCell ref="C284:D284"/>
    <mergeCell ref="A285:B285"/>
    <mergeCell ref="C285:D285"/>
    <mergeCell ref="A298:B298"/>
    <mergeCell ref="C298:D298"/>
    <mergeCell ref="F298:F300"/>
    <mergeCell ref="A299:B299"/>
    <mergeCell ref="C299:D299"/>
    <mergeCell ref="A300:B300"/>
    <mergeCell ref="C300:D300"/>
    <mergeCell ref="A295:B295"/>
    <mergeCell ref="C295:D295"/>
    <mergeCell ref="F295:F297"/>
    <mergeCell ref="A296:B296"/>
    <mergeCell ref="C296:D296"/>
    <mergeCell ref="A297:B297"/>
    <mergeCell ref="C297:D297"/>
    <mergeCell ref="A292:B292"/>
    <mergeCell ref="C292:D292"/>
    <mergeCell ref="F292:F294"/>
    <mergeCell ref="A293:B293"/>
    <mergeCell ref="C293:D293"/>
    <mergeCell ref="A294:B294"/>
    <mergeCell ref="C294:D294"/>
    <mergeCell ref="A307:B307"/>
    <mergeCell ref="C307:D307"/>
    <mergeCell ref="F307:F309"/>
    <mergeCell ref="A308:B308"/>
    <mergeCell ref="C308:D308"/>
    <mergeCell ref="A309:B309"/>
    <mergeCell ref="C309:D309"/>
    <mergeCell ref="A304:B304"/>
    <mergeCell ref="C304:D304"/>
    <mergeCell ref="F304:F306"/>
    <mergeCell ref="A305:B305"/>
    <mergeCell ref="C305:D305"/>
    <mergeCell ref="A306:B306"/>
    <mergeCell ref="C306:D306"/>
    <mergeCell ref="A301:B301"/>
    <mergeCell ref="C301:D301"/>
    <mergeCell ref="F301:F303"/>
    <mergeCell ref="A302:B302"/>
    <mergeCell ref="C302:D302"/>
    <mergeCell ref="A303:B303"/>
    <mergeCell ref="C303:D303"/>
    <mergeCell ref="A316:B316"/>
    <mergeCell ref="C316:D316"/>
    <mergeCell ref="F316:F318"/>
    <mergeCell ref="A317:B317"/>
    <mergeCell ref="C317:D317"/>
    <mergeCell ref="A318:B318"/>
    <mergeCell ref="C318:D318"/>
    <mergeCell ref="A313:B313"/>
    <mergeCell ref="C313:D313"/>
    <mergeCell ref="F313:F315"/>
    <mergeCell ref="A314:B314"/>
    <mergeCell ref="C314:D314"/>
    <mergeCell ref="A315:B315"/>
    <mergeCell ref="C315:D315"/>
    <mergeCell ref="A310:B310"/>
    <mergeCell ref="C310:D310"/>
    <mergeCell ref="F310:F312"/>
    <mergeCell ref="A311:B311"/>
    <mergeCell ref="C311:D311"/>
    <mergeCell ref="A312:B312"/>
    <mergeCell ref="C312:D312"/>
    <mergeCell ref="A325:B325"/>
    <mergeCell ref="C325:D325"/>
    <mergeCell ref="F325:F327"/>
    <mergeCell ref="A326:B326"/>
    <mergeCell ref="C326:D326"/>
    <mergeCell ref="A327:B327"/>
    <mergeCell ref="C327:D327"/>
    <mergeCell ref="A322:B322"/>
    <mergeCell ref="C322:D322"/>
    <mergeCell ref="F322:F324"/>
    <mergeCell ref="A323:B323"/>
    <mergeCell ref="C323:D323"/>
    <mergeCell ref="A324:B324"/>
    <mergeCell ref="C324:D324"/>
    <mergeCell ref="A319:B319"/>
    <mergeCell ref="C319:D319"/>
    <mergeCell ref="F319:F321"/>
    <mergeCell ref="A320:B320"/>
    <mergeCell ref="C320:D320"/>
    <mergeCell ref="A321:B321"/>
    <mergeCell ref="C321:D321"/>
    <mergeCell ref="A334:B334"/>
    <mergeCell ref="C334:D334"/>
    <mergeCell ref="F334:F336"/>
    <mergeCell ref="A335:B335"/>
    <mergeCell ref="C335:D335"/>
    <mergeCell ref="A336:B336"/>
    <mergeCell ref="C336:D336"/>
    <mergeCell ref="A331:B331"/>
    <mergeCell ref="C331:D331"/>
    <mergeCell ref="F331:F333"/>
    <mergeCell ref="A332:B332"/>
    <mergeCell ref="C332:D332"/>
    <mergeCell ref="A333:B333"/>
    <mergeCell ref="C333:D333"/>
    <mergeCell ref="A328:B328"/>
    <mergeCell ref="C328:D328"/>
    <mergeCell ref="F328:F330"/>
    <mergeCell ref="A329:B329"/>
    <mergeCell ref="C329:D329"/>
    <mergeCell ref="A330:B330"/>
    <mergeCell ref="C330:D330"/>
    <mergeCell ref="A343:B343"/>
    <mergeCell ref="C343:D343"/>
    <mergeCell ref="F343:F345"/>
    <mergeCell ref="A344:B344"/>
    <mergeCell ref="C344:D344"/>
    <mergeCell ref="A345:B345"/>
    <mergeCell ref="C345:D345"/>
    <mergeCell ref="A340:B340"/>
    <mergeCell ref="C340:D340"/>
    <mergeCell ref="F340:F342"/>
    <mergeCell ref="A341:B341"/>
    <mergeCell ref="C341:D341"/>
    <mergeCell ref="A342:B342"/>
    <mergeCell ref="C342:D342"/>
    <mergeCell ref="A337:B337"/>
    <mergeCell ref="C337:D337"/>
    <mergeCell ref="F337:F339"/>
    <mergeCell ref="A338:B338"/>
    <mergeCell ref="C338:D338"/>
    <mergeCell ref="A339:B339"/>
    <mergeCell ref="C339:D339"/>
    <mergeCell ref="A352:B352"/>
    <mergeCell ref="C352:D352"/>
    <mergeCell ref="F352:F354"/>
    <mergeCell ref="A353:B353"/>
    <mergeCell ref="C353:D353"/>
    <mergeCell ref="A354:B354"/>
    <mergeCell ref="C354:D354"/>
    <mergeCell ref="A349:B349"/>
    <mergeCell ref="C349:D349"/>
    <mergeCell ref="F349:F351"/>
    <mergeCell ref="A350:B350"/>
    <mergeCell ref="C350:D350"/>
    <mergeCell ref="A351:B351"/>
    <mergeCell ref="C351:D351"/>
    <mergeCell ref="A346:B346"/>
    <mergeCell ref="C346:D346"/>
    <mergeCell ref="F346:F348"/>
    <mergeCell ref="A347:B347"/>
    <mergeCell ref="C347:D347"/>
    <mergeCell ref="A348:B348"/>
    <mergeCell ref="C348:D348"/>
    <mergeCell ref="A361:B361"/>
    <mergeCell ref="C361:D361"/>
    <mergeCell ref="F361:F363"/>
    <mergeCell ref="A362:B362"/>
    <mergeCell ref="C362:D362"/>
    <mergeCell ref="A363:B363"/>
    <mergeCell ref="C363:D363"/>
    <mergeCell ref="A358:B358"/>
    <mergeCell ref="C358:D358"/>
    <mergeCell ref="F358:F360"/>
    <mergeCell ref="A359:B359"/>
    <mergeCell ref="C359:D359"/>
    <mergeCell ref="A360:B360"/>
    <mergeCell ref="C360:D360"/>
    <mergeCell ref="A355:B355"/>
    <mergeCell ref="C355:D355"/>
    <mergeCell ref="F355:F357"/>
    <mergeCell ref="A356:B356"/>
    <mergeCell ref="C356:D356"/>
    <mergeCell ref="A357:B357"/>
    <mergeCell ref="C357:D357"/>
    <mergeCell ref="A370:B370"/>
    <mergeCell ref="C370:D370"/>
    <mergeCell ref="F370:F372"/>
    <mergeCell ref="A371:B371"/>
    <mergeCell ref="C371:D371"/>
    <mergeCell ref="A372:B372"/>
    <mergeCell ref="C372:D372"/>
    <mergeCell ref="A367:B367"/>
    <mergeCell ref="C367:D367"/>
    <mergeCell ref="F367:F369"/>
    <mergeCell ref="A368:B368"/>
    <mergeCell ref="C368:D368"/>
    <mergeCell ref="A369:B369"/>
    <mergeCell ref="C369:D369"/>
    <mergeCell ref="A364:B364"/>
    <mergeCell ref="C364:D364"/>
    <mergeCell ref="F364:F366"/>
    <mergeCell ref="A365:B365"/>
    <mergeCell ref="C365:D365"/>
    <mergeCell ref="A366:B366"/>
    <mergeCell ref="C366:D366"/>
    <mergeCell ref="A379:B379"/>
    <mergeCell ref="C379:D379"/>
    <mergeCell ref="F379:F381"/>
    <mergeCell ref="A380:B380"/>
    <mergeCell ref="C380:D380"/>
    <mergeCell ref="A381:B381"/>
    <mergeCell ref="C381:D381"/>
    <mergeCell ref="A376:B376"/>
    <mergeCell ref="C376:D376"/>
    <mergeCell ref="F376:F378"/>
    <mergeCell ref="A377:B377"/>
    <mergeCell ref="C377:D377"/>
    <mergeCell ref="A378:B378"/>
    <mergeCell ref="C378:D378"/>
    <mergeCell ref="A373:B373"/>
    <mergeCell ref="C373:D373"/>
    <mergeCell ref="F373:F375"/>
    <mergeCell ref="A374:B374"/>
    <mergeCell ref="C374:D374"/>
    <mergeCell ref="A375:B375"/>
    <mergeCell ref="C375:D375"/>
    <mergeCell ref="A389:F391"/>
    <mergeCell ref="A393:B393"/>
    <mergeCell ref="C393:D393"/>
    <mergeCell ref="F393:F395"/>
    <mergeCell ref="A394:B394"/>
    <mergeCell ref="C394:D394"/>
    <mergeCell ref="A395:B395"/>
    <mergeCell ref="C395:D395"/>
    <mergeCell ref="A385:B385"/>
    <mergeCell ref="C385:D385"/>
    <mergeCell ref="F385:F387"/>
    <mergeCell ref="A386:B386"/>
    <mergeCell ref="C386:D386"/>
    <mergeCell ref="A387:B387"/>
    <mergeCell ref="C387:D387"/>
    <mergeCell ref="A382:B382"/>
    <mergeCell ref="C382:D382"/>
    <mergeCell ref="F382:F384"/>
    <mergeCell ref="A383:B383"/>
    <mergeCell ref="C383:D383"/>
    <mergeCell ref="A384:B384"/>
    <mergeCell ref="C384:D384"/>
    <mergeCell ref="A408:F410"/>
    <mergeCell ref="A412:B412"/>
    <mergeCell ref="C412:D412"/>
    <mergeCell ref="E412:F414"/>
    <mergeCell ref="A413:B413"/>
    <mergeCell ref="C413:D413"/>
    <mergeCell ref="A414:B414"/>
    <mergeCell ref="C414:D414"/>
    <mergeCell ref="A400:F402"/>
    <mergeCell ref="A404:B404"/>
    <mergeCell ref="C404:D404"/>
    <mergeCell ref="E404:F406"/>
    <mergeCell ref="A405:B405"/>
    <mergeCell ref="C405:D405"/>
    <mergeCell ref="A406:B406"/>
    <mergeCell ref="C406:D406"/>
    <mergeCell ref="A396:B396"/>
    <mergeCell ref="C396:D396"/>
    <mergeCell ref="F396:F398"/>
    <mergeCell ref="A397:B397"/>
    <mergeCell ref="C397:D397"/>
    <mergeCell ref="A398:B398"/>
    <mergeCell ref="C398:D398"/>
    <mergeCell ref="A421:B421"/>
    <mergeCell ref="C421:D421"/>
    <mergeCell ref="E421:F423"/>
    <mergeCell ref="A422:B422"/>
    <mergeCell ref="C422:D422"/>
    <mergeCell ref="A423:B423"/>
    <mergeCell ref="C423:D423"/>
    <mergeCell ref="A418:B418"/>
    <mergeCell ref="C418:D418"/>
    <mergeCell ref="E418:F420"/>
    <mergeCell ref="A419:B419"/>
    <mergeCell ref="C419:D419"/>
    <mergeCell ref="A420:B420"/>
    <mergeCell ref="C420:D420"/>
    <mergeCell ref="A415:B415"/>
    <mergeCell ref="C415:D415"/>
    <mergeCell ref="E415:F417"/>
    <mergeCell ref="A416:B416"/>
    <mergeCell ref="C416:D416"/>
    <mergeCell ref="A417:B417"/>
    <mergeCell ref="C417:D417"/>
    <mergeCell ref="A430:B430"/>
    <mergeCell ref="C430:D430"/>
    <mergeCell ref="E430:F432"/>
    <mergeCell ref="A431:B431"/>
    <mergeCell ref="C431:D431"/>
    <mergeCell ref="A432:B432"/>
    <mergeCell ref="C432:D432"/>
    <mergeCell ref="A427:B427"/>
    <mergeCell ref="C427:D427"/>
    <mergeCell ref="E427:F429"/>
    <mergeCell ref="A428:B428"/>
    <mergeCell ref="C428:D428"/>
    <mergeCell ref="A429:B429"/>
    <mergeCell ref="C429:D429"/>
    <mergeCell ref="A424:B424"/>
    <mergeCell ref="C424:D424"/>
    <mergeCell ref="E424:F426"/>
    <mergeCell ref="A425:B425"/>
    <mergeCell ref="C425:D425"/>
    <mergeCell ref="A426:B426"/>
    <mergeCell ref="C426:D426"/>
    <mergeCell ref="A439:B439"/>
    <mergeCell ref="C439:D439"/>
    <mergeCell ref="E439:F441"/>
    <mergeCell ref="A440:B440"/>
    <mergeCell ref="C440:D440"/>
    <mergeCell ref="A441:B441"/>
    <mergeCell ref="C441:D441"/>
    <mergeCell ref="A436:B436"/>
    <mergeCell ref="C436:D436"/>
    <mergeCell ref="E436:F438"/>
    <mergeCell ref="A437:B437"/>
    <mergeCell ref="C437:D437"/>
    <mergeCell ref="A438:B438"/>
    <mergeCell ref="C438:D438"/>
    <mergeCell ref="A433:B433"/>
    <mergeCell ref="C433:D433"/>
    <mergeCell ref="E433:F435"/>
    <mergeCell ref="A434:B434"/>
    <mergeCell ref="C434:D434"/>
    <mergeCell ref="A435:B435"/>
    <mergeCell ref="C435:D435"/>
    <mergeCell ref="A448:B448"/>
    <mergeCell ref="C448:D448"/>
    <mergeCell ref="E448:F450"/>
    <mergeCell ref="A449:B449"/>
    <mergeCell ref="C449:D449"/>
    <mergeCell ref="A450:B450"/>
    <mergeCell ref="C450:D450"/>
    <mergeCell ref="A445:B445"/>
    <mergeCell ref="C445:D445"/>
    <mergeCell ref="E445:F447"/>
    <mergeCell ref="A446:B446"/>
    <mergeCell ref="C446:D446"/>
    <mergeCell ref="A447:B447"/>
    <mergeCell ref="C447:D447"/>
    <mergeCell ref="A442:B442"/>
    <mergeCell ref="C442:D442"/>
    <mergeCell ref="E442:F444"/>
    <mergeCell ref="A443:B443"/>
    <mergeCell ref="C443:D443"/>
    <mergeCell ref="A444:B444"/>
    <mergeCell ref="C444:D444"/>
    <mergeCell ref="A457:B457"/>
    <mergeCell ref="C457:D457"/>
    <mergeCell ref="E457:F459"/>
    <mergeCell ref="A458:B458"/>
    <mergeCell ref="C458:D458"/>
    <mergeCell ref="A459:B459"/>
    <mergeCell ref="C459:D459"/>
    <mergeCell ref="A454:B454"/>
    <mergeCell ref="C454:D454"/>
    <mergeCell ref="E454:F456"/>
    <mergeCell ref="A455:B455"/>
    <mergeCell ref="C455:D455"/>
    <mergeCell ref="A456:B456"/>
    <mergeCell ref="C456:D456"/>
    <mergeCell ref="A451:B451"/>
    <mergeCell ref="C451:D451"/>
    <mergeCell ref="E451:F453"/>
    <mergeCell ref="A452:B452"/>
    <mergeCell ref="C452:D452"/>
    <mergeCell ref="A453:B453"/>
    <mergeCell ref="C453:D453"/>
    <mergeCell ref="A466:B466"/>
    <mergeCell ref="C466:D466"/>
    <mergeCell ref="E466:F468"/>
    <mergeCell ref="A467:B467"/>
    <mergeCell ref="C467:D467"/>
    <mergeCell ref="A468:B468"/>
    <mergeCell ref="C468:D468"/>
    <mergeCell ref="A463:B463"/>
    <mergeCell ref="C463:D463"/>
    <mergeCell ref="E463:F465"/>
    <mergeCell ref="A464:B464"/>
    <mergeCell ref="C464:D464"/>
    <mergeCell ref="A465:B465"/>
    <mergeCell ref="C465:D465"/>
    <mergeCell ref="A460:B460"/>
    <mergeCell ref="C460:D460"/>
    <mergeCell ref="E460:F462"/>
    <mergeCell ref="A461:B461"/>
    <mergeCell ref="C461:D461"/>
    <mergeCell ref="A462:B462"/>
    <mergeCell ref="C462:D462"/>
    <mergeCell ref="A475:B475"/>
    <mergeCell ref="C475:D475"/>
    <mergeCell ref="E475:F477"/>
    <mergeCell ref="A476:B476"/>
    <mergeCell ref="C476:D476"/>
    <mergeCell ref="A477:B477"/>
    <mergeCell ref="C477:D477"/>
    <mergeCell ref="A472:B472"/>
    <mergeCell ref="C472:D472"/>
    <mergeCell ref="E472:F474"/>
    <mergeCell ref="A473:B473"/>
    <mergeCell ref="C473:D473"/>
    <mergeCell ref="A474:B474"/>
    <mergeCell ref="C474:D474"/>
    <mergeCell ref="A469:B469"/>
    <mergeCell ref="C469:D469"/>
    <mergeCell ref="E469:F471"/>
    <mergeCell ref="A470:B470"/>
    <mergeCell ref="C470:D470"/>
    <mergeCell ref="A471:B471"/>
    <mergeCell ref="C471:D471"/>
    <mergeCell ref="A484:B484"/>
    <mergeCell ref="C484:D484"/>
    <mergeCell ref="E484:F486"/>
    <mergeCell ref="A485:B485"/>
    <mergeCell ref="C485:D485"/>
    <mergeCell ref="A486:B486"/>
    <mergeCell ref="C486:D486"/>
    <mergeCell ref="A481:B481"/>
    <mergeCell ref="C481:D481"/>
    <mergeCell ref="E481:F483"/>
    <mergeCell ref="A482:B482"/>
    <mergeCell ref="C482:D482"/>
    <mergeCell ref="A483:B483"/>
    <mergeCell ref="C483:D483"/>
    <mergeCell ref="A478:B478"/>
    <mergeCell ref="C478:D478"/>
    <mergeCell ref="E478:F480"/>
    <mergeCell ref="A479:B479"/>
    <mergeCell ref="C479:D479"/>
    <mergeCell ref="A480:B480"/>
    <mergeCell ref="C480:D480"/>
    <mergeCell ref="A493:B493"/>
    <mergeCell ref="C493:D493"/>
    <mergeCell ref="E493:F495"/>
    <mergeCell ref="A494:B494"/>
    <mergeCell ref="C494:D494"/>
    <mergeCell ref="A495:B495"/>
    <mergeCell ref="C495:D495"/>
    <mergeCell ref="A490:B490"/>
    <mergeCell ref="C490:D490"/>
    <mergeCell ref="E490:F492"/>
    <mergeCell ref="A491:B491"/>
    <mergeCell ref="C491:D491"/>
    <mergeCell ref="A492:B492"/>
    <mergeCell ref="C492:D492"/>
    <mergeCell ref="A487:B487"/>
    <mergeCell ref="C487:D487"/>
    <mergeCell ref="E487:F489"/>
    <mergeCell ref="A488:B488"/>
    <mergeCell ref="C488:D488"/>
    <mergeCell ref="A489:B489"/>
    <mergeCell ref="C489:D489"/>
    <mergeCell ref="A502:B502"/>
    <mergeCell ref="C502:D502"/>
    <mergeCell ref="E502:F504"/>
    <mergeCell ref="A503:B503"/>
    <mergeCell ref="C503:D503"/>
    <mergeCell ref="A504:B504"/>
    <mergeCell ref="C504:D504"/>
    <mergeCell ref="A499:B499"/>
    <mergeCell ref="C499:D499"/>
    <mergeCell ref="E499:F501"/>
    <mergeCell ref="A500:B500"/>
    <mergeCell ref="C500:D500"/>
    <mergeCell ref="A501:B501"/>
    <mergeCell ref="C501:D501"/>
    <mergeCell ref="A496:B496"/>
    <mergeCell ref="C496:D496"/>
    <mergeCell ref="E496:F498"/>
    <mergeCell ref="A497:B497"/>
    <mergeCell ref="C497:D497"/>
    <mergeCell ref="A498:B498"/>
    <mergeCell ref="C498:D498"/>
    <mergeCell ref="A511:B511"/>
    <mergeCell ref="C511:D511"/>
    <mergeCell ref="E511:F513"/>
    <mergeCell ref="A512:B512"/>
    <mergeCell ref="C512:D512"/>
    <mergeCell ref="A513:B513"/>
    <mergeCell ref="C513:D513"/>
    <mergeCell ref="A508:B508"/>
    <mergeCell ref="C508:D508"/>
    <mergeCell ref="E508:F510"/>
    <mergeCell ref="A509:B509"/>
    <mergeCell ref="C509:D509"/>
    <mergeCell ref="A510:B510"/>
    <mergeCell ref="C510:D510"/>
    <mergeCell ref="A505:B505"/>
    <mergeCell ref="C505:D505"/>
    <mergeCell ref="E505:F507"/>
    <mergeCell ref="A506:B506"/>
    <mergeCell ref="C506:D506"/>
    <mergeCell ref="A507:B507"/>
    <mergeCell ref="C507:D507"/>
    <mergeCell ref="A520:B520"/>
    <mergeCell ref="C520:D520"/>
    <mergeCell ref="E520:F522"/>
    <mergeCell ref="A521:B521"/>
    <mergeCell ref="C521:D521"/>
    <mergeCell ref="A522:B522"/>
    <mergeCell ref="C522:D522"/>
    <mergeCell ref="A517:B517"/>
    <mergeCell ref="C517:D517"/>
    <mergeCell ref="E517:F519"/>
    <mergeCell ref="A518:B518"/>
    <mergeCell ref="C518:D518"/>
    <mergeCell ref="A519:B519"/>
    <mergeCell ref="C519:D519"/>
    <mergeCell ref="A514:B514"/>
    <mergeCell ref="C514:D514"/>
    <mergeCell ref="E514:F516"/>
    <mergeCell ref="A515:B515"/>
    <mergeCell ref="C515:D515"/>
    <mergeCell ref="A516:B516"/>
    <mergeCell ref="C516:D516"/>
    <mergeCell ref="A529:B529"/>
    <mergeCell ref="C529:D529"/>
    <mergeCell ref="E529:F531"/>
    <mergeCell ref="A530:B530"/>
    <mergeCell ref="C530:D530"/>
    <mergeCell ref="A531:B531"/>
    <mergeCell ref="C531:D531"/>
    <mergeCell ref="A526:B526"/>
    <mergeCell ref="C526:D526"/>
    <mergeCell ref="E526:F528"/>
    <mergeCell ref="A527:B527"/>
    <mergeCell ref="C527:D527"/>
    <mergeCell ref="A528:B528"/>
    <mergeCell ref="C528:D528"/>
    <mergeCell ref="A523:B523"/>
    <mergeCell ref="C523:D523"/>
    <mergeCell ref="E523:F525"/>
    <mergeCell ref="A524:B524"/>
    <mergeCell ref="C524:D524"/>
    <mergeCell ref="A525:B525"/>
    <mergeCell ref="C525:D525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32:B532"/>
    <mergeCell ref="C532:D532"/>
    <mergeCell ref="E532:F534"/>
    <mergeCell ref="A533:B533"/>
    <mergeCell ref="C533:D533"/>
    <mergeCell ref="A534:B534"/>
    <mergeCell ref="C534:D534"/>
    <mergeCell ref="A547:B547"/>
    <mergeCell ref="C547:D547"/>
    <mergeCell ref="E547:F549"/>
    <mergeCell ref="A548:B548"/>
    <mergeCell ref="C548:D548"/>
    <mergeCell ref="A549:B549"/>
    <mergeCell ref="C549:D549"/>
    <mergeCell ref="A544:B544"/>
    <mergeCell ref="C544:D544"/>
    <mergeCell ref="E544:F546"/>
    <mergeCell ref="A545:B545"/>
    <mergeCell ref="C545:D545"/>
    <mergeCell ref="A546:B546"/>
    <mergeCell ref="C546:D546"/>
    <mergeCell ref="A541:B541"/>
    <mergeCell ref="C541:D541"/>
    <mergeCell ref="E541:F543"/>
    <mergeCell ref="A542:B542"/>
    <mergeCell ref="C542:D542"/>
    <mergeCell ref="A543:B543"/>
    <mergeCell ref="C543:D543"/>
    <mergeCell ref="A556:B556"/>
    <mergeCell ref="C556:D556"/>
    <mergeCell ref="E556:F558"/>
    <mergeCell ref="A557:B557"/>
    <mergeCell ref="C557:D557"/>
    <mergeCell ref="A558:B558"/>
    <mergeCell ref="C558:D558"/>
    <mergeCell ref="A553:B553"/>
    <mergeCell ref="C553:D553"/>
    <mergeCell ref="E553:F555"/>
    <mergeCell ref="A554:B554"/>
    <mergeCell ref="C554:D554"/>
    <mergeCell ref="A555:B555"/>
    <mergeCell ref="C555:D555"/>
    <mergeCell ref="A550:B550"/>
    <mergeCell ref="C550:D550"/>
    <mergeCell ref="E550:F552"/>
    <mergeCell ref="A551:B551"/>
    <mergeCell ref="C551:D551"/>
    <mergeCell ref="A552:B552"/>
    <mergeCell ref="C552:D552"/>
    <mergeCell ref="A565:B565"/>
    <mergeCell ref="C565:D565"/>
    <mergeCell ref="E565:F567"/>
    <mergeCell ref="A566:B566"/>
    <mergeCell ref="C566:D566"/>
    <mergeCell ref="A567:B567"/>
    <mergeCell ref="C567:D567"/>
    <mergeCell ref="A562:B562"/>
    <mergeCell ref="C562:D562"/>
    <mergeCell ref="E562:F564"/>
    <mergeCell ref="A563:B563"/>
    <mergeCell ref="C563:D563"/>
    <mergeCell ref="A564:B564"/>
    <mergeCell ref="C564:D564"/>
    <mergeCell ref="A559:B559"/>
    <mergeCell ref="C559:D559"/>
    <mergeCell ref="E559:F561"/>
    <mergeCell ref="A560:B560"/>
    <mergeCell ref="C560:D560"/>
    <mergeCell ref="A561:B561"/>
    <mergeCell ref="C561:D561"/>
    <mergeCell ref="A574:B574"/>
    <mergeCell ref="C574:D574"/>
    <mergeCell ref="E574:F576"/>
    <mergeCell ref="A575:B575"/>
    <mergeCell ref="C575:D575"/>
    <mergeCell ref="A576:B576"/>
    <mergeCell ref="C576:D576"/>
    <mergeCell ref="A571:B571"/>
    <mergeCell ref="C571:D571"/>
    <mergeCell ref="E571:F573"/>
    <mergeCell ref="A572:B572"/>
    <mergeCell ref="C572:D572"/>
    <mergeCell ref="A573:B573"/>
    <mergeCell ref="C573:D573"/>
    <mergeCell ref="A568:B568"/>
    <mergeCell ref="C568:D568"/>
    <mergeCell ref="E568:F570"/>
    <mergeCell ref="A569:B569"/>
    <mergeCell ref="C569:D569"/>
    <mergeCell ref="A570:B570"/>
    <mergeCell ref="C570:D570"/>
    <mergeCell ref="A583:B583"/>
    <mergeCell ref="C583:D583"/>
    <mergeCell ref="E583:F585"/>
    <mergeCell ref="A584:B584"/>
    <mergeCell ref="C584:D584"/>
    <mergeCell ref="A585:B585"/>
    <mergeCell ref="C585:D585"/>
    <mergeCell ref="A580:B580"/>
    <mergeCell ref="C580:D580"/>
    <mergeCell ref="E580:F582"/>
    <mergeCell ref="A581:B581"/>
    <mergeCell ref="C581:D581"/>
    <mergeCell ref="A582:B582"/>
    <mergeCell ref="C582:D582"/>
    <mergeCell ref="A577:B577"/>
    <mergeCell ref="C577:D577"/>
    <mergeCell ref="E577:F579"/>
    <mergeCell ref="A578:B578"/>
    <mergeCell ref="C578:D578"/>
    <mergeCell ref="A579:B579"/>
    <mergeCell ref="C579:D579"/>
    <mergeCell ref="A592:B592"/>
    <mergeCell ref="C592:D592"/>
    <mergeCell ref="E592:F594"/>
    <mergeCell ref="A593:B593"/>
    <mergeCell ref="C593:D593"/>
    <mergeCell ref="A594:B594"/>
    <mergeCell ref="C594:D594"/>
    <mergeCell ref="A589:B589"/>
    <mergeCell ref="C589:D589"/>
    <mergeCell ref="E589:F591"/>
    <mergeCell ref="A590:B590"/>
    <mergeCell ref="C590:D590"/>
    <mergeCell ref="A591:B591"/>
    <mergeCell ref="C591:D591"/>
    <mergeCell ref="A586:B586"/>
    <mergeCell ref="C586:D586"/>
    <mergeCell ref="E586:F588"/>
    <mergeCell ref="A587:B587"/>
    <mergeCell ref="C587:D587"/>
    <mergeCell ref="A588:B588"/>
    <mergeCell ref="C588:D588"/>
    <mergeCell ref="A601:B601"/>
    <mergeCell ref="C601:D601"/>
    <mergeCell ref="E601:F603"/>
    <mergeCell ref="A602:B602"/>
    <mergeCell ref="C602:D602"/>
    <mergeCell ref="A603:B603"/>
    <mergeCell ref="C603:D603"/>
    <mergeCell ref="A598:B598"/>
    <mergeCell ref="C598:D598"/>
    <mergeCell ref="E598:F600"/>
    <mergeCell ref="A599:B599"/>
    <mergeCell ref="C599:D599"/>
    <mergeCell ref="A600:B600"/>
    <mergeCell ref="C600:D600"/>
    <mergeCell ref="A595:B595"/>
    <mergeCell ref="C595:D595"/>
    <mergeCell ref="E595:F597"/>
    <mergeCell ref="A596:B596"/>
    <mergeCell ref="C596:D596"/>
    <mergeCell ref="A597:B597"/>
    <mergeCell ref="C597:D597"/>
    <mergeCell ref="A610:B610"/>
    <mergeCell ref="C610:D610"/>
    <mergeCell ref="E610:F612"/>
    <mergeCell ref="A611:B611"/>
    <mergeCell ref="C611:D611"/>
    <mergeCell ref="A612:B612"/>
    <mergeCell ref="C612:D612"/>
    <mergeCell ref="A607:B607"/>
    <mergeCell ref="C607:D607"/>
    <mergeCell ref="E607:F609"/>
    <mergeCell ref="A608:B608"/>
    <mergeCell ref="C608:D608"/>
    <mergeCell ref="A609:B609"/>
    <mergeCell ref="C609:D609"/>
    <mergeCell ref="A604:B604"/>
    <mergeCell ref="C604:D604"/>
    <mergeCell ref="E604:F606"/>
    <mergeCell ref="A605:B605"/>
    <mergeCell ref="C605:D605"/>
    <mergeCell ref="A606:B606"/>
    <mergeCell ref="C606:D606"/>
    <mergeCell ref="A619:B619"/>
    <mergeCell ref="C619:D619"/>
    <mergeCell ref="E619:F621"/>
    <mergeCell ref="A620:B620"/>
    <mergeCell ref="C620:D620"/>
    <mergeCell ref="A621:B621"/>
    <mergeCell ref="C621:D621"/>
    <mergeCell ref="A616:B616"/>
    <mergeCell ref="C616:D616"/>
    <mergeCell ref="E616:F618"/>
    <mergeCell ref="A617:B617"/>
    <mergeCell ref="C617:D617"/>
    <mergeCell ref="A618:B618"/>
    <mergeCell ref="C618:D618"/>
    <mergeCell ref="A613:B613"/>
    <mergeCell ref="C613:D613"/>
    <mergeCell ref="E613:F615"/>
    <mergeCell ref="A614:B614"/>
    <mergeCell ref="C614:D614"/>
    <mergeCell ref="A615:B615"/>
    <mergeCell ref="C615:D615"/>
    <mergeCell ref="A628:B628"/>
    <mergeCell ref="C628:D628"/>
    <mergeCell ref="E628:F630"/>
    <mergeCell ref="A629:B629"/>
    <mergeCell ref="C629:D629"/>
    <mergeCell ref="A630:B630"/>
    <mergeCell ref="C630:D630"/>
    <mergeCell ref="A625:B625"/>
    <mergeCell ref="C625:D625"/>
    <mergeCell ref="E625:F627"/>
    <mergeCell ref="A626:B626"/>
    <mergeCell ref="C626:D626"/>
    <mergeCell ref="A627:B627"/>
    <mergeCell ref="C627:D627"/>
    <mergeCell ref="A622:B622"/>
    <mergeCell ref="C622:D622"/>
    <mergeCell ref="E622:F624"/>
    <mergeCell ref="A623:B623"/>
    <mergeCell ref="C623:D623"/>
    <mergeCell ref="A624:B624"/>
    <mergeCell ref="C624:D624"/>
    <mergeCell ref="A637:B637"/>
    <mergeCell ref="C637:D637"/>
    <mergeCell ref="E637:F639"/>
    <mergeCell ref="A638:B638"/>
    <mergeCell ref="C638:D638"/>
    <mergeCell ref="A639:B639"/>
    <mergeCell ref="C639:D639"/>
    <mergeCell ref="A634:B634"/>
    <mergeCell ref="C634:D634"/>
    <mergeCell ref="E634:F636"/>
    <mergeCell ref="A635:B635"/>
    <mergeCell ref="C635:D635"/>
    <mergeCell ref="A636:B636"/>
    <mergeCell ref="C636:D636"/>
    <mergeCell ref="A631:B631"/>
    <mergeCell ref="C631:D631"/>
    <mergeCell ref="E631:F633"/>
    <mergeCell ref="A632:B632"/>
    <mergeCell ref="C632:D632"/>
    <mergeCell ref="A633:B633"/>
    <mergeCell ref="C633:D633"/>
    <mergeCell ref="A646:B646"/>
    <mergeCell ref="C646:D646"/>
    <mergeCell ref="E646:F648"/>
    <mergeCell ref="A647:B647"/>
    <mergeCell ref="C647:D647"/>
    <mergeCell ref="A648:B648"/>
    <mergeCell ref="C648:D648"/>
    <mergeCell ref="A643:B643"/>
    <mergeCell ref="C643:D643"/>
    <mergeCell ref="E643:F645"/>
    <mergeCell ref="A644:B644"/>
    <mergeCell ref="C644:D644"/>
    <mergeCell ref="A645:B645"/>
    <mergeCell ref="C645:D645"/>
    <mergeCell ref="A640:B640"/>
    <mergeCell ref="C640:D640"/>
    <mergeCell ref="E640:F642"/>
    <mergeCell ref="A641:B641"/>
    <mergeCell ref="C641:D641"/>
    <mergeCell ref="A642:B642"/>
    <mergeCell ref="C642:D642"/>
    <mergeCell ref="A655:B655"/>
    <mergeCell ref="C655:D655"/>
    <mergeCell ref="E655:F657"/>
    <mergeCell ref="A656:B656"/>
    <mergeCell ref="C656:D656"/>
    <mergeCell ref="A657:B657"/>
    <mergeCell ref="C657:D657"/>
    <mergeCell ref="A652:B652"/>
    <mergeCell ref="C652:D652"/>
    <mergeCell ref="E652:F654"/>
    <mergeCell ref="A653:B653"/>
    <mergeCell ref="C653:D653"/>
    <mergeCell ref="A654:B654"/>
    <mergeCell ref="C654:D654"/>
    <mergeCell ref="A649:B649"/>
    <mergeCell ref="C649:D649"/>
    <mergeCell ref="E649:F651"/>
    <mergeCell ref="A650:B650"/>
    <mergeCell ref="C650:D650"/>
    <mergeCell ref="A651:B651"/>
    <mergeCell ref="C651:D651"/>
    <mergeCell ref="A664:B664"/>
    <mergeCell ref="C664:D664"/>
    <mergeCell ref="E664:F666"/>
    <mergeCell ref="A665:B665"/>
    <mergeCell ref="C665:D665"/>
    <mergeCell ref="A666:B666"/>
    <mergeCell ref="C666:D666"/>
    <mergeCell ref="A661:B661"/>
    <mergeCell ref="C661:D661"/>
    <mergeCell ref="E661:F663"/>
    <mergeCell ref="A662:B662"/>
    <mergeCell ref="C662:D662"/>
    <mergeCell ref="A663:B663"/>
    <mergeCell ref="C663:D663"/>
    <mergeCell ref="A658:B658"/>
    <mergeCell ref="C658:D658"/>
    <mergeCell ref="E658:F660"/>
    <mergeCell ref="A659:B659"/>
    <mergeCell ref="C659:D659"/>
    <mergeCell ref="A660:B660"/>
    <mergeCell ref="C660:D660"/>
    <mergeCell ref="A673:B673"/>
    <mergeCell ref="C673:D673"/>
    <mergeCell ref="E673:F675"/>
    <mergeCell ref="A674:B674"/>
    <mergeCell ref="C674:D674"/>
    <mergeCell ref="A675:B675"/>
    <mergeCell ref="C675:D675"/>
    <mergeCell ref="A670:B670"/>
    <mergeCell ref="C670:D670"/>
    <mergeCell ref="E670:F672"/>
    <mergeCell ref="A671:B671"/>
    <mergeCell ref="C671:D671"/>
    <mergeCell ref="A672:B672"/>
    <mergeCell ref="C672:D672"/>
    <mergeCell ref="A667:B667"/>
    <mergeCell ref="C667:D667"/>
    <mergeCell ref="E667:F669"/>
    <mergeCell ref="A668:B668"/>
    <mergeCell ref="C668:D668"/>
    <mergeCell ref="A669:B669"/>
    <mergeCell ref="C669:D669"/>
    <mergeCell ref="A682:B682"/>
    <mergeCell ref="C682:D682"/>
    <mergeCell ref="E682:F684"/>
    <mergeCell ref="A683:B683"/>
    <mergeCell ref="C683:D683"/>
    <mergeCell ref="A684:B684"/>
    <mergeCell ref="C684:D684"/>
    <mergeCell ref="A679:B679"/>
    <mergeCell ref="C679:D679"/>
    <mergeCell ref="E679:F681"/>
    <mergeCell ref="A680:B680"/>
    <mergeCell ref="C680:D680"/>
    <mergeCell ref="A681:B681"/>
    <mergeCell ref="C681:D681"/>
    <mergeCell ref="A676:B676"/>
    <mergeCell ref="C676:D676"/>
    <mergeCell ref="E676:F678"/>
    <mergeCell ref="A677:B677"/>
    <mergeCell ref="C677:D677"/>
    <mergeCell ref="A678:B678"/>
    <mergeCell ref="C678:D678"/>
    <mergeCell ref="A691:B691"/>
    <mergeCell ref="C691:D691"/>
    <mergeCell ref="E691:F693"/>
    <mergeCell ref="A692:B692"/>
    <mergeCell ref="C692:D692"/>
    <mergeCell ref="A693:B693"/>
    <mergeCell ref="C693:D693"/>
    <mergeCell ref="A688:B688"/>
    <mergeCell ref="C688:D688"/>
    <mergeCell ref="E688:F690"/>
    <mergeCell ref="A689:B689"/>
    <mergeCell ref="C689:D689"/>
    <mergeCell ref="A690:B690"/>
    <mergeCell ref="C690:D690"/>
    <mergeCell ref="A685:B685"/>
    <mergeCell ref="C685:D685"/>
    <mergeCell ref="E685:F687"/>
    <mergeCell ref="A686:B686"/>
    <mergeCell ref="C686:D686"/>
    <mergeCell ref="A687:B687"/>
    <mergeCell ref="C687:D687"/>
    <mergeCell ref="A700:B700"/>
    <mergeCell ref="C700:D700"/>
    <mergeCell ref="E700:F702"/>
    <mergeCell ref="A701:B701"/>
    <mergeCell ref="C701:D701"/>
    <mergeCell ref="A702:B702"/>
    <mergeCell ref="C702:D702"/>
    <mergeCell ref="A697:B697"/>
    <mergeCell ref="C697:D697"/>
    <mergeCell ref="E697:F699"/>
    <mergeCell ref="A698:B698"/>
    <mergeCell ref="C698:D698"/>
    <mergeCell ref="A699:B699"/>
    <mergeCell ref="C699:D699"/>
    <mergeCell ref="A694:B694"/>
    <mergeCell ref="C694:D694"/>
    <mergeCell ref="E694:F696"/>
    <mergeCell ref="A695:B695"/>
    <mergeCell ref="C695:D695"/>
    <mergeCell ref="A696:B696"/>
    <mergeCell ref="C696:D696"/>
    <mergeCell ref="A709:B709"/>
    <mergeCell ref="C709:D709"/>
    <mergeCell ref="E709:F711"/>
    <mergeCell ref="A710:B710"/>
    <mergeCell ref="C710:D710"/>
    <mergeCell ref="A711:B711"/>
    <mergeCell ref="C711:D711"/>
    <mergeCell ref="A706:B706"/>
    <mergeCell ref="C706:D706"/>
    <mergeCell ref="E706:F708"/>
    <mergeCell ref="A707:B707"/>
    <mergeCell ref="C707:D707"/>
    <mergeCell ref="A708:B708"/>
    <mergeCell ref="C708:D708"/>
    <mergeCell ref="A703:B703"/>
    <mergeCell ref="C703:D703"/>
    <mergeCell ref="E703:F705"/>
    <mergeCell ref="A704:B704"/>
    <mergeCell ref="C704:D704"/>
    <mergeCell ref="A705:B705"/>
    <mergeCell ref="C705:D705"/>
    <mergeCell ref="A718:B718"/>
    <mergeCell ref="C718:D718"/>
    <mergeCell ref="E718:F720"/>
    <mergeCell ref="A719:B719"/>
    <mergeCell ref="C719:D719"/>
    <mergeCell ref="A720:B720"/>
    <mergeCell ref="C720:D720"/>
    <mergeCell ref="A715:B715"/>
    <mergeCell ref="C715:D715"/>
    <mergeCell ref="E715:F717"/>
    <mergeCell ref="A716:B716"/>
    <mergeCell ref="C716:D716"/>
    <mergeCell ref="A717:B717"/>
    <mergeCell ref="C717:D717"/>
    <mergeCell ref="A712:B712"/>
    <mergeCell ref="C712:D712"/>
    <mergeCell ref="E712:F714"/>
    <mergeCell ref="A713:B713"/>
    <mergeCell ref="C713:D713"/>
    <mergeCell ref="A714:B714"/>
    <mergeCell ref="C714:D714"/>
    <mergeCell ref="A727:B727"/>
    <mergeCell ref="C727:D727"/>
    <mergeCell ref="E727:F729"/>
    <mergeCell ref="A728:B728"/>
    <mergeCell ref="C728:D728"/>
    <mergeCell ref="A729:B729"/>
    <mergeCell ref="C729:D729"/>
    <mergeCell ref="A724:B724"/>
    <mergeCell ref="C724:D724"/>
    <mergeCell ref="E724:F726"/>
    <mergeCell ref="A725:B725"/>
    <mergeCell ref="C725:D725"/>
    <mergeCell ref="A726:B726"/>
    <mergeCell ref="C726:D726"/>
    <mergeCell ref="A721:B721"/>
    <mergeCell ref="C721:D721"/>
    <mergeCell ref="E721:F723"/>
    <mergeCell ref="A722:B722"/>
    <mergeCell ref="C722:D722"/>
    <mergeCell ref="A723:B723"/>
    <mergeCell ref="C723:D723"/>
    <mergeCell ref="A736:B736"/>
    <mergeCell ref="C736:D736"/>
    <mergeCell ref="E736:F738"/>
    <mergeCell ref="A737:B737"/>
    <mergeCell ref="C737:D737"/>
    <mergeCell ref="A738:B738"/>
    <mergeCell ref="C738:D738"/>
    <mergeCell ref="A733:B733"/>
    <mergeCell ref="C733:D733"/>
    <mergeCell ref="E733:F735"/>
    <mergeCell ref="A734:B734"/>
    <mergeCell ref="C734:D734"/>
    <mergeCell ref="A735:B735"/>
    <mergeCell ref="C735:D735"/>
    <mergeCell ref="A730:B730"/>
    <mergeCell ref="C730:D730"/>
    <mergeCell ref="E730:F732"/>
    <mergeCell ref="A731:B731"/>
    <mergeCell ref="C731:D731"/>
    <mergeCell ref="A732:B732"/>
    <mergeCell ref="C732:D732"/>
    <mergeCell ref="A749:F751"/>
    <mergeCell ref="A745:B745"/>
    <mergeCell ref="C745:D745"/>
    <mergeCell ref="E745:F747"/>
    <mergeCell ref="A746:B746"/>
    <mergeCell ref="C746:D746"/>
    <mergeCell ref="A747:B747"/>
    <mergeCell ref="C747:D747"/>
    <mergeCell ref="A742:B742"/>
    <mergeCell ref="C742:D742"/>
    <mergeCell ref="E742:F744"/>
    <mergeCell ref="A743:B743"/>
    <mergeCell ref="C743:D743"/>
    <mergeCell ref="A744:B744"/>
    <mergeCell ref="C744:D744"/>
    <mergeCell ref="A739:B739"/>
    <mergeCell ref="C739:D739"/>
    <mergeCell ref="E739:F741"/>
    <mergeCell ref="A740:B740"/>
    <mergeCell ref="C740:D740"/>
    <mergeCell ref="A741:B741"/>
    <mergeCell ref="C741:D741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17</vt:i4>
      </vt:variant>
    </vt:vector>
  </HeadingPairs>
  <TitlesOfParts>
    <vt:vector size="28" baseType="lpstr">
      <vt:lpstr>zał.1</vt:lpstr>
      <vt:lpstr>zał.2</vt:lpstr>
      <vt:lpstr>zał.3</vt:lpstr>
      <vt:lpstr>zał.4</vt:lpstr>
      <vt:lpstr>zał.5</vt:lpstr>
      <vt:lpstr>zał.6 </vt:lpstr>
      <vt:lpstr>zał.7</vt:lpstr>
      <vt:lpstr>zał.8 </vt:lpstr>
      <vt:lpstr>zał.9</vt:lpstr>
      <vt:lpstr>zał.10</vt:lpstr>
      <vt:lpstr>zał.11</vt:lpstr>
      <vt:lpstr>zał.1!Obszar_wydruku</vt:lpstr>
      <vt:lpstr>zał.11!Obszar_wydruku</vt:lpstr>
      <vt:lpstr>zał.2!Obszar_wydruku</vt:lpstr>
      <vt:lpstr>zał.4!Obszar_wydruku</vt:lpstr>
      <vt:lpstr>'zał.6 '!Obszar_wydruku</vt:lpstr>
      <vt:lpstr>zał.7!Obszar_wydruku</vt:lpstr>
      <vt:lpstr>zał.9!Obszar_wydruku</vt:lpstr>
      <vt:lpstr>zał.1!Tytuły_wydruku</vt:lpstr>
      <vt:lpstr>zał.10!Tytuły_wydruku</vt:lpstr>
      <vt:lpstr>zał.11!Tytuły_wydruku</vt:lpstr>
      <vt:lpstr>zał.2!Tytuły_wydruku</vt:lpstr>
      <vt:lpstr>zał.3!Tytuły_wydruku</vt:lpstr>
      <vt:lpstr>zał.4!Tytuły_wydruku</vt:lpstr>
      <vt:lpstr>'zał.6 '!Tytuły_wydruku</vt:lpstr>
      <vt:lpstr>zał.7!Tytuły_wydruku</vt:lpstr>
      <vt:lpstr>'zał.8 '!Tytuły_wydruku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2021-06-21T07:48:12Z</cp:lastPrinted>
  <dcterms:created xsi:type="dcterms:W3CDTF">2010-11-02T12:16:55Z</dcterms:created>
  <dcterms:modified xsi:type="dcterms:W3CDTF">2021-06-21T10:21:22Z</dcterms:modified>
</cp:coreProperties>
</file>